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nrel.gov\shared\5400\ADV_VEH_INFRA\Infrastructure_Systems\1.0 H2_Analysis_DOE\2.2 H2A_FCPower\H2A Version 3\Distributed production cases\Updated distributed cases\"/>
    </mc:Choice>
  </mc:AlternateContent>
  <xr:revisionPtr revIDLastSave="0" documentId="13_ncr:1_{106C6DF0-2767-40EB-9B9A-A2467AA13F85}" xr6:coauthVersionLast="47" xr6:coauthVersionMax="47" xr10:uidLastSave="{00000000-0000-0000-0000-000000000000}"/>
  <bookViews>
    <workbookView xWindow="4764" yWindow="552" windowWidth="22872" windowHeight="24048" tabRatio="848" activeTab="3" xr2:uid="{863CA6C2-806B-4D88-974A-8661E9CFE08E}"/>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_xlpm.c" hidden="1" xlm="1">#NAME?</definedName>
    <definedName name="_xlpm.r" hidden="1" xlm="1">#NAME?</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Prices'!$A$131:$CZ$142</definedName>
    <definedName name="AEO_2017_Reference_Case_Feeds">'Energy Feed &amp; Utility Prices'!$A$131:$A$142</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Sequestration'!$J$41</definedName>
    <definedName name="CCSEqpCap">'Carbon Sequestration'!$D$48</definedName>
    <definedName name="CEPC_Factor_08to05">'Carbon Sequestration'!#REF!</definedName>
    <definedName name="CEPCIinflator">'Capital Costs'!$C$11</definedName>
    <definedName name="Chemical_price_indexes">'HyARC Physical Property Data'!$K$95:$L$124</definedName>
    <definedName name="cmboSelectFeed">"Drop Down 23"</definedName>
    <definedName name="CO2_aprx_indCap">'Carbon Sequestration'!#REF!</definedName>
    <definedName name="CO2_cap_charge_rate">'Carbon Sequestration'!$C$33</definedName>
    <definedName name="CO2_cap_rec">'Carbon Sequestration'!$C$288</definedName>
    <definedName name="CO2_capptonneCO2">'Carbon Sequestration'!$K$45</definedName>
    <definedName name="CO2_Capture_Efficiency">'Carbon Sequestration'!$C$30</definedName>
    <definedName name="CO2_CashFlow_eUse">'Cash Flow Analysis'!$J$133</definedName>
    <definedName name="CO2_ControlSystem">'Carbon Sequestration'!$C$278</definedName>
    <definedName name="CO2_credit">'Carbon Sequestration'!$C$32</definedName>
    <definedName name="CO2_depr_factor">'Carbon Sequestration'!$C$289</definedName>
    <definedName name="CO2_eCost">'Carbon Sequestration'!$C$25</definedName>
    <definedName name="CO2_eCostpY">'Carbon Sequestration'!$J$32</definedName>
    <definedName name="CO2_energyptonneCO2">'Carbon Sequestration'!$K$43</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Sequestration'!$C$286</definedName>
    <definedName name="CO2_Nwells">'Carbon Sequestration'!#REF!</definedName>
    <definedName name="CO2_OandMcost">Input_Sheet_Template!$E$156</definedName>
    <definedName name="CO2_OandMptonneCO2">'Carbon Sequestration'!$K$44</definedName>
    <definedName name="CO2_Pin_psia">'Carbon Sequestration'!$C$34</definedName>
    <definedName name="CO2_PipeDia">'Carbon Sequestration'!$C$281</definedName>
    <definedName name="CO2_PipeElevation">'Carbon Sequestration'!$C$280</definedName>
    <definedName name="CO2_PipeFactor">'Carbon Sequestration'!$C$287</definedName>
    <definedName name="CO2_PipeLength">'Carbon Sequestration'!$C$31</definedName>
    <definedName name="CO2_Pipeline_Temp">'Carbon Sequestration'!$C$283</definedName>
    <definedName name="CO2_Pipeline_Temp_factor">'Carbon Sequestration'!$C$283</definedName>
    <definedName name="CO2_Pump_Eff">'Carbon Sequestration'!$C$277</definedName>
    <definedName name="CO2_seq">Input_Sheet_Template!$C$89</definedName>
    <definedName name="CO2_SiteCap">'Carbon Sequestration'!#REF!</definedName>
    <definedName name="CO2_SurgeTank">'Carbon Sequestration'!$C$279</definedName>
    <definedName name="CO2_Terrain">Lists!$V$4:$V$10</definedName>
    <definedName name="CO2_Terrain_2">Lists!$V$4:$W$10</definedName>
    <definedName name="CO2_Terrain_factor">'Carbon Sequestration'!$C$283</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Data'!$A$95:$B$124</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Sequestration'!$J$39</definedName>
    <definedName name="Det_CO2_seq">'Carbon Sequestration'!$J$28</definedName>
    <definedName name="Det_direct_cap">'Capital Costs'!$F$38</definedName>
    <definedName name="Det_scaled_cap">'Plant Scaling'!$G$35</definedName>
    <definedName name="direct_cap">Input_Sheet_Template!$C$88</definedName>
    <definedName name="DR_Carbon_Sequestration_1">'Carbon Sequestration'!$C$30:$C$289</definedName>
    <definedName name="DR_Carbon_Sequestration_2">'Carbon Sequestration'!$C$31</definedName>
    <definedName name="DR_CostDetail_1">'Capital Costs'!$B$16:$C$37,'Capital Costs'!$E$16:$E$37</definedName>
    <definedName name="DR_CostDetail_2">'Capital Costs'!$G$16:$H$37</definedName>
    <definedName name="DR_PlantScaling_1">'Plant Scaling'!$C$6:$C$8</definedName>
    <definedName name="DR_PlantScaling_2">'Plant Scaling'!$D$13:$D$34</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Input_Sheet_Template!$E$139:$E$140</definedName>
    <definedName name="Dynamic_NonE_Feed_Total">Input_Sheet_Template!$E$136:$E$139</definedName>
    <definedName name="Dynamic_Utilities_Total">Input_Sheet_Template!$F$78:$F$79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Data'!$A$71:$L$89</definedName>
    <definedName name="Feedstock">Lists!$A$8:$A$12</definedName>
    <definedName name="Feedstock_Year">INDIRECT(Energy_Feed_Years)</definedName>
    <definedName name="feedstockBio_Methane_Price">Input_Sheet_Template!#REF!</definedName>
    <definedName name="feedstockCommercial_Electricity_Price">Input_Sheet_Template!$D$77</definedName>
    <definedName name="feedstockCommercial_Electricity_Usage">Input_Sheet_Template!$E$77</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Ethanol_Price">Input_Sheet_Template!#REF!</definedName>
    <definedName name="feedstockIndustrial_Electricity_Price">Input_Sheet_Template!#REF!</definedName>
    <definedName name="feedstockIndustrial_Natural_Gas_Price">Input_Sheet_Template!$D$75</definedName>
    <definedName name="feedstockIndustrial_Natural_Gas_Usage">Input_Sheet_Template!$E$75</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Sequestration'!$C$66</definedName>
    <definedName name="n_pumps">'Carbon Sequestration'!$C$66</definedName>
    <definedName name="ncf_to_Nm3">'Constants and Conversions'!$C$8</definedName>
    <definedName name="NG_to_CO2Pipeline">'Carbon Sequestration'!#REF!</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Input_Sheet_Template!$E$154</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Costs'!$B$14:$G$37</definedName>
    <definedName name="_xlnm.Print_Area" localSheetId="10">'Cash Flow Analysis'!$B$1:$G$14</definedName>
    <definedName name="_xlnm.Print_Area" localSheetId="14">'HyARC Physical Property Data'!$O$4:$U$18</definedName>
    <definedName name="_xlnm.Print_Area" localSheetId="3">Input_Sheet_Template!$B$126:$G$161</definedName>
    <definedName name="_xlnm.Print_Area" localSheetId="6">'Plant Scaling'!$B$2:$K$35</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Input_Sheet_Template!$E$157</definedName>
    <definedName name="Proc_CO2_taxpYear">Input_Sheet_Template!$E$158</definedName>
    <definedName name="ProcEqpCap">'Plant Scaling'!$E$35</definedName>
    <definedName name="Process_cont">Input_Sheet_Template!$E$94</definedName>
    <definedName name="prod_maint">Input_Sheet_Template!$E$121</definedName>
    <definedName name="Project_cont">Input_Sheet_Template!$E$95</definedName>
    <definedName name="Pump_Eff">'Carbon Sequestration'!$C$277</definedName>
    <definedName name="pump_power">'Carbon Sequestration'!#REF!</definedName>
    <definedName name="R_CostDetail_6">'Plant Scaling'!$C$44:$C$48</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Input_Sheet_Template!$C$152</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Input_Sheet_Template!$E$153</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Input_Sheet_Template!$E$151</definedName>
    <definedName name="solver_adj" localSheetId="10" hidden="1">'Cash Flow Analysis'!#REF!</definedName>
    <definedName name="solver_cvg" localSheetId="10" hidden="1">0.001</definedName>
    <definedName name="solver_drv" localSheetId="10" hidden="1">0</definedName>
    <definedName name="solver_eng" localSheetId="2" hidden="1">2</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eg" localSheetId="2" hidden="1">1</definedName>
    <definedName name="solver_num" localSheetId="10" hidden="1">0</definedName>
    <definedName name="solver_num" localSheetId="2" hidden="1">0</definedName>
    <definedName name="solver_nwt" localSheetId="10" hidden="1">1</definedName>
    <definedName name="solver_opt" localSheetId="10" hidden="1">'Cash Flow Analysis'!#REF!</definedName>
    <definedName name="solver_opt" localSheetId="2" hidden="1">ProcessFlow!#REF!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typ" localSheetId="2" hidden="1">1</definedName>
    <definedName name="solver_val" localSheetId="10" hidden="1">0.15</definedName>
    <definedName name="solver_val" localSheetId="2" hidden="1">0</definedName>
    <definedName name="solver_ver" localSheetId="2" hidden="1">3</definedName>
    <definedName name="START_BYPROD">Input_Sheet_Template!$A$80</definedName>
    <definedName name="START_FEED">Input_Sheet_Template!$A$78</definedName>
    <definedName name="START_NONE_BYPROD">Input_Sheet_Template!$A$140</definedName>
    <definedName name="START_NONE_FEED">Input_Sheet_Template!$A$139</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Input_Sheet_Template!$E$155</definedName>
    <definedName name="tax_ins_rate">Input_Sheet_Template!$C$117</definedName>
    <definedName name="tax_insurance">Input_Sheet_Template!$E$118</definedName>
    <definedName name="Tbl_2005Emissions">'HyARC Physical Property Data'!$A$136:$I$155</definedName>
    <definedName name="Tbl_2020Emissions">'HyARC Physical Property Data'!#REF!</definedName>
    <definedName name="Tbl_eByprod_Transfer_Info">'Cash Flow Analysis'!$K$131:$N$135</definedName>
    <definedName name="Tbl_Emissions">'HyARC Physical Property Data'!$A$136:$I$155</definedName>
    <definedName name="Tbl_eUtility_Transfer_Info">'Cash Flow Analysis'!$F$131:$I$135</definedName>
    <definedName name="Tbl_Feedstock_Transfer_Info">'Cash Flow Analysis'!$B$131:$E$135</definedName>
    <definedName name="Tbl_labor_indexes">'HyARC Physical Property Data'!$G$95:$H$124</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Data'!$D$95:$E$124</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Input_Sheet_Template!$C$146</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Input_Sheet_Template!$C$144</definedName>
    <definedName name="total_non_energy_byproduct_credit">Input_Sheet_Template!$C$142</definedName>
    <definedName name="Total_Non_Energy_Feed_Cost">Input_Sheet_Template!$C$141</definedName>
    <definedName name="total_other_raw">Input_Sheet_Template!$E$149</definedName>
    <definedName name="total_tax_rate">Input_Sheet_Template!$C$55</definedName>
    <definedName name="total_utilities">Input_Sheet_Template!$C$145</definedName>
    <definedName name="total_var">Input_Sheet_Template!$E$161</definedName>
    <definedName name="upper_capacity_limit">'Plant Scaling'!$C$8</definedName>
    <definedName name="Upstream_CO2_tax">Input_Sheet_Template!$E$159</definedName>
    <definedName name="Upstream_CO2_taxpYear">Input_Sheet_Template!$E$160</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Input_Sheet_Template!$E$148</definedName>
    <definedName name="VAR_NonE_FEED_VALUES">Input_Sheet_Template!$B$131:$D$135</definedName>
    <definedName name="waste_treat">Input_Sheet_Template!$E$150</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2" i="35" l="1"/>
  <c r="C28" i="35"/>
  <c r="C135" i="15" l="1"/>
  <c r="C134" i="15"/>
  <c r="C132" i="15"/>
  <c r="C131" i="15"/>
  <c r="B135" i="15"/>
  <c r="B134" i="15"/>
  <c r="B132" i="15"/>
  <c r="B131" i="15"/>
  <c r="P134" i="15" l="1"/>
  <c r="P133" i="15"/>
  <c r="P132" i="15"/>
  <c r="P131" i="15"/>
  <c r="C93" i="6"/>
  <c r="D88" i="18"/>
  <c r="F24" i="24"/>
  <c r="F25" i="24"/>
  <c r="F26" i="24"/>
  <c r="F27" i="24"/>
  <c r="F28" i="24"/>
  <c r="F29" i="24"/>
  <c r="F30" i="24"/>
  <c r="F31" i="24"/>
  <c r="F32" i="24"/>
  <c r="F33" i="24"/>
  <c r="B24" i="24"/>
  <c r="B25" i="24"/>
  <c r="B26" i="24"/>
  <c r="B27" i="24"/>
  <c r="B28" i="24"/>
  <c r="B29" i="24"/>
  <c r="B30" i="24"/>
  <c r="B31" i="24"/>
  <c r="B32" i="24"/>
  <c r="B33" i="24"/>
  <c r="C38" i="35"/>
  <c r="C273" i="33" l="1"/>
  <c r="C272" i="33"/>
  <c r="D35" i="33" l="1"/>
  <c r="K28" i="33"/>
  <c r="C52" i="33"/>
  <c r="C35" i="33"/>
  <c r="C54" i="33" l="1"/>
  <c r="AA234" i="33" s="1"/>
  <c r="AA187" i="33" l="1"/>
  <c r="AA83" i="33"/>
  <c r="AA219" i="33"/>
  <c r="AA82" i="33"/>
  <c r="AA220" i="33"/>
  <c r="AA103" i="33"/>
  <c r="AA104" i="33"/>
  <c r="AA119" i="33"/>
  <c r="AA136" i="33"/>
  <c r="AA235" i="33"/>
  <c r="AA236" i="33"/>
  <c r="AA121" i="33"/>
  <c r="AA137" i="33"/>
  <c r="AA153" i="33"/>
  <c r="AA204" i="33"/>
  <c r="AA154" i="33"/>
  <c r="AA170" i="33"/>
  <c r="AA171" i="33"/>
  <c r="AA186" i="33"/>
  <c r="AA203" i="33"/>
  <c r="AA81" i="33"/>
  <c r="AA105" i="33"/>
  <c r="AA122" i="33"/>
  <c r="AA138" i="33"/>
  <c r="AA155" i="33"/>
  <c r="AA172" i="33"/>
  <c r="AA188" i="33"/>
  <c r="AA205" i="33"/>
  <c r="AA221" i="33"/>
  <c r="AA237" i="33"/>
  <c r="AA80" i="33"/>
  <c r="AA106" i="33"/>
  <c r="AA123" i="33"/>
  <c r="AA139" i="33"/>
  <c r="AA156" i="33"/>
  <c r="AA173" i="33"/>
  <c r="AA189" i="33"/>
  <c r="AA206" i="33"/>
  <c r="AA222" i="33"/>
  <c r="AA238" i="33"/>
  <c r="AA95" i="33"/>
  <c r="AA79" i="33"/>
  <c r="AA107" i="33"/>
  <c r="AA124" i="33"/>
  <c r="AA140" i="33"/>
  <c r="AA157" i="33"/>
  <c r="AA174" i="33"/>
  <c r="AA190" i="33"/>
  <c r="AA207" i="33"/>
  <c r="AA223" i="33"/>
  <c r="AA239" i="33"/>
  <c r="AA73" i="33"/>
  <c r="AA94" i="33"/>
  <c r="AA78" i="33"/>
  <c r="AA108" i="33"/>
  <c r="AA125" i="33"/>
  <c r="AA141" i="33"/>
  <c r="AA158" i="33"/>
  <c r="AA175" i="33"/>
  <c r="AA191" i="33"/>
  <c r="AA208" i="33"/>
  <c r="AA224" i="33"/>
  <c r="AA93" i="33"/>
  <c r="AA77" i="33"/>
  <c r="AA109" i="33"/>
  <c r="AA126" i="33"/>
  <c r="AA142" i="33"/>
  <c r="AA159" i="33"/>
  <c r="AA176" i="33"/>
  <c r="AA193" i="33"/>
  <c r="AA209" i="33"/>
  <c r="AA225" i="33"/>
  <c r="AA92" i="33"/>
  <c r="AA76" i="33"/>
  <c r="AA110" i="33"/>
  <c r="AA127" i="33"/>
  <c r="AA143" i="33"/>
  <c r="AA160" i="33"/>
  <c r="AA177" i="33"/>
  <c r="AA194" i="33"/>
  <c r="AA210" i="33"/>
  <c r="AA226" i="33"/>
  <c r="AA91" i="33"/>
  <c r="AA75" i="33"/>
  <c r="AA111" i="33"/>
  <c r="AA128" i="33"/>
  <c r="AA145" i="33"/>
  <c r="AA161" i="33"/>
  <c r="AA178" i="33"/>
  <c r="AA195" i="33"/>
  <c r="AA211" i="33"/>
  <c r="AA227" i="33"/>
  <c r="AA90" i="33"/>
  <c r="AA74" i="33"/>
  <c r="AA112" i="33"/>
  <c r="AA129" i="33"/>
  <c r="AA146" i="33"/>
  <c r="AA162" i="33"/>
  <c r="AA179" i="33"/>
  <c r="AA196" i="33"/>
  <c r="AA212" i="33"/>
  <c r="AA228" i="33"/>
  <c r="AA89" i="33"/>
  <c r="AA97" i="33"/>
  <c r="AA113" i="33"/>
  <c r="AA130" i="33"/>
  <c r="AA147" i="33"/>
  <c r="AA163" i="33"/>
  <c r="AA180" i="33"/>
  <c r="AA197" i="33"/>
  <c r="AA213" i="33"/>
  <c r="AA229" i="33"/>
  <c r="AA88" i="33"/>
  <c r="AA98" i="33"/>
  <c r="AA114" i="33"/>
  <c r="AA131" i="33"/>
  <c r="AA148" i="33"/>
  <c r="AA164" i="33"/>
  <c r="AA181" i="33"/>
  <c r="AA198" i="33"/>
  <c r="AA214" i="33"/>
  <c r="AA230" i="33"/>
  <c r="AA87" i="33"/>
  <c r="AA99" i="33"/>
  <c r="AA115" i="33"/>
  <c r="AA132" i="33"/>
  <c r="AA149" i="33"/>
  <c r="AA165" i="33"/>
  <c r="AA182" i="33"/>
  <c r="AA199" i="33"/>
  <c r="AA215" i="33"/>
  <c r="AA231" i="33"/>
  <c r="AA100" i="33"/>
  <c r="AA133" i="33"/>
  <c r="AA150" i="33"/>
  <c r="AA166" i="33"/>
  <c r="AA183" i="33"/>
  <c r="AA200" i="33"/>
  <c r="AA232" i="33"/>
  <c r="AA116" i="33"/>
  <c r="AA85" i="33"/>
  <c r="AA101" i="33"/>
  <c r="AA117" i="33"/>
  <c r="AA134" i="33"/>
  <c r="AA151" i="33"/>
  <c r="AA167" i="33"/>
  <c r="AA184" i="33"/>
  <c r="AA201" i="33"/>
  <c r="AA217" i="33"/>
  <c r="AA233" i="33"/>
  <c r="AA86" i="33"/>
  <c r="AA84" i="33"/>
  <c r="AA102" i="33"/>
  <c r="AA118" i="33"/>
  <c r="AA135" i="33"/>
  <c r="AA152" i="33"/>
  <c r="AA169" i="33"/>
  <c r="AA185" i="33"/>
  <c r="AA202" i="33"/>
  <c r="AA218" i="33"/>
  <c r="AA72" i="33"/>
  <c r="B20" i="24" l="1"/>
  <c r="B21" i="24"/>
  <c r="B22" i="24"/>
  <c r="B23" i="24"/>
  <c r="C30" i="33" l="1"/>
  <c r="C41" i="33" l="1"/>
  <c r="C40" i="33"/>
  <c r="K120" i="18" l="1"/>
  <c r="K121" i="18" s="1"/>
  <c r="K122" i="18" s="1"/>
  <c r="K123" i="18" s="1"/>
  <c r="K124" i="18" s="1"/>
  <c r="D119" i="18"/>
  <c r="D120" i="18" l="1"/>
  <c r="D121" i="18" s="1"/>
  <c r="D122" i="18" s="1"/>
  <c r="D123" i="18" s="1"/>
  <c r="C51" i="33"/>
  <c r="A14" i="13"/>
  <c r="D41" i="33" l="1"/>
  <c r="D40" i="33"/>
  <c r="J25" i="33" s="1"/>
  <c r="E11" i="119"/>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5" i="18"/>
  <c r="H155" i="18"/>
  <c r="G155" i="18"/>
  <c r="F155" i="18"/>
  <c r="E155" i="18"/>
  <c r="D155" i="18"/>
  <c r="C155" i="18"/>
  <c r="I154" i="18"/>
  <c r="H154" i="18"/>
  <c r="G154" i="18"/>
  <c r="F154" i="18"/>
  <c r="E154" i="18"/>
  <c r="D154" i="18"/>
  <c r="C154" i="18"/>
  <c r="I153" i="18"/>
  <c r="H153" i="18"/>
  <c r="G153" i="18"/>
  <c r="F153" i="18"/>
  <c r="E153" i="18"/>
  <c r="D153" i="18"/>
  <c r="C153" i="18"/>
  <c r="I152" i="18"/>
  <c r="H152" i="18"/>
  <c r="G152" i="18"/>
  <c r="F152" i="18"/>
  <c r="E152" i="18"/>
  <c r="D152" i="18"/>
  <c r="C152" i="18"/>
  <c r="I151" i="18"/>
  <c r="H151" i="18"/>
  <c r="G151" i="18"/>
  <c r="F151" i="18"/>
  <c r="E151" i="18"/>
  <c r="D151" i="18"/>
  <c r="C151"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2" i="12"/>
  <c r="C141" i="12"/>
  <c r="C140" i="12"/>
  <c r="C139" i="12"/>
  <c r="C138"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V25" i="119" l="1"/>
  <c r="V26" i="119" l="1"/>
  <c r="V27" i="119" l="1"/>
  <c r="V28" i="119" l="1"/>
  <c r="V29" i="119" l="1"/>
  <c r="V30" i="119" l="1"/>
  <c r="V31" i="119" l="1"/>
  <c r="K39" i="33"/>
  <c r="K41" i="33" s="1"/>
  <c r="K32" i="33"/>
  <c r="V32" i="119" l="1"/>
  <c r="V33" i="119" l="1"/>
  <c r="B18" i="17" l="1"/>
  <c r="C142" i="6"/>
  <c r="C3" i="24"/>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E91" i="6"/>
  <c r="C91" i="6"/>
  <c r="E147" i="6"/>
  <c r="C147" i="6"/>
  <c r="E110" i="6"/>
  <c r="C110" i="6"/>
  <c r="E101" i="6"/>
  <c r="C101" i="6"/>
  <c r="C9" i="35"/>
  <c r="B15" i="24"/>
  <c r="B16" i="24"/>
  <c r="B17" i="24"/>
  <c r="B18" i="24"/>
  <c r="B19"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D36" i="35" l="1"/>
  <c r="D27" i="35"/>
  <c r="B186" i="15"/>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7"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7" i="35"/>
  <c r="F37" i="35" s="1"/>
  <c r="D28" i="35"/>
  <c r="C25" i="24" s="1"/>
  <c r="H25" i="24" s="1"/>
  <c r="D21" i="35"/>
  <c r="D33" i="35"/>
  <c r="D19" i="35"/>
  <c r="AJ68" i="12"/>
  <c r="D94"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9" i="35"/>
  <c r="C26" i="24" s="1"/>
  <c r="H26" i="24" s="1"/>
  <c r="D34" i="35"/>
  <c r="D18" i="35"/>
  <c r="D92" i="6"/>
  <c r="D24" i="35"/>
  <c r="C21" i="24" s="1"/>
  <c r="H21" i="24" s="1"/>
  <c r="D95" i="6"/>
  <c r="D22" i="35"/>
  <c r="D20" i="35"/>
  <c r="Q34" i="12"/>
  <c r="T34" i="12"/>
  <c r="T12" i="12"/>
  <c r="BO12" i="12"/>
  <c r="AJ12" i="12"/>
  <c r="D35" i="35"/>
  <c r="D31" i="35"/>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6" i="6"/>
  <c r="I17" i="12"/>
  <c r="Z34" i="12"/>
  <c r="AM12" i="12"/>
  <c r="BN12" i="12"/>
  <c r="K17" i="12"/>
  <c r="T66" i="12"/>
  <c r="H12" i="12"/>
  <c r="M12" i="12"/>
  <c r="D97" i="6"/>
  <c r="E97" i="6" s="1"/>
  <c r="D30" i="35"/>
  <c r="C27" i="24" s="1"/>
  <c r="H27" i="24" s="1"/>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2" i="35"/>
  <c r="D98" i="6"/>
  <c r="D159"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F34" i="35" l="1"/>
  <c r="C31" i="24"/>
  <c r="H31" i="24" s="1"/>
  <c r="F32" i="35"/>
  <c r="C29" i="24"/>
  <c r="H29" i="24" s="1"/>
  <c r="F31" i="35"/>
  <c r="C28" i="24"/>
  <c r="H28" i="24" s="1"/>
  <c r="F35" i="35"/>
  <c r="C32" i="24"/>
  <c r="H32" i="24" s="1"/>
  <c r="F33" i="35"/>
  <c r="C30" i="24"/>
  <c r="H30" i="24" s="1"/>
  <c r="F27" i="35"/>
  <c r="C24" i="24"/>
  <c r="H24" i="24" s="1"/>
  <c r="F36" i="35"/>
  <c r="C33" i="24"/>
  <c r="H33" i="24" s="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8"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C18" i="24"/>
  <c r="H18" i="24" s="1"/>
  <c r="F21" i="35"/>
  <c r="O49" i="14"/>
  <c r="T49" i="14"/>
  <c r="M49" i="14"/>
  <c r="K66" i="15"/>
  <c r="N49" i="14"/>
  <c r="J49" i="14"/>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F29" i="35"/>
  <c r="F30" i="35"/>
  <c r="H34" i="24"/>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8" i="35"/>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D281" i="15"/>
  <c r="C282" i="15"/>
  <c r="C67" i="6"/>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F38" i="35"/>
  <c r="F97" i="34"/>
  <c r="H35" i="24"/>
  <c r="C35" i="2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F20" i="13"/>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D85" i="15" l="1"/>
  <c r="AF85" i="15"/>
  <c r="A69" i="14"/>
  <c r="H85" i="15"/>
  <c r="W85" i="15"/>
  <c r="A117" i="14"/>
  <c r="C117" i="14" s="1"/>
  <c r="C86" i="15"/>
  <c r="A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B88" i="15" l="1"/>
  <c r="A37" i="13" s="1"/>
  <c r="W86" i="15"/>
  <c r="C87" i="15"/>
  <c r="AF87" i="15" s="1"/>
  <c r="D86" i="15"/>
  <c r="M86" i="15" s="1"/>
  <c r="K86" i="15"/>
  <c r="AF86" i="15"/>
  <c r="L86" i="15"/>
  <c r="A70" i="14"/>
  <c r="H86" i="15"/>
  <c r="B35" i="13"/>
  <c r="B42" i="17"/>
  <c r="C41" i="17"/>
  <c r="A159" i="15"/>
  <c r="A206" i="15" s="1"/>
  <c r="A38" i="17"/>
  <c r="A86" i="15"/>
  <c r="E85" i="15"/>
  <c r="P158" i="15"/>
  <c r="Q158" i="15"/>
  <c r="I158" i="15"/>
  <c r="V158" i="15"/>
  <c r="L158" i="15"/>
  <c r="H158" i="15"/>
  <c r="U158" i="15"/>
  <c r="M158" i="15"/>
  <c r="T158" i="15"/>
  <c r="N158" i="15"/>
  <c r="R158" i="15"/>
  <c r="E158" i="15"/>
  <c r="D158" i="15"/>
  <c r="A71" i="14" l="1"/>
  <c r="C88" i="15"/>
  <c r="B89" i="15"/>
  <c r="A38" i="13" s="1"/>
  <c r="D87" i="15"/>
  <c r="W87" i="15"/>
  <c r="A119" i="14"/>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D88" i="15" l="1"/>
  <c r="M88" i="15" s="1"/>
  <c r="AF88" i="15"/>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D94" i="15" l="1"/>
  <c r="M94" i="15" s="1"/>
  <c r="K94" i="15"/>
  <c r="AF94" i="15"/>
  <c r="W94" i="15"/>
  <c r="L94" i="15"/>
  <c r="H94" i="15"/>
  <c r="A126" i="14"/>
  <c r="C95" i="15"/>
  <c r="A78" i="14"/>
  <c r="A48" i="13"/>
  <c r="A47" i="13"/>
  <c r="B100" i="15"/>
  <c r="A49" i="13" s="1"/>
  <c r="F42" i="13"/>
  <c r="B43" i="13"/>
  <c r="C49" i="17"/>
  <c r="B50" i="17"/>
  <c r="A46" i="17"/>
  <c r="A167" i="15"/>
  <c r="A214" i="15" s="1"/>
  <c r="A94" i="15"/>
  <c r="E93" i="15"/>
  <c r="P166" i="15"/>
  <c r="R166" i="15"/>
  <c r="V166" i="15"/>
  <c r="Q166" i="15"/>
  <c r="I166" i="15"/>
  <c r="L166" i="15"/>
  <c r="T166" i="15"/>
  <c r="H166" i="15"/>
  <c r="M166" i="15"/>
  <c r="U166" i="15"/>
  <c r="N166" i="15"/>
  <c r="D166" i="15"/>
  <c r="E166" i="15"/>
  <c r="W95" i="15" l="1"/>
  <c r="L95" i="15"/>
  <c r="H95" i="15"/>
  <c r="C96" i="15"/>
  <c r="A127" i="14"/>
  <c r="K95" i="15"/>
  <c r="A79" i="14"/>
  <c r="AF95" i="15"/>
  <c r="D95" i="15"/>
  <c r="M95" i="15" s="1"/>
  <c r="B101" i="15"/>
  <c r="A50" i="13" s="1"/>
  <c r="B44" i="13"/>
  <c r="F43" i="13"/>
  <c r="B51" i="17"/>
  <c r="C50" i="17"/>
  <c r="A168" i="15"/>
  <c r="A215" i="15" s="1"/>
  <c r="A47" i="17"/>
  <c r="A95" i="15"/>
  <c r="E94" i="15"/>
  <c r="Q167" i="15"/>
  <c r="P167" i="15"/>
  <c r="M167" i="15"/>
  <c r="U167" i="15"/>
  <c r="I167" i="15"/>
  <c r="V167" i="15"/>
  <c r="T167" i="15"/>
  <c r="R167" i="15"/>
  <c r="L167" i="15"/>
  <c r="N167" i="15"/>
  <c r="H167" i="15"/>
  <c r="D167" i="15"/>
  <c r="E167" i="15"/>
  <c r="A128" i="14" l="1"/>
  <c r="W96" i="15"/>
  <c r="L96" i="15"/>
  <c r="K96" i="15"/>
  <c r="A80" i="14"/>
  <c r="D96" i="15"/>
  <c r="M96" i="15" s="1"/>
  <c r="C97" i="15"/>
  <c r="AF96" i="15"/>
  <c r="H96" i="15"/>
  <c r="B102" i="15"/>
  <c r="B45" i="13"/>
  <c r="F44" i="13"/>
  <c r="B52" i="17"/>
  <c r="C51" i="17"/>
  <c r="A169" i="15"/>
  <c r="A216" i="15" s="1"/>
  <c r="A48" i="17"/>
  <c r="A96" i="15"/>
  <c r="E95" i="15"/>
  <c r="P168" i="15"/>
  <c r="Q168" i="15"/>
  <c r="I168" i="15"/>
  <c r="V168" i="15"/>
  <c r="N168" i="15"/>
  <c r="M168" i="15"/>
  <c r="T168" i="15"/>
  <c r="L168" i="15"/>
  <c r="H168" i="15"/>
  <c r="U168" i="15"/>
  <c r="R168" i="15"/>
  <c r="E168" i="15"/>
  <c r="D168" i="15"/>
  <c r="A81" i="14" l="1"/>
  <c r="K97" i="15"/>
  <c r="H97" i="15"/>
  <c r="W97" i="15"/>
  <c r="AF97" i="15"/>
  <c r="A129" i="14"/>
  <c r="D97" i="15"/>
  <c r="M97" i="15" s="1"/>
  <c r="L97" i="15"/>
  <c r="C98" i="15"/>
  <c r="A51" i="13"/>
  <c r="B103" i="15"/>
  <c r="B46" i="13"/>
  <c r="F45" i="13"/>
  <c r="B53" i="17"/>
  <c r="C52" i="17"/>
  <c r="A49" i="17"/>
  <c r="A170" i="15"/>
  <c r="A217" i="15" s="1"/>
  <c r="A97" i="15"/>
  <c r="E96" i="15"/>
  <c r="P169" i="15"/>
  <c r="M169" i="15"/>
  <c r="L169" i="15"/>
  <c r="Q169" i="15"/>
  <c r="N169" i="15"/>
  <c r="I169" i="15"/>
  <c r="V169" i="15"/>
  <c r="H169" i="15"/>
  <c r="R169" i="15"/>
  <c r="T169" i="15"/>
  <c r="U169" i="15"/>
  <c r="E169" i="15"/>
  <c r="D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K99" i="15" l="1"/>
  <c r="A83" i="14"/>
  <c r="A131" i="14"/>
  <c r="H99" i="15"/>
  <c r="W99" i="15"/>
  <c r="C100" i="15"/>
  <c r="D99" i="15"/>
  <c r="M99" i="15" s="1"/>
  <c r="L99" i="15"/>
  <c r="AF99" i="15"/>
  <c r="A53" i="13"/>
  <c r="B105" i="15"/>
  <c r="B48" i="13"/>
  <c r="F47" i="13"/>
  <c r="C54" i="17"/>
  <c r="B55" i="17"/>
  <c r="A51" i="17"/>
  <c r="A172" i="15"/>
  <c r="A219" i="15" s="1"/>
  <c r="A99" i="15"/>
  <c r="E98" i="15"/>
  <c r="Q171" i="15"/>
  <c r="P171" i="15"/>
  <c r="L171" i="15"/>
  <c r="H171" i="15"/>
  <c r="V171" i="15"/>
  <c r="T171" i="15"/>
  <c r="M171" i="15"/>
  <c r="U171" i="15"/>
  <c r="I171" i="15"/>
  <c r="N171" i="15"/>
  <c r="R171" i="15"/>
  <c r="E171" i="15"/>
  <c r="D171" i="15"/>
  <c r="K100" i="15" l="1"/>
  <c r="A84" i="14"/>
  <c r="D100" i="15"/>
  <c r="M100" i="15" s="1"/>
  <c r="AF100" i="15"/>
  <c r="C101" i="15"/>
  <c r="H100" i="15"/>
  <c r="L100" i="15"/>
  <c r="A132" i="14"/>
  <c r="W100" i="15"/>
  <c r="A54" i="13"/>
  <c r="B106" i="15"/>
  <c r="B49" i="13"/>
  <c r="F48" i="13"/>
  <c r="B56" i="17"/>
  <c r="C55" i="17"/>
  <c r="A52" i="17"/>
  <c r="A173" i="15"/>
  <c r="A220" i="15" s="1"/>
  <c r="A100" i="15"/>
  <c r="E99" i="15"/>
  <c r="P172" i="15"/>
  <c r="L172" i="15"/>
  <c r="V172" i="15"/>
  <c r="U172" i="15"/>
  <c r="M172" i="15"/>
  <c r="N172" i="15"/>
  <c r="Q172" i="15"/>
  <c r="I172" i="15"/>
  <c r="H172" i="15"/>
  <c r="T172" i="15"/>
  <c r="R172" i="15"/>
  <c r="D172" i="15"/>
  <c r="E172" i="15"/>
  <c r="D101" i="15" l="1"/>
  <c r="M101" i="15" s="1"/>
  <c r="A133" i="14"/>
  <c r="W101" i="15"/>
  <c r="AF101" i="15"/>
  <c r="A85" i="14"/>
  <c r="K101" i="15"/>
  <c r="L101" i="15"/>
  <c r="C102" i="15"/>
  <c r="H101" i="15"/>
  <c r="A55" i="13"/>
  <c r="B107" i="15"/>
  <c r="B50" i="13"/>
  <c r="F49" i="13"/>
  <c r="C56" i="17"/>
  <c r="B57" i="17"/>
  <c r="A53" i="17"/>
  <c r="A174" i="15"/>
  <c r="A221" i="15" s="1"/>
  <c r="A101" i="15"/>
  <c r="E100" i="15"/>
  <c r="P173" i="15"/>
  <c r="Q173" i="15"/>
  <c r="V173" i="15"/>
  <c r="U173" i="15"/>
  <c r="M173" i="15"/>
  <c r="I173" i="15"/>
  <c r="L173" i="15"/>
  <c r="N173" i="15"/>
  <c r="H173" i="15"/>
  <c r="R173" i="15"/>
  <c r="T173" i="15"/>
  <c r="E173" i="15"/>
  <c r="D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W103" i="15" l="1"/>
  <c r="C104" i="15"/>
  <c r="L103" i="15"/>
  <c r="H103" i="15"/>
  <c r="K103" i="15"/>
  <c r="A135" i="14"/>
  <c r="A87" i="14"/>
  <c r="D103" i="15"/>
  <c r="M103" i="15" s="1"/>
  <c r="AF103" i="15"/>
  <c r="A57" i="13"/>
  <c r="S108" i="15"/>
  <c r="B109" i="15"/>
  <c r="B52" i="13"/>
  <c r="F51" i="13"/>
  <c r="A176" i="15"/>
  <c r="A223" i="15" s="1"/>
  <c r="A55" i="17"/>
  <c r="A103" i="15"/>
  <c r="E102" i="15"/>
  <c r="Q175" i="15"/>
  <c r="N175" i="15"/>
  <c r="H175" i="15"/>
  <c r="L175" i="15"/>
  <c r="P175" i="15"/>
  <c r="R175" i="15"/>
  <c r="I175" i="15"/>
  <c r="U175" i="15"/>
  <c r="V175" i="15"/>
  <c r="T175" i="15"/>
  <c r="M175" i="15"/>
  <c r="E175" i="15"/>
  <c r="D175" i="15"/>
  <c r="A136" i="14" l="1"/>
  <c r="L104" i="15"/>
  <c r="K104" i="15"/>
  <c r="AF104" i="15"/>
  <c r="H104" i="15"/>
  <c r="D104" i="15"/>
  <c r="M104" i="15" s="1"/>
  <c r="C105" i="15"/>
  <c r="A88" i="14"/>
  <c r="W104" i="15"/>
  <c r="B110" i="15"/>
  <c r="S109" i="15"/>
  <c r="B53" i="13"/>
  <c r="F52" i="13"/>
  <c r="L102" i="15"/>
  <c r="M102" i="15"/>
  <c r="P176" i="15"/>
  <c r="Q176" i="15"/>
  <c r="T176" i="15"/>
  <c r="H176" i="15"/>
  <c r="L176" i="15"/>
  <c r="I176" i="15"/>
  <c r="V176" i="15"/>
  <c r="N176" i="15"/>
  <c r="R176" i="15"/>
  <c r="U176" i="15"/>
  <c r="M176" i="15"/>
  <c r="A56" i="17"/>
  <c r="A177" i="15"/>
  <c r="A224" i="15" s="1"/>
  <c r="A104" i="15"/>
  <c r="E103" i="15"/>
  <c r="D176" i="15"/>
  <c r="E176" i="15"/>
  <c r="A137" i="14" l="1"/>
  <c r="A89" i="14"/>
  <c r="K105" i="15"/>
  <c r="W105" i="15"/>
  <c r="H105" i="15"/>
  <c r="AF105" i="15"/>
  <c r="D105" i="15"/>
  <c r="C106" i="15"/>
  <c r="B111" i="15"/>
  <c r="S110" i="15"/>
  <c r="B54" i="13"/>
  <c r="F53" i="13"/>
  <c r="C109" i="15"/>
  <c r="Q109" i="15" s="1"/>
  <c r="P177" i="15"/>
  <c r="Q177" i="15"/>
  <c r="V177" i="15"/>
  <c r="L177" i="15"/>
  <c r="U177" i="15"/>
  <c r="N177" i="15"/>
  <c r="R177" i="15"/>
  <c r="T177" i="15"/>
  <c r="M177" i="15"/>
  <c r="I177" i="15"/>
  <c r="H177" i="15"/>
  <c r="A178" i="15"/>
  <c r="A225" i="15" s="1"/>
  <c r="A57" i="17"/>
  <c r="A105" i="15"/>
  <c r="E104" i="15"/>
  <c r="E177" i="15"/>
  <c r="D177" i="15"/>
  <c r="H106" i="15" l="1"/>
  <c r="W106" i="15"/>
  <c r="A138" i="14"/>
  <c r="C107" i="15"/>
  <c r="D106" i="15"/>
  <c r="M106" i="15" s="1"/>
  <c r="A90" i="14"/>
  <c r="AF106" i="15"/>
  <c r="K106" i="15"/>
  <c r="L106" i="15"/>
  <c r="S111" i="15"/>
  <c r="B112" i="15"/>
  <c r="B55" i="13"/>
  <c r="Z109" i="15"/>
  <c r="W109" i="15"/>
  <c r="K109" i="15"/>
  <c r="A143" i="14"/>
  <c r="L109" i="15"/>
  <c r="AF109" i="15"/>
  <c r="C110" i="15"/>
  <c r="Q110" i="15" s="1"/>
  <c r="AE109" i="15"/>
  <c r="H109" i="15"/>
  <c r="D109" i="15"/>
  <c r="M109" i="15" s="1"/>
  <c r="P178" i="15"/>
  <c r="Q178" i="15"/>
  <c r="N178" i="15"/>
  <c r="R178" i="15"/>
  <c r="U178" i="15"/>
  <c r="I178" i="15"/>
  <c r="M178" i="15"/>
  <c r="V178" i="15"/>
  <c r="L178" i="15"/>
  <c r="H178" i="15"/>
  <c r="T178" i="15"/>
  <c r="A179" i="15"/>
  <c r="A226" i="15" s="1"/>
  <c r="A106" i="15"/>
  <c r="E105" i="15"/>
  <c r="D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A180" i="15"/>
  <c r="A227" i="15" s="1"/>
  <c r="A107" i="15"/>
  <c r="A108" i="15" s="1"/>
  <c r="E106" i="15"/>
  <c r="Q179" i="15"/>
  <c r="P179" i="15"/>
  <c r="I179" i="15"/>
  <c r="N179" i="15"/>
  <c r="R179" i="15"/>
  <c r="H179" i="15"/>
  <c r="M179" i="15"/>
  <c r="L179" i="15"/>
  <c r="U179" i="15"/>
  <c r="T179" i="15"/>
  <c r="V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P180" i="15"/>
  <c r="I180" i="15"/>
  <c r="Q180" i="15"/>
  <c r="R180" i="15"/>
  <c r="H180" i="15"/>
  <c r="M180" i="15"/>
  <c r="L180" i="15"/>
  <c r="V180" i="15"/>
  <c r="N180" i="15"/>
  <c r="T180" i="15"/>
  <c r="U180" i="15"/>
  <c r="A181" i="15"/>
  <c r="A228" i="15" s="1"/>
  <c r="E107" i="15"/>
  <c r="D180" i="15"/>
  <c r="E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E233" i="15"/>
  <c r="I35" i="34" s="1"/>
  <c r="D233" i="15"/>
  <c r="I34" i="34" s="1"/>
  <c r="L87" i="15"/>
  <c r="M87" i="15"/>
  <c r="I48" i="119"/>
  <c r="H48" i="119"/>
  <c r="G48" i="119"/>
  <c r="E48" i="119"/>
  <c r="C52" i="6" s="1"/>
  <c r="D48" i="119"/>
  <c r="C26" i="6" s="1"/>
  <c r="C48" i="119"/>
  <c r="C25" i="6" s="1"/>
  <c r="F48" i="119"/>
  <c r="E75" i="6" l="1"/>
  <c r="B133" i="15" s="1"/>
  <c r="E77" i="6"/>
  <c r="C133" i="15" s="1"/>
  <c r="C58" i="35"/>
  <c r="B22" i="15"/>
  <c r="C3" i="119"/>
  <c r="C199" i="119" s="1"/>
  <c r="B180" i="15"/>
  <c r="B181" i="15"/>
  <c r="B166" i="15"/>
  <c r="B173" i="15"/>
  <c r="B161" i="15"/>
  <c r="B165" i="15"/>
  <c r="B178" i="15"/>
  <c r="B172" i="15"/>
  <c r="B167" i="15"/>
  <c r="B169" i="15"/>
  <c r="B164" i="15"/>
  <c r="B168" i="15"/>
  <c r="B162" i="15"/>
  <c r="B163" i="15"/>
  <c r="B176" i="15"/>
  <c r="B179" i="15"/>
  <c r="B149" i="15"/>
  <c r="B142" i="15"/>
  <c r="B151" i="15"/>
  <c r="B153" i="15"/>
  <c r="B139" i="15"/>
  <c r="B156" i="15"/>
  <c r="B147" i="15"/>
  <c r="B150" i="15"/>
  <c r="B143" i="15"/>
  <c r="B159" i="15"/>
  <c r="B141" i="15"/>
  <c r="B146" i="15"/>
  <c r="B144" i="15"/>
  <c r="C60" i="35" l="1"/>
  <c r="C61" i="35"/>
  <c r="X59" i="15"/>
  <c r="AF116" i="15" s="1"/>
  <c r="AB55" i="15" s="1"/>
  <c r="AB57" i="15" s="1"/>
  <c r="E22" i="15"/>
  <c r="F36" i="14"/>
  <c r="D36" i="14"/>
  <c r="G36" i="14"/>
  <c r="C36" i="14"/>
  <c r="E36" i="14"/>
  <c r="B26" i="15"/>
  <c r="B27" i="15" s="1"/>
  <c r="E23" i="15" s="1"/>
  <c r="C5" i="119"/>
  <c r="E199" i="119" s="1"/>
  <c r="H36" i="14"/>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74" i="15"/>
  <c r="B171" i="15"/>
  <c r="B160" i="15"/>
  <c r="B177" i="15"/>
  <c r="B175" i="15"/>
  <c r="B170" i="15"/>
  <c r="B158" i="15"/>
  <c r="B140" i="15"/>
  <c r="B148" i="15"/>
  <c r="B155" i="15"/>
  <c r="B157" i="15"/>
  <c r="B152" i="15"/>
  <c r="B145" i="15"/>
  <c r="B154" i="15"/>
  <c r="C33" i="33" l="1"/>
  <c r="W116" i="15"/>
  <c r="D37" i="14"/>
  <c r="G37" i="14"/>
  <c r="E37" i="14"/>
  <c r="W115" i="15"/>
  <c r="F37" i="14"/>
  <c r="C37" i="14"/>
  <c r="H37" i="14"/>
  <c r="H5" i="119"/>
  <c r="C83" i="119" s="1"/>
  <c r="D83" i="119" s="1"/>
  <c r="C84" i="119"/>
  <c r="D84" i="119" s="1"/>
  <c r="I5" i="119"/>
  <c r="C85" i="119" s="1"/>
  <c r="D85" i="119" s="1"/>
  <c r="E24" i="15"/>
  <c r="G136" i="15"/>
  <c r="F83" i="6"/>
  <c r="F136" i="15"/>
  <c r="E100" i="34"/>
  <c r="C100" i="34"/>
  <c r="C37" i="34"/>
  <c r="D100" i="34"/>
  <c r="C38" i="34"/>
  <c r="E101" i="34"/>
  <c r="D101" i="34"/>
  <c r="C101" i="34"/>
  <c r="C95" i="34"/>
  <c r="E95" i="34"/>
  <c r="D95" i="34"/>
  <c r="B203" i="119"/>
  <c r="L101" i="119"/>
  <c r="C77" i="119"/>
  <c r="D77" i="119" s="1"/>
  <c r="D61" i="34"/>
  <c r="C61" i="34"/>
  <c r="D32" i="34"/>
  <c r="E61"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E25" i="15" l="1"/>
  <c r="L103" i="119"/>
  <c r="F100" i="34"/>
  <c r="F101" i="34"/>
  <c r="D38" i="34"/>
  <c r="D116" i="34"/>
  <c r="D67" i="34"/>
  <c r="C116" i="34"/>
  <c r="C67" i="34"/>
  <c r="E67" i="34"/>
  <c r="E116" i="34"/>
  <c r="E66" i="34"/>
  <c r="D66" i="34"/>
  <c r="E115" i="34"/>
  <c r="C115" i="34"/>
  <c r="D37" i="34"/>
  <c r="D115" i="34"/>
  <c r="C66" i="34"/>
  <c r="C54" i="34"/>
  <c r="F95" i="34"/>
  <c r="C203" i="119"/>
  <c r="D203" i="119" s="1"/>
  <c r="F110" i="34"/>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C210" i="119" l="1"/>
  <c r="D210" i="119" s="1"/>
  <c r="D145" i="119" l="1"/>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6" i="15" l="1"/>
  <c r="C134" i="6" l="1"/>
  <c r="C27" i="6"/>
  <c r="C28" i="6" s="1"/>
  <c r="B20" i="15"/>
  <c r="B21" i="15" s="1"/>
  <c r="C4" i="119"/>
  <c r="C69" i="6"/>
  <c r="C4" i="24"/>
  <c r="F75" i="6" l="1"/>
  <c r="F77" i="6"/>
  <c r="E138" i="6"/>
  <c r="C141" i="6" s="1"/>
  <c r="C145" i="6" s="1"/>
  <c r="E27" i="24"/>
  <c r="G27" i="24" s="1"/>
  <c r="E24" i="24"/>
  <c r="G24" i="24" s="1"/>
  <c r="E31" i="24"/>
  <c r="G31" i="24" s="1"/>
  <c r="E25" i="24"/>
  <c r="G25" i="24" s="1"/>
  <c r="E30" i="24"/>
  <c r="G30" i="24" s="1"/>
  <c r="E28" i="24"/>
  <c r="G28" i="24" s="1"/>
  <c r="E32" i="24"/>
  <c r="G32" i="24" s="1"/>
  <c r="E26" i="24"/>
  <c r="G26" i="24" s="1"/>
  <c r="E33" i="24"/>
  <c r="G33" i="24" s="1"/>
  <c r="E29" i="24"/>
  <c r="G29" i="24" s="1"/>
  <c r="AE66" i="15"/>
  <c r="AE67" i="15"/>
  <c r="L187" i="15"/>
  <c r="M187" i="15"/>
  <c r="H187" i="15"/>
  <c r="N187" i="15"/>
  <c r="D187" i="15"/>
  <c r="I187" i="15"/>
  <c r="E187" i="15"/>
  <c r="M188" i="15"/>
  <c r="I188" i="15"/>
  <c r="L188" i="15"/>
  <c r="N188" i="15"/>
  <c r="D188" i="15"/>
  <c r="E188" i="15"/>
  <c r="H188" i="15"/>
  <c r="B188" i="15"/>
  <c r="B187" i="15"/>
  <c r="G187" i="15"/>
  <c r="G188" i="15"/>
  <c r="F188" i="15"/>
  <c r="F187" i="15"/>
  <c r="Q67" i="15"/>
  <c r="Q66" i="15"/>
  <c r="K187" i="15"/>
  <c r="K188" i="15"/>
  <c r="E34" i="24"/>
  <c r="G34" i="24" s="1"/>
  <c r="E16" i="24"/>
  <c r="G16" i="24" s="1"/>
  <c r="D154" i="6"/>
  <c r="E17" i="24"/>
  <c r="G17" i="24" s="1"/>
  <c r="E21" i="24"/>
  <c r="G21" i="24" s="1"/>
  <c r="D153" i="6"/>
  <c r="D148" i="6"/>
  <c r="E148" i="6" s="1"/>
  <c r="D155" i="6"/>
  <c r="E15" i="24"/>
  <c r="G15" i="24" s="1"/>
  <c r="E22" i="24"/>
  <c r="G22" i="24" s="1"/>
  <c r="D151" i="6"/>
  <c r="E151" i="6" s="1"/>
  <c r="E14" i="24"/>
  <c r="G14" i="24" s="1"/>
  <c r="D149" i="6"/>
  <c r="E149" i="6" s="1"/>
  <c r="B57" i="15" s="1"/>
  <c r="D150" i="6"/>
  <c r="E150" i="6" s="1"/>
  <c r="D111" i="6"/>
  <c r="E111" i="6" s="1"/>
  <c r="E113" i="6" s="1"/>
  <c r="E115" i="6" s="1"/>
  <c r="D122" i="6"/>
  <c r="E122" i="6" s="1"/>
  <c r="E13" i="24"/>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H210" i="15"/>
  <c r="E211" i="15"/>
  <c r="D203" i="15"/>
  <c r="I189" i="15"/>
  <c r="I197" i="15"/>
  <c r="D193" i="15"/>
  <c r="AE72" i="15"/>
  <c r="H199" i="15"/>
  <c r="M225" i="15"/>
  <c r="AE98" i="15"/>
  <c r="E205" i="15"/>
  <c r="N203"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L207" i="15"/>
  <c r="AE68" i="15"/>
  <c r="AE101" i="15"/>
  <c r="N199" i="15"/>
  <c r="B228" i="15"/>
  <c r="E222" i="15"/>
  <c r="D216" i="15"/>
  <c r="M221" i="15"/>
  <c r="D220" i="15"/>
  <c r="AE70" i="15"/>
  <c r="I226" i="15"/>
  <c r="AE100" i="15"/>
  <c r="L219" i="15"/>
  <c r="I191" i="15"/>
  <c r="I192" i="15"/>
  <c r="L227" i="15"/>
  <c r="E191" i="15"/>
  <c r="L193" i="15"/>
  <c r="AE85" i="15"/>
  <c r="H216" i="15"/>
  <c r="N221" i="15"/>
  <c r="H207" i="15"/>
  <c r="E228" i="15"/>
  <c r="M191" i="15"/>
  <c r="H224" i="15"/>
  <c r="M194" i="15"/>
  <c r="M208" i="15"/>
  <c r="E226" i="15"/>
  <c r="L220" i="15"/>
  <c r="AE87" i="15"/>
  <c r="B211" i="15"/>
  <c r="B206" i="15"/>
  <c r="B198" i="15"/>
  <c r="I203"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E197" i="15"/>
  <c r="E217" i="15"/>
  <c r="AE73" i="15"/>
  <c r="H218" i="15"/>
  <c r="I223" i="15"/>
  <c r="I214" i="15"/>
  <c r="D212" i="15"/>
  <c r="D202" i="15"/>
  <c r="M195" i="15"/>
  <c r="I205" i="15"/>
  <c r="AE95" i="15"/>
  <c r="L214" i="15"/>
  <c r="AE83" i="15"/>
  <c r="L195" i="15"/>
  <c r="H198" i="15"/>
  <c r="D211" i="15"/>
  <c r="E201" i="15"/>
  <c r="I190" i="15"/>
  <c r="H214" i="15"/>
  <c r="H219" i="15"/>
  <c r="E206" i="15"/>
  <c r="D198" i="15"/>
  <c r="H202" i="15"/>
  <c r="H204" i="15"/>
  <c r="M218" i="15"/>
  <c r="E221" i="15"/>
  <c r="B191" i="15"/>
  <c r="AE89" i="15"/>
  <c r="N206" i="15"/>
  <c r="B210" i="15"/>
  <c r="N209" i="15"/>
  <c r="L224" i="15"/>
  <c r="N222" i="15"/>
  <c r="L226" i="15"/>
  <c r="N211" i="15"/>
  <c r="E219" i="15"/>
  <c r="I200" i="15"/>
  <c r="D196" i="15"/>
  <c r="D197" i="15"/>
  <c r="M227" i="15"/>
  <c r="D206" i="15"/>
  <c r="AE78" i="15"/>
  <c r="L228" i="15"/>
  <c r="E209" i="15"/>
  <c r="H189" i="15"/>
  <c r="M204" i="15"/>
  <c r="D189" i="15"/>
  <c r="L225" i="15"/>
  <c r="M206" i="15"/>
  <c r="I225" i="15"/>
  <c r="N218" i="15"/>
  <c r="B200" i="15"/>
  <c r="M196" i="15"/>
  <c r="H196" i="15"/>
  <c r="N204" i="15"/>
  <c r="AE69" i="15"/>
  <c r="M209" i="15"/>
  <c r="H221" i="15"/>
  <c r="H213" i="15"/>
  <c r="I217" i="15"/>
  <c r="M216" i="15"/>
  <c r="N197" i="15"/>
  <c r="L209" i="15"/>
  <c r="L190" i="15"/>
  <c r="M200" i="15"/>
  <c r="N227" i="15"/>
  <c r="M205" i="15"/>
  <c r="N208" i="15"/>
  <c r="N219" i="15"/>
  <c r="L192" i="15"/>
  <c r="B17" i="15"/>
  <c r="B219" i="15"/>
  <c r="B226" i="15"/>
  <c r="B196" i="15"/>
  <c r="H206" i="15"/>
  <c r="H212" i="15"/>
  <c r="AE79" i="15"/>
  <c r="AE94" i="15"/>
  <c r="M217" i="15"/>
  <c r="I220" i="15"/>
  <c r="N216" i="15"/>
  <c r="E203" i="15"/>
  <c r="AE74" i="15"/>
  <c r="AE84" i="15"/>
  <c r="H203" i="15"/>
  <c r="M199" i="15"/>
  <c r="AE71" i="15"/>
  <c r="L210" i="15"/>
  <c r="E216" i="15"/>
  <c r="AE99" i="15"/>
  <c r="AE104" i="15"/>
  <c r="I210" i="15"/>
  <c r="E194" i="15"/>
  <c r="E215" i="15"/>
  <c r="E220" i="15"/>
  <c r="AE82" i="15"/>
  <c r="B189" i="15"/>
  <c r="B220" i="15"/>
  <c r="B215" i="15"/>
  <c r="B214" i="15"/>
  <c r="B208" i="15"/>
  <c r="AE96" i="15"/>
  <c r="L203" i="15"/>
  <c r="D210" i="15"/>
  <c r="I202" i="15"/>
  <c r="L202" i="15"/>
  <c r="E189" i="15"/>
  <c r="N205" i="15"/>
  <c r="L204" i="15"/>
  <c r="I211" i="15"/>
  <c r="AE81" i="15"/>
  <c r="N220" i="15"/>
  <c r="D223" i="15"/>
  <c r="N215" i="15"/>
  <c r="H208" i="15"/>
  <c r="E224" i="15"/>
  <c r="AE92" i="15"/>
  <c r="M201" i="15"/>
  <c r="D227" i="15"/>
  <c r="AE97" i="15"/>
  <c r="L205" i="15"/>
  <c r="M203" i="15"/>
  <c r="AE91" i="15"/>
  <c r="L200" i="15"/>
  <c r="M190" i="15"/>
  <c r="B216" i="15"/>
  <c r="B194" i="15"/>
  <c r="AE90" i="15"/>
  <c r="H201" i="15"/>
  <c r="D217" i="15"/>
  <c r="H225" i="15"/>
  <c r="D205" i="15"/>
  <c r="L211" i="15"/>
  <c r="D201"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E202" i="15"/>
  <c r="N212" i="15"/>
  <c r="N224" i="15"/>
  <c r="AE86" i="15"/>
  <c r="N194" i="15"/>
  <c r="M226" i="15"/>
  <c r="I196" i="15"/>
  <c r="H193" i="15"/>
  <c r="I216" i="15"/>
  <c r="B213" i="15"/>
  <c r="I227" i="15"/>
  <c r="D209" i="15"/>
  <c r="H195" i="15"/>
  <c r="I199" i="15"/>
  <c r="L201" i="15"/>
  <c r="I201" i="15"/>
  <c r="N200" i="15"/>
  <c r="E218" i="15"/>
  <c r="AE102" i="15"/>
  <c r="N207" i="15"/>
  <c r="M228" i="15"/>
  <c r="N213" i="15"/>
  <c r="D195" i="15"/>
  <c r="I219" i="15"/>
  <c r="I195" i="15"/>
  <c r="E207" i="15"/>
  <c r="D221" i="15"/>
  <c r="N195" i="15"/>
  <c r="N217" i="15"/>
  <c r="M211"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B227" i="15"/>
  <c r="L212" i="15"/>
  <c r="M220" i="15"/>
  <c r="B197" i="15"/>
  <c r="E213" i="15"/>
  <c r="D200" i="15"/>
  <c r="E208" i="15"/>
  <c r="M210" i="15"/>
  <c r="L208"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G203" i="15"/>
  <c r="G205" i="15"/>
  <c r="B201" i="15"/>
  <c r="B217" i="15"/>
  <c r="G201" i="15"/>
  <c r="G207" i="15"/>
  <c r="G208" i="15"/>
  <c r="G206" i="15"/>
  <c r="G200" i="15"/>
  <c r="G190" i="15"/>
  <c r="G220" i="15"/>
  <c r="B207" i="15"/>
  <c r="B202" i="15"/>
  <c r="G194" i="15"/>
  <c r="G216" i="15"/>
  <c r="B218" i="15"/>
  <c r="G225" i="15"/>
  <c r="G219" i="15"/>
  <c r="B192" i="15"/>
  <c r="G198" i="15"/>
  <c r="G193" i="15"/>
  <c r="G189" i="15"/>
  <c r="G214" i="15"/>
  <c r="B205" i="15"/>
  <c r="G215" i="15"/>
  <c r="G218" i="15"/>
  <c r="G223" i="15"/>
  <c r="B221" i="15"/>
  <c r="G209" i="15"/>
  <c r="G222" i="15"/>
  <c r="G199" i="15"/>
  <c r="B199" i="15"/>
  <c r="B222" i="15"/>
  <c r="G202" i="15"/>
  <c r="G213" i="15"/>
  <c r="G196" i="15"/>
  <c r="B224" i="15"/>
  <c r="G197" i="15"/>
  <c r="G226" i="15"/>
  <c r="G228" i="15"/>
  <c r="G224" i="15"/>
  <c r="G191" i="15"/>
  <c r="G212" i="15"/>
  <c r="G195" i="15"/>
  <c r="G227" i="15"/>
  <c r="G204" i="15"/>
  <c r="F213" i="15"/>
  <c r="F193" i="15"/>
  <c r="F200" i="15"/>
  <c r="F224" i="15"/>
  <c r="F225" i="15"/>
  <c r="F217" i="15"/>
  <c r="F220" i="15"/>
  <c r="F201" i="15"/>
  <c r="F206" i="15"/>
  <c r="F216" i="15"/>
  <c r="F203" i="15"/>
  <c r="F228" i="15"/>
  <c r="F192" i="15"/>
  <c r="F198" i="15"/>
  <c r="F189" i="15"/>
  <c r="F211" i="15"/>
  <c r="F194" i="15"/>
  <c r="F195" i="15"/>
  <c r="F209" i="15"/>
  <c r="F219" i="15"/>
  <c r="F222" i="15"/>
  <c r="F204" i="15"/>
  <c r="F221" i="15"/>
  <c r="F227" i="15"/>
  <c r="F210" i="15"/>
  <c r="F205" i="15"/>
  <c r="F190" i="15"/>
  <c r="F196" i="15"/>
  <c r="F215" i="15"/>
  <c r="F199" i="15"/>
  <c r="F197" i="15"/>
  <c r="F226" i="15"/>
  <c r="F207" i="15"/>
  <c r="F223" i="15"/>
  <c r="F191" i="15"/>
  <c r="F202" i="15"/>
  <c r="F212" i="15"/>
  <c r="F218" i="15"/>
  <c r="F208" i="15"/>
  <c r="F214" i="15"/>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P66" i="15" l="1"/>
  <c r="P67" i="15"/>
  <c r="G231" i="15"/>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I231" i="15"/>
  <c r="L102" i="119"/>
  <c r="C80" i="119"/>
  <c r="D80" i="119" s="1"/>
  <c r="B18" i="15"/>
  <c r="B19" i="15"/>
  <c r="K231" i="15"/>
  <c r="Q114" i="15"/>
  <c r="Q115" i="15"/>
  <c r="B124" i="15" s="1"/>
  <c r="Q116" i="15"/>
  <c r="B231" i="15"/>
  <c r="AE116" i="15"/>
  <c r="AC55" i="15" s="1"/>
  <c r="AC57" i="15" s="1"/>
  <c r="E35" i="24"/>
  <c r="G13" i="24"/>
  <c r="G35" i="24" s="1"/>
  <c r="D231" i="15"/>
  <c r="Q118" i="15" l="1"/>
  <c r="L48" i="119" s="1"/>
  <c r="E156" i="119" s="1"/>
  <c r="F232" i="15"/>
  <c r="F233" i="15" s="1"/>
  <c r="I37" i="34" s="1"/>
  <c r="E232" i="15"/>
  <c r="K232" i="15"/>
  <c r="K233" i="15" s="1"/>
  <c r="I47" i="34" s="1"/>
  <c r="P116" i="15"/>
  <c r="P117" i="15" s="1"/>
  <c r="U48" i="119" s="1"/>
  <c r="E166" i="119" s="1"/>
  <c r="P115" i="15"/>
  <c r="B123" i="15" s="1"/>
  <c r="P114" i="15"/>
  <c r="D232" i="15"/>
  <c r="L232" i="15"/>
  <c r="C5" i="24"/>
  <c r="C88" i="6"/>
  <c r="H232" i="15"/>
  <c r="N232" i="15"/>
  <c r="M232" i="15"/>
  <c r="B232" i="15"/>
  <c r="B233" i="15" s="1"/>
  <c r="I32" i="34" s="1"/>
  <c r="I232" i="15"/>
  <c r="G232" i="15"/>
  <c r="G233" i="15" s="1"/>
  <c r="I38" i="34" s="1"/>
  <c r="E57" i="17" l="1"/>
  <c r="E56" i="17"/>
  <c r="E40" i="17"/>
  <c r="E24" i="17"/>
  <c r="E50" i="17"/>
  <c r="E47" i="17"/>
  <c r="E27" i="17"/>
  <c r="E55" i="17"/>
  <c r="E39" i="17"/>
  <c r="E23" i="17"/>
  <c r="E19" i="17"/>
  <c r="E33" i="17"/>
  <c r="E32" i="17"/>
  <c r="E44" i="17"/>
  <c r="E54" i="17"/>
  <c r="E38" i="17"/>
  <c r="E22" i="17"/>
  <c r="E49" i="17"/>
  <c r="E30" i="17"/>
  <c r="E29" i="17"/>
  <c r="E42" i="17"/>
  <c r="E53" i="17"/>
  <c r="E37" i="17"/>
  <c r="E21" i="17"/>
  <c r="E35" i="17"/>
  <c r="E46" i="17"/>
  <c r="E28" i="17"/>
  <c r="E26" i="17"/>
  <c r="E52" i="17"/>
  <c r="E36" i="17"/>
  <c r="E20" i="17"/>
  <c r="E34" i="17"/>
  <c r="E48" i="17"/>
  <c r="E43" i="17"/>
  <c r="E41" i="17"/>
  <c r="E51" i="17"/>
  <c r="E45" i="17"/>
  <c r="E25" i="17"/>
  <c r="E31" i="17"/>
  <c r="C121" i="6"/>
  <c r="E18" i="17"/>
  <c r="C92" i="6"/>
  <c r="C95" i="6"/>
  <c r="D120" i="6"/>
  <c r="E120" i="6" s="1"/>
  <c r="D119" i="6"/>
  <c r="E119" i="6" s="1"/>
  <c r="D121" i="6"/>
  <c r="E121" i="6" s="1"/>
  <c r="D103" i="6"/>
  <c r="E103" i="6" s="1"/>
  <c r="E104" i="6" s="1"/>
  <c r="E106" i="6" s="1"/>
  <c r="B52" i="15" s="1"/>
  <c r="K65" i="15" s="1"/>
  <c r="D116" i="6"/>
  <c r="E116" i="6" s="1"/>
  <c r="D123" i="6"/>
  <c r="E123" i="6" s="1"/>
  <c r="K114" i="15" l="1"/>
  <c r="K115" i="15"/>
  <c r="K116" i="15"/>
  <c r="K117" i="15" s="1"/>
  <c r="Q48" i="119" s="1"/>
  <c r="E162" i="119" s="1"/>
  <c r="F18" i="17" l="1"/>
  <c r="D147" i="119" l="1"/>
  <c r="D107" i="119" l="1"/>
  <c r="C198" i="119" l="1"/>
  <c r="E208" i="119" s="1"/>
  <c r="W22" i="119" l="1"/>
  <c r="W16" i="119"/>
  <c r="W29" i="119"/>
  <c r="W27" i="119"/>
  <c r="W23" i="119"/>
  <c r="W21" i="119"/>
  <c r="W32" i="119"/>
  <c r="W20" i="119"/>
  <c r="W24" i="119"/>
  <c r="W18" i="119"/>
  <c r="W25" i="119"/>
  <c r="W33" i="119"/>
  <c r="W26" i="119"/>
  <c r="W28" i="119"/>
  <c r="W30" i="119"/>
  <c r="W15" i="119"/>
  <c r="W31" i="119"/>
  <c r="W19" i="119"/>
  <c r="W17" i="119"/>
  <c r="E218" i="119"/>
  <c r="W14" i="119"/>
  <c r="W34" i="119"/>
  <c r="E209" i="119"/>
  <c r="E219" i="119"/>
  <c r="F205" i="119"/>
  <c r="E205" i="119"/>
  <c r="F213" i="119"/>
  <c r="E213" i="119"/>
  <c r="F203" i="119"/>
  <c r="E203" i="119"/>
  <c r="E211" i="119"/>
  <c r="F212" i="119"/>
  <c r="F211" i="119"/>
  <c r="F219" i="119"/>
  <c r="E212" i="119"/>
  <c r="F206" i="119"/>
  <c r="E206" i="119"/>
  <c r="F202" i="119"/>
  <c r="F215" i="119"/>
  <c r="E217" i="119"/>
  <c r="F218" i="119"/>
  <c r="E215" i="119"/>
  <c r="F220" i="119"/>
  <c r="E220" i="119"/>
  <c r="F216" i="119"/>
  <c r="E216" i="119"/>
  <c r="F221" i="119"/>
  <c r="E221" i="119"/>
  <c r="F209" i="119"/>
  <c r="E202" i="119"/>
  <c r="F207" i="119"/>
  <c r="F204" i="119"/>
  <c r="E207" i="119"/>
  <c r="F210" i="119"/>
  <c r="E210" i="119"/>
  <c r="F222" i="119"/>
  <c r="G222" i="119" s="1"/>
  <c r="F214" i="119"/>
  <c r="E204" i="119"/>
  <c r="E214" i="119"/>
  <c r="F208" i="119"/>
  <c r="G208" i="119" s="1"/>
  <c r="F217" i="119"/>
  <c r="F82" i="6"/>
  <c r="C144" i="6" s="1"/>
  <c r="F33" i="34"/>
  <c r="C181" i="15"/>
  <c r="C180" i="15"/>
  <c r="C165" i="15"/>
  <c r="C170" i="15"/>
  <c r="C179" i="15"/>
  <c r="C164" i="15"/>
  <c r="C169" i="15"/>
  <c r="C175" i="15"/>
  <c r="C167" i="15"/>
  <c r="C174" i="15"/>
  <c r="C177" i="15"/>
  <c r="C161" i="15"/>
  <c r="C172" i="15"/>
  <c r="C168" i="15"/>
  <c r="C171" i="15"/>
  <c r="C173" i="15"/>
  <c r="C178" i="15"/>
  <c r="C163" i="15"/>
  <c r="C176" i="15"/>
  <c r="C162" i="15"/>
  <c r="C166" i="15"/>
  <c r="C160" i="15"/>
  <c r="C156" i="15"/>
  <c r="C154" i="15"/>
  <c r="C148" i="15"/>
  <c r="C144" i="15"/>
  <c r="C150" i="15"/>
  <c r="C145" i="15"/>
  <c r="C151" i="15"/>
  <c r="C147" i="15"/>
  <c r="C159" i="15"/>
  <c r="C139" i="15"/>
  <c r="C158" i="15"/>
  <c r="C155" i="15"/>
  <c r="C140" i="15"/>
  <c r="C157" i="15"/>
  <c r="C146" i="15"/>
  <c r="C141" i="15"/>
  <c r="C149" i="15"/>
  <c r="C153" i="15"/>
  <c r="C142" i="15"/>
  <c r="C143" i="15"/>
  <c r="C152" i="15"/>
  <c r="C188" i="15" l="1"/>
  <c r="O67" i="15"/>
  <c r="C187" i="15"/>
  <c r="O66" i="15"/>
  <c r="G218" i="119"/>
  <c r="G207" i="119"/>
  <c r="G211" i="119"/>
  <c r="G219" i="119"/>
  <c r="G205" i="119"/>
  <c r="G206" i="119"/>
  <c r="G213" i="119"/>
  <c r="G209" i="119"/>
  <c r="G210" i="119"/>
  <c r="G203" i="119"/>
  <c r="G216" i="119"/>
  <c r="G221" i="119"/>
  <c r="G215" i="119"/>
  <c r="G220" i="119"/>
  <c r="G212" i="119"/>
  <c r="G217" i="119"/>
  <c r="G202" i="119"/>
  <c r="G214" i="119"/>
  <c r="G204" i="119"/>
  <c r="C204" i="15"/>
  <c r="O83" i="15"/>
  <c r="C208" i="15"/>
  <c r="O87" i="15"/>
  <c r="O76" i="15"/>
  <c r="C197" i="15"/>
  <c r="O100" i="15"/>
  <c r="C221" i="15"/>
  <c r="C200" i="15"/>
  <c r="O79" i="15"/>
  <c r="O82" i="15"/>
  <c r="C203" i="15"/>
  <c r="C216" i="15"/>
  <c r="O95" i="15"/>
  <c r="C210" i="15"/>
  <c r="O89" i="15"/>
  <c r="C209" i="15"/>
  <c r="O88" i="15"/>
  <c r="O99" i="15"/>
  <c r="C220" i="15"/>
  <c r="O84" i="15"/>
  <c r="C205" i="15"/>
  <c r="C226" i="15"/>
  <c r="O105" i="15"/>
  <c r="C196" i="15"/>
  <c r="O75" i="15"/>
  <c r="C211" i="15"/>
  <c r="O90" i="15"/>
  <c r="C191" i="15"/>
  <c r="O70" i="15"/>
  <c r="C214" i="15"/>
  <c r="O93" i="15"/>
  <c r="C201" i="15"/>
  <c r="O80" i="15"/>
  <c r="C192" i="15"/>
  <c r="O71" i="15"/>
  <c r="O96" i="15"/>
  <c r="C217" i="15"/>
  <c r="O94" i="15"/>
  <c r="C215" i="15"/>
  <c r="C212" i="15"/>
  <c r="O91" i="15"/>
  <c r="C206" i="15"/>
  <c r="O85" i="15"/>
  <c r="O107" i="15"/>
  <c r="C228" i="15"/>
  <c r="O103" i="15"/>
  <c r="C224" i="15"/>
  <c r="C222" i="15"/>
  <c r="O101" i="15"/>
  <c r="O104" i="15"/>
  <c r="C225" i="15"/>
  <c r="C195" i="15"/>
  <c r="O74" i="15"/>
  <c r="O106" i="15"/>
  <c r="C227" i="15"/>
  <c r="O102" i="15"/>
  <c r="C223" i="15"/>
  <c r="O78" i="15"/>
  <c r="C199" i="15"/>
  <c r="C194" i="15"/>
  <c r="O73" i="15"/>
  <c r="O69" i="15"/>
  <c r="C190" i="15"/>
  <c r="C219" i="15"/>
  <c r="O98" i="15"/>
  <c r="O92" i="15"/>
  <c r="C213" i="15"/>
  <c r="C193" i="15"/>
  <c r="O72" i="15"/>
  <c r="O97" i="15"/>
  <c r="C218" i="15"/>
  <c r="O77" i="15"/>
  <c r="C198" i="15"/>
  <c r="C207" i="15"/>
  <c r="O86" i="15"/>
  <c r="O81" i="15"/>
  <c r="C202" i="15"/>
  <c r="C189" i="15"/>
  <c r="O68" i="15"/>
  <c r="C136" i="15"/>
  <c r="D96" i="34"/>
  <c r="E96" i="34"/>
  <c r="C33" i="34"/>
  <c r="C96" i="34"/>
  <c r="E85" i="34" l="1"/>
  <c r="E86" i="34" s="1"/>
  <c r="O114" i="15"/>
  <c r="O115" i="15"/>
  <c r="B122" i="15" s="1"/>
  <c r="O116" i="15"/>
  <c r="O117" i="15" s="1"/>
  <c r="T48" i="119" s="1"/>
  <c r="E165" i="119" s="1"/>
  <c r="C231" i="15"/>
  <c r="C232" i="15" s="1"/>
  <c r="C233" i="15" s="1"/>
  <c r="I33" i="34" s="1"/>
  <c r="F96" i="34"/>
  <c r="D85" i="34"/>
  <c r="D62" i="34"/>
  <c r="E62" i="34"/>
  <c r="C62" i="34"/>
  <c r="D33" i="34"/>
  <c r="D111" i="34"/>
  <c r="E111" i="34"/>
  <c r="C53" i="34"/>
  <c r="C111" i="34"/>
  <c r="F85" i="34"/>
  <c r="F86" i="34" s="1"/>
  <c r="C22" i="33" l="1"/>
  <c r="D86" i="34"/>
  <c r="G85" i="34"/>
  <c r="G86" i="34" s="1"/>
  <c r="F111" i="34"/>
  <c r="J35" i="33" l="1"/>
  <c r="C23" i="33"/>
  <c r="C21" i="33"/>
  <c r="C55" i="33" s="1"/>
  <c r="C24" i="33" l="1"/>
  <c r="E270" i="33" l="1"/>
  <c r="F270" i="33"/>
  <c r="C270" i="33"/>
  <c r="C275" i="33" s="1"/>
  <c r="C43" i="33" s="1"/>
  <c r="D270" i="33"/>
  <c r="D275" i="33" s="1"/>
  <c r="C44" i="33" s="1"/>
  <c r="AB97" i="33"/>
  <c r="AB145" i="33"/>
  <c r="C42" i="33" s="1"/>
  <c r="AB193" i="33"/>
  <c r="C39" i="33" s="1"/>
  <c r="AB217" i="33"/>
  <c r="C64" i="33" s="1"/>
  <c r="AB72" i="33"/>
  <c r="AB121" i="33"/>
  <c r="AB73" i="33"/>
  <c r="AB169" i="33"/>
  <c r="C57" i="33" s="1"/>
  <c r="C59" i="33" s="1"/>
  <c r="C38" i="33" l="1"/>
  <c r="D38" i="33" s="1"/>
  <c r="C37" i="33"/>
  <c r="D37" i="33" s="1"/>
  <c r="C36" i="33"/>
  <c r="D36" i="33" s="1"/>
  <c r="D39" i="33"/>
  <c r="J24" i="33" s="1"/>
  <c r="D42" i="33"/>
  <c r="J23" i="33" s="1"/>
  <c r="C58" i="33"/>
  <c r="C26" i="33" s="1"/>
  <c r="J31" i="33"/>
  <c r="J32" i="33" s="1"/>
  <c r="K43" i="33" s="1"/>
  <c r="D44" i="33"/>
  <c r="J27" i="33" s="1"/>
  <c r="J38" i="33" s="1"/>
  <c r="D43" i="33"/>
  <c r="J26" i="33" s="1"/>
  <c r="J37" i="33" s="1"/>
  <c r="J36" i="33"/>
  <c r="F50" i="17"/>
  <c r="F26" i="17"/>
  <c r="F47" i="17"/>
  <c r="F51" i="17"/>
  <c r="F22" i="17"/>
  <c r="F49" i="17"/>
  <c r="F24" i="17"/>
  <c r="F41" i="17"/>
  <c r="F31" i="17"/>
  <c r="F37" i="17"/>
  <c r="F40" i="17"/>
  <c r="F28" i="17"/>
  <c r="F23" i="17"/>
  <c r="F48" i="17"/>
  <c r="F54" i="17"/>
  <c r="F52" i="17"/>
  <c r="F57" i="17"/>
  <c r="F36" i="17"/>
  <c r="F55" i="17"/>
  <c r="F19" i="17"/>
  <c r="F21" i="17"/>
  <c r="F43" i="17"/>
  <c r="F53" i="17"/>
  <c r="F20" i="17"/>
  <c r="F38" i="17"/>
  <c r="F39" i="17"/>
  <c r="F44" i="17"/>
  <c r="F35" i="17"/>
  <c r="F27" i="17"/>
  <c r="F56" i="17"/>
  <c r="F46" i="17"/>
  <c r="F30" i="17"/>
  <c r="F34" i="17"/>
  <c r="F32" i="17"/>
  <c r="F33" i="17"/>
  <c r="F45" i="17"/>
  <c r="F25" i="17"/>
  <c r="F29" i="17"/>
  <c r="F42" i="17"/>
  <c r="C45" i="33" l="1"/>
  <c r="J39" i="33"/>
  <c r="J22" i="33"/>
  <c r="J28" i="33" s="1"/>
  <c r="G19" i="34" s="1"/>
  <c r="G20" i="34" l="1"/>
  <c r="K45" i="33"/>
  <c r="J41" i="33"/>
  <c r="J131" i="15"/>
  <c r="J132" i="15" s="1"/>
  <c r="J136" i="15" s="1"/>
  <c r="F42" i="34"/>
  <c r="D87" i="34"/>
  <c r="D88" i="34" s="1"/>
  <c r="D45" i="33"/>
  <c r="B58" i="15"/>
  <c r="G21" i="34"/>
  <c r="E92" i="6" l="1"/>
  <c r="E93" i="6"/>
  <c r="H19" i="34"/>
  <c r="G22" i="34"/>
  <c r="D46" i="33"/>
  <c r="D47" i="33" s="1"/>
  <c r="E98" i="6"/>
  <c r="E94" i="6"/>
  <c r="J135" i="15"/>
  <c r="B42" i="34"/>
  <c r="B71" i="34" s="1"/>
  <c r="J185" i="15"/>
  <c r="K44" i="33"/>
  <c r="H20" i="34" s="1"/>
  <c r="J134" i="15"/>
  <c r="J137" i="15"/>
  <c r="H21" i="34"/>
  <c r="J148" i="15"/>
  <c r="D48" i="33" l="1"/>
  <c r="E95" i="6"/>
  <c r="E99" i="6" s="1"/>
  <c r="G56" i="17" s="1"/>
  <c r="H56" i="17" s="1"/>
  <c r="I106" i="15" s="1"/>
  <c r="B90" i="14" s="1"/>
  <c r="B120" i="34"/>
  <c r="B105" i="34"/>
  <c r="G42" i="34"/>
  <c r="H42" i="34"/>
  <c r="E42" i="34"/>
  <c r="K46" i="33"/>
  <c r="R74" i="15"/>
  <c r="J195" i="15"/>
  <c r="H22" i="34"/>
  <c r="J172" i="15"/>
  <c r="J166" i="15"/>
  <c r="J140" i="15"/>
  <c r="J164" i="15"/>
  <c r="J180" i="15"/>
  <c r="J156" i="15"/>
  <c r="J150" i="15"/>
  <c r="J170" i="15"/>
  <c r="J158" i="15"/>
  <c r="J157" i="15"/>
  <c r="J143" i="15"/>
  <c r="J171" i="15"/>
  <c r="J181" i="15"/>
  <c r="J144" i="15"/>
  <c r="J176" i="15"/>
  <c r="J162" i="15"/>
  <c r="J149" i="15"/>
  <c r="J147" i="15"/>
  <c r="J163" i="15"/>
  <c r="J168" i="15"/>
  <c r="J145" i="15"/>
  <c r="J159" i="15"/>
  <c r="J139" i="15"/>
  <c r="J142" i="15"/>
  <c r="J161" i="15"/>
  <c r="J154" i="15"/>
  <c r="J155" i="15"/>
  <c r="J178" i="15"/>
  <c r="J173" i="15"/>
  <c r="J177" i="15"/>
  <c r="J179" i="15"/>
  <c r="J141" i="15"/>
  <c r="J169" i="15"/>
  <c r="J167" i="15"/>
  <c r="J146" i="15"/>
  <c r="J151" i="15"/>
  <c r="J153" i="15"/>
  <c r="J165" i="15"/>
  <c r="J175" i="15"/>
  <c r="J174" i="15"/>
  <c r="J152" i="15"/>
  <c r="J160" i="15"/>
  <c r="J188" i="15" l="1"/>
  <c r="R67" i="15"/>
  <c r="J187" i="15"/>
  <c r="R66" i="15"/>
  <c r="R88" i="15"/>
  <c r="J209" i="15"/>
  <c r="R79" i="15"/>
  <c r="J200" i="15"/>
  <c r="J197" i="15"/>
  <c r="R76" i="15"/>
  <c r="J192" i="15"/>
  <c r="R71" i="15"/>
  <c r="R87" i="15"/>
  <c r="J208" i="15"/>
  <c r="J205" i="15"/>
  <c r="R84" i="15"/>
  <c r="J189" i="15"/>
  <c r="R68" i="15"/>
  <c r="R89" i="15"/>
  <c r="J210" i="15"/>
  <c r="R96" i="15"/>
  <c r="J217" i="15"/>
  <c r="R101" i="15"/>
  <c r="J222" i="15"/>
  <c r="R98" i="15"/>
  <c r="J219" i="15"/>
  <c r="R82" i="15"/>
  <c r="J203" i="15"/>
  <c r="R99" i="15"/>
  <c r="J220" i="15"/>
  <c r="R83" i="15"/>
  <c r="J204" i="15"/>
  <c r="G23" i="17"/>
  <c r="H23" i="17" s="1"/>
  <c r="G34" i="17"/>
  <c r="H34" i="17" s="1"/>
  <c r="G50" i="17"/>
  <c r="H50" i="17" s="1"/>
  <c r="G51" i="17"/>
  <c r="H51" i="17" s="1"/>
  <c r="G46" i="17"/>
  <c r="H46" i="17" s="1"/>
  <c r="G33" i="17"/>
  <c r="H33" i="17" s="1"/>
  <c r="G20" i="17"/>
  <c r="H20" i="17" s="1"/>
  <c r="G21" i="17"/>
  <c r="H21" i="17" s="1"/>
  <c r="G44" i="17"/>
  <c r="H44" i="17" s="1"/>
  <c r="I94" i="15" s="1"/>
  <c r="B78" i="14" s="1"/>
  <c r="G78" i="14" s="1"/>
  <c r="G19" i="17"/>
  <c r="H19" i="17" s="1"/>
  <c r="G18" i="17"/>
  <c r="H18" i="17" s="1"/>
  <c r="G52" i="17"/>
  <c r="H52" i="17" s="1"/>
  <c r="G31" i="17"/>
  <c r="H31" i="17" s="1"/>
  <c r="G38" i="17"/>
  <c r="H38" i="17" s="1"/>
  <c r="G54" i="17"/>
  <c r="H54" i="17" s="1"/>
  <c r="I104" i="15" s="1"/>
  <c r="B88" i="14" s="1"/>
  <c r="D88" i="14" s="1"/>
  <c r="G37" i="17"/>
  <c r="H37" i="17" s="1"/>
  <c r="G32" i="17"/>
  <c r="H32" i="17" s="1"/>
  <c r="G27" i="17"/>
  <c r="H27" i="17" s="1"/>
  <c r="G29" i="17"/>
  <c r="H29" i="17" s="1"/>
  <c r="G57" i="17"/>
  <c r="H57" i="17" s="1"/>
  <c r="I107" i="15" s="1"/>
  <c r="B91" i="14" s="1"/>
  <c r="D91" i="14" s="1"/>
  <c r="R105" i="15"/>
  <c r="J226" i="15"/>
  <c r="R92" i="15"/>
  <c r="J213" i="15"/>
  <c r="J212" i="15"/>
  <c r="R91" i="15"/>
  <c r="J214" i="15"/>
  <c r="R93" i="15"/>
  <c r="J193" i="15"/>
  <c r="R72" i="15"/>
  <c r="J215" i="15"/>
  <c r="R94" i="15"/>
  <c r="R73" i="15"/>
  <c r="J194" i="15"/>
  <c r="R103" i="15"/>
  <c r="J224" i="15"/>
  <c r="R69" i="15"/>
  <c r="J190" i="15"/>
  <c r="J221" i="15"/>
  <c r="R100" i="15"/>
  <c r="R102" i="15"/>
  <c r="J223" i="15"/>
  <c r="G49" i="17"/>
  <c r="H49" i="17" s="1"/>
  <c r="I99" i="15" s="1"/>
  <c r="B83" i="14" s="1"/>
  <c r="G83" i="14" s="1"/>
  <c r="J218" i="15"/>
  <c r="R97" i="15"/>
  <c r="G36" i="17"/>
  <c r="H36" i="17" s="1"/>
  <c r="I86" i="15" s="1"/>
  <c r="B70" i="14" s="1"/>
  <c r="V70" i="14" s="1"/>
  <c r="G45" i="17"/>
  <c r="H45" i="17" s="1"/>
  <c r="I95" i="15" s="1"/>
  <c r="B79" i="14" s="1"/>
  <c r="W79" i="14" s="1"/>
  <c r="G30" i="17"/>
  <c r="H30" i="17" s="1"/>
  <c r="R80" i="15"/>
  <c r="J201" i="15"/>
  <c r="J216" i="15"/>
  <c r="R95" i="15"/>
  <c r="R86" i="15"/>
  <c r="J207" i="15"/>
  <c r="R70" i="15"/>
  <c r="J191" i="15"/>
  <c r="R85" i="15"/>
  <c r="J206" i="15"/>
  <c r="R78" i="15"/>
  <c r="J199" i="15"/>
  <c r="R106" i="15"/>
  <c r="J227" i="15"/>
  <c r="R77" i="15"/>
  <c r="J198" i="15"/>
  <c r="R104" i="15"/>
  <c r="J225" i="15"/>
  <c r="R75" i="15"/>
  <c r="J196" i="15"/>
  <c r="J202" i="15"/>
  <c r="R81" i="15"/>
  <c r="J211" i="15"/>
  <c r="R90" i="15"/>
  <c r="R107" i="15"/>
  <c r="J228" i="15"/>
  <c r="G22" i="17"/>
  <c r="H22" i="17" s="1"/>
  <c r="G53" i="17"/>
  <c r="H53" i="17" s="1"/>
  <c r="G48" i="17"/>
  <c r="H48" i="17" s="1"/>
  <c r="I98" i="15" s="1"/>
  <c r="B82" i="14" s="1"/>
  <c r="L82" i="14" s="1"/>
  <c r="G39" i="17"/>
  <c r="H39" i="17" s="1"/>
  <c r="G41" i="17"/>
  <c r="H41" i="17" s="1"/>
  <c r="I91" i="15" s="1"/>
  <c r="B75" i="14" s="1"/>
  <c r="R75" i="14" s="1"/>
  <c r="G42" i="17"/>
  <c r="H42" i="17" s="1"/>
  <c r="I92" i="15" s="1"/>
  <c r="B76" i="14" s="1"/>
  <c r="M76" i="14" s="1"/>
  <c r="G55" i="17"/>
  <c r="H55" i="17" s="1"/>
  <c r="I105" i="15" s="1"/>
  <c r="B89" i="14" s="1"/>
  <c r="D89" i="14" s="1"/>
  <c r="G43" i="17"/>
  <c r="H43" i="17" s="1"/>
  <c r="G24" i="17"/>
  <c r="H24" i="17" s="1"/>
  <c r="G35" i="17"/>
  <c r="H35" i="17" s="1"/>
  <c r="G28" i="17"/>
  <c r="H28" i="17" s="1"/>
  <c r="G47" i="17"/>
  <c r="H47" i="17" s="1"/>
  <c r="C108" i="6"/>
  <c r="E118" i="6" s="1"/>
  <c r="E124" i="6" s="1"/>
  <c r="C9" i="119" s="1"/>
  <c r="G40" i="17"/>
  <c r="H40" i="17" s="1"/>
  <c r="G26" i="17"/>
  <c r="H26" i="17" s="1"/>
  <c r="G25" i="17"/>
  <c r="H25" i="17" s="1"/>
  <c r="D105" i="34"/>
  <c r="E83" i="34" s="1"/>
  <c r="E84" i="34" s="1"/>
  <c r="C105" i="34"/>
  <c r="D83" i="34" s="1"/>
  <c r="E105" i="34"/>
  <c r="F83" i="34" s="1"/>
  <c r="F84" i="34" s="1"/>
  <c r="C42" i="34"/>
  <c r="C55" i="34" s="1"/>
  <c r="D52" i="34" s="1"/>
  <c r="S90" i="14"/>
  <c r="G90" i="14"/>
  <c r="V90" i="14"/>
  <c r="M90" i="14"/>
  <c r="I90" i="14"/>
  <c r="N90" i="14"/>
  <c r="W90" i="14"/>
  <c r="O90" i="14"/>
  <c r="P90" i="14"/>
  <c r="Q90" i="14"/>
  <c r="F90" i="14"/>
  <c r="C90" i="14"/>
  <c r="U90" i="14"/>
  <c r="H90" i="14"/>
  <c r="E90" i="14"/>
  <c r="L90" i="14"/>
  <c r="J90" i="14"/>
  <c r="K90" i="14"/>
  <c r="T90" i="14"/>
  <c r="D90" i="14"/>
  <c r="R90" i="14"/>
  <c r="I80" i="15" l="1"/>
  <c r="B64" i="14" s="1"/>
  <c r="T64" i="14" s="1"/>
  <c r="I76" i="15"/>
  <c r="B60" i="14" s="1"/>
  <c r="L60" i="14" s="1"/>
  <c r="I81" i="15"/>
  <c r="B65" i="14" s="1"/>
  <c r="R65" i="14" s="1"/>
  <c r="I75" i="15"/>
  <c r="B59" i="14" s="1"/>
  <c r="D59" i="14" s="1"/>
  <c r="I82" i="15"/>
  <c r="B66" i="14" s="1"/>
  <c r="K66" i="14" s="1"/>
  <c r="I71" i="15"/>
  <c r="B55" i="14" s="1"/>
  <c r="J55" i="14" s="1"/>
  <c r="I77" i="15"/>
  <c r="B61" i="14" s="1"/>
  <c r="F61" i="14" s="1"/>
  <c r="I97" i="15"/>
  <c r="B81" i="14" s="1"/>
  <c r="D81" i="14" s="1"/>
  <c r="I90" i="15"/>
  <c r="B74" i="14" s="1"/>
  <c r="O74" i="14" s="1"/>
  <c r="I78" i="15"/>
  <c r="B62" i="14" s="1"/>
  <c r="G62" i="14" s="1"/>
  <c r="I85" i="15"/>
  <c r="B69" i="14" s="1"/>
  <c r="I69" i="14" s="1"/>
  <c r="I70" i="15"/>
  <c r="B54" i="14" s="1"/>
  <c r="Q54" i="14" s="1"/>
  <c r="I79" i="15"/>
  <c r="B63" i="14" s="1"/>
  <c r="K63" i="14" s="1"/>
  <c r="I87" i="15"/>
  <c r="B71" i="14" s="1"/>
  <c r="U71" i="14" s="1"/>
  <c r="I89" i="15"/>
  <c r="B73" i="14" s="1"/>
  <c r="L73" i="14" s="1"/>
  <c r="I88" i="15"/>
  <c r="B72" i="14" s="1"/>
  <c r="Q72" i="14" s="1"/>
  <c r="I83" i="15"/>
  <c r="B67" i="14" s="1"/>
  <c r="C67" i="14" s="1"/>
  <c r="I96" i="15"/>
  <c r="B80" i="14" s="1"/>
  <c r="N80" i="14" s="1"/>
  <c r="I103" i="15"/>
  <c r="B87" i="14" s="1"/>
  <c r="D87" i="14" s="1"/>
  <c r="I102" i="15"/>
  <c r="B86" i="14" s="1"/>
  <c r="H86" i="14" s="1"/>
  <c r="I101" i="15"/>
  <c r="B85" i="14" s="1"/>
  <c r="L85" i="14" s="1"/>
  <c r="I74" i="15"/>
  <c r="B58" i="14" s="1"/>
  <c r="E58" i="14" s="1"/>
  <c r="I72" i="15"/>
  <c r="B56" i="14" s="1"/>
  <c r="K56" i="14" s="1"/>
  <c r="I68" i="15"/>
  <c r="I66" i="15"/>
  <c r="I100" i="15"/>
  <c r="B84" i="14" s="1"/>
  <c r="G84" i="14" s="1"/>
  <c r="I93" i="15"/>
  <c r="B77" i="14" s="1"/>
  <c r="F77" i="14" s="1"/>
  <c r="I69" i="15"/>
  <c r="B53" i="14" s="1"/>
  <c r="C53" i="14" s="1"/>
  <c r="I67" i="15"/>
  <c r="B51" i="14" s="1"/>
  <c r="I84" i="15"/>
  <c r="B68" i="14" s="1"/>
  <c r="J68" i="14" s="1"/>
  <c r="I73" i="15"/>
  <c r="B57" i="14" s="1"/>
  <c r="S57" i="14" s="1"/>
  <c r="M91" i="14"/>
  <c r="G80" i="14"/>
  <c r="C80" i="14"/>
  <c r="F91" i="14"/>
  <c r="Q91" i="14"/>
  <c r="U91" i="14"/>
  <c r="T91" i="14"/>
  <c r="W91" i="14"/>
  <c r="B164" i="14" s="1"/>
  <c r="J91" i="14"/>
  <c r="E91" i="14"/>
  <c r="O91" i="14"/>
  <c r="C91" i="14"/>
  <c r="H91" i="14"/>
  <c r="N91" i="14"/>
  <c r="V91" i="14"/>
  <c r="B163" i="14" s="1"/>
  <c r="S91" i="14"/>
  <c r="L78" i="14"/>
  <c r="I78" i="14"/>
  <c r="T78" i="14"/>
  <c r="C78" i="14"/>
  <c r="I91" i="14"/>
  <c r="R91" i="14"/>
  <c r="P91" i="14"/>
  <c r="K91" i="14"/>
  <c r="L91" i="14"/>
  <c r="G91" i="14"/>
  <c r="S78" i="14"/>
  <c r="U82" i="14"/>
  <c r="K82" i="14"/>
  <c r="H78" i="14"/>
  <c r="J78" i="14"/>
  <c r="M78" i="14"/>
  <c r="K78" i="14"/>
  <c r="E78" i="14"/>
  <c r="S88" i="14"/>
  <c r="O78" i="14"/>
  <c r="N78" i="14"/>
  <c r="V78" i="14"/>
  <c r="F78" i="14"/>
  <c r="U78" i="14"/>
  <c r="D78" i="14"/>
  <c r="R78" i="14"/>
  <c r="W78" i="14"/>
  <c r="U79" i="14"/>
  <c r="R88" i="14"/>
  <c r="P79" i="14"/>
  <c r="M79" i="14"/>
  <c r="P88" i="14"/>
  <c r="Q88" i="14"/>
  <c r="K79" i="14"/>
  <c r="K88" i="14"/>
  <c r="L88" i="14"/>
  <c r="O88" i="14"/>
  <c r="G88" i="14"/>
  <c r="W88" i="14"/>
  <c r="T88" i="14"/>
  <c r="V88" i="14"/>
  <c r="F88" i="14"/>
  <c r="E71" i="14"/>
  <c r="S79" i="14"/>
  <c r="I88" i="14"/>
  <c r="J88" i="14"/>
  <c r="F79" i="14"/>
  <c r="N88" i="14"/>
  <c r="M88" i="14"/>
  <c r="I79" i="14"/>
  <c r="C88" i="14"/>
  <c r="L79" i="14"/>
  <c r="U88" i="14"/>
  <c r="R79" i="14"/>
  <c r="E88" i="14"/>
  <c r="D79" i="14"/>
  <c r="H79" i="14"/>
  <c r="V79" i="14"/>
  <c r="Q79" i="14"/>
  <c r="G79" i="14"/>
  <c r="K71" i="14"/>
  <c r="V71" i="14"/>
  <c r="T71" i="14"/>
  <c r="I71" i="14"/>
  <c r="W71" i="14"/>
  <c r="Q71" i="14"/>
  <c r="H71" i="14"/>
  <c r="D71" i="14"/>
  <c r="O71" i="14"/>
  <c r="N71" i="14"/>
  <c r="J71" i="14"/>
  <c r="S71" i="14"/>
  <c r="R71" i="14"/>
  <c r="P71" i="14"/>
  <c r="G71" i="14"/>
  <c r="C79" i="14"/>
  <c r="P78" i="14"/>
  <c r="Q78" i="14"/>
  <c r="H88" i="14"/>
  <c r="T79" i="14"/>
  <c r="G86" i="14"/>
  <c r="L86" i="14"/>
  <c r="O79" i="14"/>
  <c r="N79" i="14"/>
  <c r="E79" i="14"/>
  <c r="J79" i="14"/>
  <c r="S70" i="14"/>
  <c r="U70" i="14"/>
  <c r="P70" i="14"/>
  <c r="W70" i="14"/>
  <c r="L70" i="14"/>
  <c r="D70" i="14"/>
  <c r="Q70" i="14"/>
  <c r="C70" i="14"/>
  <c r="F70" i="14"/>
  <c r="E70" i="14"/>
  <c r="K70" i="14"/>
  <c r="O70" i="14"/>
  <c r="H70" i="14"/>
  <c r="M70" i="14"/>
  <c r="G70" i="14"/>
  <c r="I70" i="14"/>
  <c r="C83" i="14"/>
  <c r="V83" i="14"/>
  <c r="R83" i="14"/>
  <c r="O83" i="14"/>
  <c r="P83" i="14"/>
  <c r="I83" i="14"/>
  <c r="J83" i="14"/>
  <c r="F83" i="14"/>
  <c r="Q83" i="14"/>
  <c r="E83" i="14"/>
  <c r="T83" i="14"/>
  <c r="U83" i="14"/>
  <c r="D83" i="14"/>
  <c r="S83" i="14"/>
  <c r="K83" i="14"/>
  <c r="H83" i="14"/>
  <c r="L83" i="14"/>
  <c r="N83" i="14"/>
  <c r="W83" i="14"/>
  <c r="M83" i="14"/>
  <c r="R70" i="14"/>
  <c r="E77" i="14"/>
  <c r="N89" i="14"/>
  <c r="P89" i="14"/>
  <c r="U89" i="14"/>
  <c r="O77" i="14"/>
  <c r="P77" i="14"/>
  <c r="T77" i="14"/>
  <c r="K89" i="14"/>
  <c r="D77" i="14"/>
  <c r="R77" i="14"/>
  <c r="C77" i="14"/>
  <c r="W77" i="14"/>
  <c r="S89" i="14"/>
  <c r="S77" i="14"/>
  <c r="I89" i="14"/>
  <c r="L77" i="14"/>
  <c r="H77" i="14"/>
  <c r="L89" i="14"/>
  <c r="R89" i="14"/>
  <c r="F89" i="14"/>
  <c r="E89" i="14"/>
  <c r="O89" i="14"/>
  <c r="G89" i="14"/>
  <c r="M89" i="14"/>
  <c r="J89" i="14"/>
  <c r="Q74" i="14"/>
  <c r="E74" i="14"/>
  <c r="V74" i="14"/>
  <c r="K74" i="14"/>
  <c r="P74" i="14"/>
  <c r="N70" i="14"/>
  <c r="H74" i="14"/>
  <c r="Q77" i="14"/>
  <c r="H89" i="14"/>
  <c r="C89" i="14"/>
  <c r="U81" i="14"/>
  <c r="G81" i="14"/>
  <c r="N74" i="14"/>
  <c r="T89" i="14"/>
  <c r="C81" i="14"/>
  <c r="T70" i="14"/>
  <c r="N77" i="14"/>
  <c r="W89" i="14"/>
  <c r="V77" i="14"/>
  <c r="V81" i="14"/>
  <c r="J70" i="14"/>
  <c r="I77" i="14"/>
  <c r="M77" i="14"/>
  <c r="Q89" i="14"/>
  <c r="N87" i="14"/>
  <c r="J77" i="14"/>
  <c r="K77" i="14"/>
  <c r="U77" i="14"/>
  <c r="V89" i="14"/>
  <c r="M87" i="14"/>
  <c r="C87" i="14"/>
  <c r="Q87" i="14"/>
  <c r="I87" i="14"/>
  <c r="V87" i="14"/>
  <c r="J87" i="14"/>
  <c r="P87" i="14"/>
  <c r="E87" i="14"/>
  <c r="U87" i="14"/>
  <c r="F87" i="14"/>
  <c r="K87" i="14"/>
  <c r="R87" i="14"/>
  <c r="L87" i="14"/>
  <c r="T87" i="14"/>
  <c r="S87" i="14"/>
  <c r="G87" i="14"/>
  <c r="H87" i="14"/>
  <c r="O87" i="14"/>
  <c r="W87" i="14"/>
  <c r="P82" i="14"/>
  <c r="C82" i="14"/>
  <c r="Q73" i="14"/>
  <c r="I73" i="14"/>
  <c r="I82" i="14"/>
  <c r="E82" i="14"/>
  <c r="W82" i="14"/>
  <c r="T82" i="14"/>
  <c r="Q82" i="14"/>
  <c r="S82" i="14"/>
  <c r="D82" i="14"/>
  <c r="K73" i="14"/>
  <c r="V82" i="14"/>
  <c r="O82" i="14"/>
  <c r="F82" i="14"/>
  <c r="M82" i="14"/>
  <c r="R82" i="14"/>
  <c r="G82" i="14"/>
  <c r="H82" i="14"/>
  <c r="J82" i="14"/>
  <c r="N82" i="14"/>
  <c r="V73" i="14"/>
  <c r="J231" i="15"/>
  <c r="J232" i="15" s="1"/>
  <c r="J233" i="15" s="1"/>
  <c r="R114" i="15"/>
  <c r="W75" i="14"/>
  <c r="U75" i="14"/>
  <c r="G75" i="14"/>
  <c r="R116" i="15"/>
  <c r="R117" i="15" s="1"/>
  <c r="V48" i="119" s="1"/>
  <c r="E167" i="119" s="1"/>
  <c r="C75" i="14"/>
  <c r="N75" i="14"/>
  <c r="L76" i="14"/>
  <c r="F75" i="14"/>
  <c r="O75" i="14"/>
  <c r="I76" i="14"/>
  <c r="K75" i="14"/>
  <c r="V75" i="14"/>
  <c r="O76" i="14"/>
  <c r="S75" i="14"/>
  <c r="D75" i="14"/>
  <c r="V76" i="14"/>
  <c r="J75" i="14"/>
  <c r="J76" i="14"/>
  <c r="W76" i="14"/>
  <c r="H75" i="14"/>
  <c r="Q76" i="14"/>
  <c r="G76" i="14"/>
  <c r="I75" i="14"/>
  <c r="P76" i="14"/>
  <c r="C76" i="14"/>
  <c r="E76" i="14"/>
  <c r="P75" i="14"/>
  <c r="U76" i="14"/>
  <c r="D76" i="14"/>
  <c r="S76" i="14"/>
  <c r="T75" i="14"/>
  <c r="H76" i="14"/>
  <c r="R76" i="14"/>
  <c r="Q75" i="14"/>
  <c r="N76" i="14"/>
  <c r="L75" i="14"/>
  <c r="F76" i="14"/>
  <c r="E75" i="14"/>
  <c r="K76" i="14"/>
  <c r="M75" i="14"/>
  <c r="T76" i="14"/>
  <c r="R115" i="15"/>
  <c r="B125" i="15" s="1"/>
  <c r="G74" i="14"/>
  <c r="I74" i="14"/>
  <c r="R74" i="14"/>
  <c r="T74" i="14"/>
  <c r="J74" i="14"/>
  <c r="L74" i="14"/>
  <c r="W74" i="14"/>
  <c r="C74" i="14"/>
  <c r="D74" i="14"/>
  <c r="M74" i="14"/>
  <c r="F74" i="14"/>
  <c r="U74" i="14"/>
  <c r="S74" i="14"/>
  <c r="F81" i="14"/>
  <c r="L81" i="14"/>
  <c r="O81" i="14"/>
  <c r="E81" i="14"/>
  <c r="K81" i="14"/>
  <c r="J81" i="14"/>
  <c r="I81" i="14"/>
  <c r="H81" i="14"/>
  <c r="R81" i="14"/>
  <c r="T81" i="14"/>
  <c r="P81" i="14"/>
  <c r="W81" i="14"/>
  <c r="M81" i="14"/>
  <c r="N81" i="14"/>
  <c r="S81" i="14"/>
  <c r="Q81" i="14"/>
  <c r="E120" i="34"/>
  <c r="E121" i="34" s="1"/>
  <c r="F77" i="34" s="1"/>
  <c r="D42" i="34"/>
  <c r="D71" i="34"/>
  <c r="E89" i="34"/>
  <c r="E90" i="34" s="1"/>
  <c r="C8" i="119"/>
  <c r="H199" i="119" s="1"/>
  <c r="D120" i="34"/>
  <c r="D121" i="34" s="1"/>
  <c r="E77" i="34" s="1"/>
  <c r="C120" i="34"/>
  <c r="C121" i="34" s="1"/>
  <c r="D77" i="34" s="1"/>
  <c r="C15" i="34"/>
  <c r="B51" i="15"/>
  <c r="H66" i="15" s="1"/>
  <c r="E71" i="34"/>
  <c r="F89" i="34"/>
  <c r="F90" i="34" s="1"/>
  <c r="F105" i="34"/>
  <c r="G83" i="34" s="1"/>
  <c r="G84" i="34" s="1"/>
  <c r="C71" i="34"/>
  <c r="B56" i="15"/>
  <c r="D84" i="34"/>
  <c r="E158" i="6" s="1"/>
  <c r="D89" i="34"/>
  <c r="I9" i="119"/>
  <c r="C97" i="119" s="1"/>
  <c r="D97" i="119" s="1"/>
  <c r="C96" i="119"/>
  <c r="D96" i="119" s="1"/>
  <c r="I199" i="119"/>
  <c r="H9" i="119"/>
  <c r="X90" i="14"/>
  <c r="K64" i="14" l="1"/>
  <c r="G64" i="14"/>
  <c r="E64" i="14"/>
  <c r="N64" i="14"/>
  <c r="I64" i="14"/>
  <c r="S64" i="14"/>
  <c r="W64" i="14"/>
  <c r="L64" i="14"/>
  <c r="P64" i="14"/>
  <c r="H64" i="14"/>
  <c r="U64" i="14"/>
  <c r="C64" i="14"/>
  <c r="J64" i="14"/>
  <c r="R64" i="14"/>
  <c r="O64" i="14"/>
  <c r="M64" i="14"/>
  <c r="Q64" i="14"/>
  <c r="D64" i="14"/>
  <c r="F64" i="14"/>
  <c r="V64" i="14"/>
  <c r="J60" i="14"/>
  <c r="L72" i="14"/>
  <c r="E73" i="14"/>
  <c r="G73" i="14"/>
  <c r="T73" i="14"/>
  <c r="M73" i="14"/>
  <c r="U73" i="14"/>
  <c r="S73" i="14"/>
  <c r="K72" i="14"/>
  <c r="P73" i="14"/>
  <c r="G77" i="14"/>
  <c r="H73" i="14"/>
  <c r="D73" i="14"/>
  <c r="O73" i="14"/>
  <c r="J73" i="14"/>
  <c r="R73" i="14"/>
  <c r="C73" i="14"/>
  <c r="W73" i="14"/>
  <c r="N73" i="14"/>
  <c r="F73" i="14"/>
  <c r="F71" i="14"/>
  <c r="L71" i="14"/>
  <c r="C71" i="14"/>
  <c r="M71" i="14"/>
  <c r="F84" i="14"/>
  <c r="D84" i="14"/>
  <c r="Q84" i="14"/>
  <c r="J84" i="14"/>
  <c r="L84" i="14"/>
  <c r="H84" i="14"/>
  <c r="E84" i="14"/>
  <c r="E60" i="14"/>
  <c r="W60" i="14"/>
  <c r="G60" i="14"/>
  <c r="V60" i="14"/>
  <c r="H60" i="14"/>
  <c r="P60" i="14"/>
  <c r="D60" i="14"/>
  <c r="K60" i="14"/>
  <c r="Q60" i="14"/>
  <c r="O60" i="14"/>
  <c r="S60" i="14"/>
  <c r="T60" i="14"/>
  <c r="N60" i="14"/>
  <c r="U60" i="14"/>
  <c r="I60" i="14"/>
  <c r="M60" i="14"/>
  <c r="R60" i="14"/>
  <c r="C60" i="14"/>
  <c r="F60" i="14"/>
  <c r="K59" i="14"/>
  <c r="E59" i="14"/>
  <c r="S59" i="14"/>
  <c r="J59" i="14"/>
  <c r="W59" i="14"/>
  <c r="F59" i="14"/>
  <c r="O59" i="14"/>
  <c r="G59" i="14"/>
  <c r="Q59" i="14"/>
  <c r="N59" i="14"/>
  <c r="L59" i="14"/>
  <c r="R59" i="14"/>
  <c r="H59" i="14"/>
  <c r="T59" i="14"/>
  <c r="V59" i="14"/>
  <c r="J65" i="14"/>
  <c r="P65" i="14"/>
  <c r="S65" i="14"/>
  <c r="C65" i="14"/>
  <c r="E65" i="14"/>
  <c r="O65" i="14"/>
  <c r="T65" i="14"/>
  <c r="N65" i="14"/>
  <c r="H65" i="14"/>
  <c r="D65" i="14"/>
  <c r="I65" i="14"/>
  <c r="K65" i="14"/>
  <c r="U65" i="14"/>
  <c r="W65" i="14"/>
  <c r="Q65" i="14"/>
  <c r="L65" i="14"/>
  <c r="V65" i="14"/>
  <c r="T66" i="14"/>
  <c r="D66" i="14"/>
  <c r="P59" i="14"/>
  <c r="G66" i="14"/>
  <c r="I59" i="14"/>
  <c r="U59" i="14"/>
  <c r="M59" i="14"/>
  <c r="M65" i="14"/>
  <c r="F65" i="14"/>
  <c r="G65" i="14"/>
  <c r="C59" i="14"/>
  <c r="M66" i="14"/>
  <c r="K69" i="14"/>
  <c r="Q69" i="14"/>
  <c r="R69" i="14"/>
  <c r="J66" i="14"/>
  <c r="I66" i="14"/>
  <c r="O66" i="14"/>
  <c r="W66" i="14"/>
  <c r="H66" i="14"/>
  <c r="L66" i="14"/>
  <c r="S66" i="14"/>
  <c r="U66" i="14"/>
  <c r="E66" i="14"/>
  <c r="F66" i="14"/>
  <c r="C66" i="14"/>
  <c r="W62" i="14"/>
  <c r="N62" i="14"/>
  <c r="O62" i="14"/>
  <c r="O69" i="14"/>
  <c r="L69" i="14"/>
  <c r="H69" i="14"/>
  <c r="D69" i="14"/>
  <c r="T69" i="14"/>
  <c r="N69" i="14"/>
  <c r="P69" i="14"/>
  <c r="C69" i="14"/>
  <c r="S69" i="14"/>
  <c r="V66" i="14"/>
  <c r="Q66" i="14"/>
  <c r="R66" i="14"/>
  <c r="P66" i="14"/>
  <c r="N66" i="14"/>
  <c r="E62" i="14"/>
  <c r="F62" i="14"/>
  <c r="J62" i="14"/>
  <c r="T62" i="14"/>
  <c r="K62" i="14"/>
  <c r="P62" i="14"/>
  <c r="Q62" i="14"/>
  <c r="L62" i="14"/>
  <c r="M62" i="14"/>
  <c r="O68" i="14"/>
  <c r="N68" i="14"/>
  <c r="L68" i="14"/>
  <c r="U63" i="14"/>
  <c r="W63" i="14"/>
  <c r="F63" i="14"/>
  <c r="W61" i="14"/>
  <c r="N61" i="14"/>
  <c r="T55" i="14"/>
  <c r="T61" i="14"/>
  <c r="U55" i="14"/>
  <c r="L55" i="14"/>
  <c r="O61" i="14"/>
  <c r="Q61" i="14"/>
  <c r="O55" i="14"/>
  <c r="U61" i="14"/>
  <c r="I55" i="14"/>
  <c r="N55" i="14"/>
  <c r="M61" i="14"/>
  <c r="Q55" i="14"/>
  <c r="C55" i="14"/>
  <c r="P61" i="14"/>
  <c r="K55" i="14"/>
  <c r="D61" i="14"/>
  <c r="S55" i="14"/>
  <c r="S61" i="14"/>
  <c r="P55" i="14"/>
  <c r="E55" i="14"/>
  <c r="H61" i="14"/>
  <c r="F55" i="14"/>
  <c r="D55" i="14"/>
  <c r="C61" i="14"/>
  <c r="I61" i="14"/>
  <c r="G55" i="14"/>
  <c r="J61" i="14"/>
  <c r="V55" i="14"/>
  <c r="L61" i="14"/>
  <c r="H55" i="14"/>
  <c r="M55" i="14"/>
  <c r="G61" i="14"/>
  <c r="V68" i="14"/>
  <c r="U68" i="14"/>
  <c r="R68" i="14"/>
  <c r="P68" i="14"/>
  <c r="S68" i="14"/>
  <c r="D68" i="14"/>
  <c r="W68" i="14"/>
  <c r="T68" i="14"/>
  <c r="H68" i="14"/>
  <c r="M68" i="14"/>
  <c r="F68" i="14"/>
  <c r="Q68" i="14"/>
  <c r="G68" i="14"/>
  <c r="M63" i="14"/>
  <c r="S62" i="14"/>
  <c r="D62" i="14"/>
  <c r="V61" i="14"/>
  <c r="G69" i="14"/>
  <c r="I62" i="14"/>
  <c r="E61" i="14"/>
  <c r="U62" i="14"/>
  <c r="C62" i="14"/>
  <c r="M69" i="14"/>
  <c r="R62" i="14"/>
  <c r="V62" i="14"/>
  <c r="K61" i="14"/>
  <c r="H62" i="14"/>
  <c r="R61" i="14"/>
  <c r="M54" i="14"/>
  <c r="J54" i="14"/>
  <c r="E54" i="14"/>
  <c r="P54" i="14"/>
  <c r="R55" i="14"/>
  <c r="W55" i="14"/>
  <c r="K84" i="14"/>
  <c r="W84" i="14"/>
  <c r="D85" i="14"/>
  <c r="F67" i="14"/>
  <c r="H67" i="14"/>
  <c r="W67" i="14"/>
  <c r="D67" i="14"/>
  <c r="J63" i="14"/>
  <c r="T67" i="14"/>
  <c r="P63" i="14"/>
  <c r="I63" i="14"/>
  <c r="G63" i="14"/>
  <c r="S63" i="14"/>
  <c r="E63" i="14"/>
  <c r="R67" i="14"/>
  <c r="J67" i="14"/>
  <c r="U85" i="14"/>
  <c r="K67" i="14"/>
  <c r="G67" i="14"/>
  <c r="H54" i="14"/>
  <c r="Q63" i="14"/>
  <c r="U54" i="14"/>
  <c r="V54" i="14"/>
  <c r="C54" i="14"/>
  <c r="U67" i="14"/>
  <c r="C63" i="14"/>
  <c r="F69" i="14"/>
  <c r="E69" i="14"/>
  <c r="T54" i="14"/>
  <c r="F54" i="14"/>
  <c r="D54" i="14"/>
  <c r="E68" i="14"/>
  <c r="J69" i="14"/>
  <c r="H63" i="14"/>
  <c r="C68" i="14"/>
  <c r="U69" i="14"/>
  <c r="V69" i="14"/>
  <c r="D63" i="14"/>
  <c r="K68" i="14"/>
  <c r="I68" i="14"/>
  <c r="W69" i="14"/>
  <c r="T63" i="14"/>
  <c r="N54" i="14"/>
  <c r="K54" i="14"/>
  <c r="N63" i="14"/>
  <c r="S54" i="14"/>
  <c r="O54" i="14"/>
  <c r="W80" i="14"/>
  <c r="R80" i="14"/>
  <c r="L63" i="14"/>
  <c r="O80" i="14"/>
  <c r="R84" i="14"/>
  <c r="W54" i="14"/>
  <c r="M84" i="14"/>
  <c r="M80" i="14"/>
  <c r="U80" i="14"/>
  <c r="P84" i="14"/>
  <c r="L67" i="14"/>
  <c r="V67" i="14"/>
  <c r="P67" i="14"/>
  <c r="R63" i="14"/>
  <c r="R54" i="14"/>
  <c r="E67" i="14"/>
  <c r="Q67" i="14"/>
  <c r="I54" i="14"/>
  <c r="N67" i="14"/>
  <c r="G54" i="14"/>
  <c r="Q57" i="14"/>
  <c r="M57" i="14"/>
  <c r="C57" i="14"/>
  <c r="C84" i="14"/>
  <c r="O67" i="14"/>
  <c r="O84" i="14"/>
  <c r="T80" i="14"/>
  <c r="O63" i="14"/>
  <c r="V63" i="14"/>
  <c r="S67" i="14"/>
  <c r="M67" i="14"/>
  <c r="S84" i="14"/>
  <c r="U84" i="14"/>
  <c r="M53" i="14"/>
  <c r="I67" i="14"/>
  <c r="F58" i="14"/>
  <c r="L54" i="14"/>
  <c r="T58" i="14"/>
  <c r="V84" i="14"/>
  <c r="T57" i="14"/>
  <c r="N58" i="14"/>
  <c r="M72" i="14"/>
  <c r="P85" i="14"/>
  <c r="U72" i="14"/>
  <c r="H58" i="14"/>
  <c r="G58" i="14"/>
  <c r="L58" i="14"/>
  <c r="R85" i="14"/>
  <c r="P72" i="14"/>
  <c r="H85" i="14"/>
  <c r="E72" i="14"/>
  <c r="S58" i="14"/>
  <c r="S85" i="14"/>
  <c r="N72" i="14"/>
  <c r="R72" i="14"/>
  <c r="W72" i="14"/>
  <c r="D72" i="14"/>
  <c r="G85" i="14"/>
  <c r="F85" i="14"/>
  <c r="O72" i="14"/>
  <c r="T72" i="14"/>
  <c r="J85" i="14"/>
  <c r="E85" i="14"/>
  <c r="Q85" i="14"/>
  <c r="U58" i="14"/>
  <c r="C85" i="14"/>
  <c r="O85" i="14"/>
  <c r="K58" i="14"/>
  <c r="M58" i="14"/>
  <c r="V85" i="14"/>
  <c r="F72" i="14"/>
  <c r="I72" i="14"/>
  <c r="N85" i="14"/>
  <c r="I58" i="14"/>
  <c r="J72" i="14"/>
  <c r="W58" i="14"/>
  <c r="V58" i="14"/>
  <c r="V72" i="14"/>
  <c r="C72" i="14"/>
  <c r="J58" i="14"/>
  <c r="C58" i="14"/>
  <c r="T85" i="14"/>
  <c r="I85" i="14"/>
  <c r="S72" i="14"/>
  <c r="G72" i="14"/>
  <c r="S56" i="14"/>
  <c r="O58" i="14"/>
  <c r="D58" i="14"/>
  <c r="Q58" i="14"/>
  <c r="P58" i="14"/>
  <c r="W85" i="14"/>
  <c r="H72" i="14"/>
  <c r="K85" i="14"/>
  <c r="R58" i="14"/>
  <c r="M85" i="14"/>
  <c r="F57" i="14"/>
  <c r="D57" i="14"/>
  <c r="L57" i="14"/>
  <c r="G57" i="14"/>
  <c r="T56" i="14"/>
  <c r="N57" i="14"/>
  <c r="S80" i="14"/>
  <c r="H56" i="14"/>
  <c r="F80" i="14"/>
  <c r="Q80" i="14"/>
  <c r="L80" i="14"/>
  <c r="V80" i="14"/>
  <c r="I114" i="15"/>
  <c r="O57" i="14"/>
  <c r="U57" i="14"/>
  <c r="I57" i="14"/>
  <c r="D80" i="14"/>
  <c r="J80" i="14"/>
  <c r="V57" i="14"/>
  <c r="K80" i="14"/>
  <c r="H80" i="14"/>
  <c r="E80" i="14"/>
  <c r="M56" i="14"/>
  <c r="R56" i="14"/>
  <c r="D56" i="14"/>
  <c r="O56" i="14"/>
  <c r="E56" i="14"/>
  <c r="V56" i="14"/>
  <c r="U56" i="14"/>
  <c r="N56" i="14"/>
  <c r="L56" i="14"/>
  <c r="Q56" i="14"/>
  <c r="W56" i="14"/>
  <c r="P56" i="14"/>
  <c r="C56" i="14"/>
  <c r="P57" i="14"/>
  <c r="G56" i="14"/>
  <c r="F56" i="14"/>
  <c r="J56" i="14"/>
  <c r="I56" i="14"/>
  <c r="P80" i="14"/>
  <c r="I80" i="14"/>
  <c r="K57" i="14"/>
  <c r="N84" i="14"/>
  <c r="H57" i="14"/>
  <c r="J57" i="14"/>
  <c r="R57" i="14"/>
  <c r="I84" i="14"/>
  <c r="U86" i="14"/>
  <c r="C86" i="14"/>
  <c r="I86" i="14"/>
  <c r="S86" i="14"/>
  <c r="N86" i="14"/>
  <c r="K86" i="14"/>
  <c r="O86" i="14"/>
  <c r="B151" i="14" s="1"/>
  <c r="I115" i="15"/>
  <c r="P86" i="14"/>
  <c r="M86" i="14"/>
  <c r="E57" i="14"/>
  <c r="W57" i="14"/>
  <c r="W86" i="14"/>
  <c r="B159" i="14" s="1"/>
  <c r="Q53" i="14"/>
  <c r="I116" i="15"/>
  <c r="I117" i="15" s="1"/>
  <c r="O48" i="119" s="1"/>
  <c r="E160" i="119" s="1"/>
  <c r="Q86" i="14"/>
  <c r="S53" i="14"/>
  <c r="R86" i="14"/>
  <c r="F86" i="14"/>
  <c r="I53" i="14"/>
  <c r="R53" i="14"/>
  <c r="M51" i="14"/>
  <c r="L51" i="14"/>
  <c r="C51" i="14"/>
  <c r="T51" i="14"/>
  <c r="J51" i="14"/>
  <c r="R51" i="14"/>
  <c r="W51" i="14"/>
  <c r="Q51" i="14"/>
  <c r="V51" i="14"/>
  <c r="I51" i="14"/>
  <c r="E51" i="14"/>
  <c r="N51" i="14"/>
  <c r="D51" i="14"/>
  <c r="O51" i="14"/>
  <c r="P51" i="14"/>
  <c r="S51" i="14"/>
  <c r="U51" i="14"/>
  <c r="H51" i="14"/>
  <c r="G51" i="14"/>
  <c r="F51" i="14"/>
  <c r="K51" i="14"/>
  <c r="J86" i="14"/>
  <c r="E53" i="14"/>
  <c r="J53" i="14"/>
  <c r="H53" i="14"/>
  <c r="T86" i="14"/>
  <c r="B156" i="14" s="1"/>
  <c r="K53" i="14"/>
  <c r="G53" i="14"/>
  <c r="V86" i="14"/>
  <c r="N95" i="15"/>
  <c r="N66" i="15"/>
  <c r="J66" i="15" s="1"/>
  <c r="N67" i="15"/>
  <c r="E86" i="14"/>
  <c r="D86" i="14"/>
  <c r="D53" i="14"/>
  <c r="W53" i="14"/>
  <c r="N53" i="14"/>
  <c r="T84" i="14"/>
  <c r="F53" i="14"/>
  <c r="V53" i="14"/>
  <c r="U53" i="14"/>
  <c r="P53" i="14"/>
  <c r="L53" i="14"/>
  <c r="T53" i="14"/>
  <c r="O53" i="14"/>
  <c r="D142" i="119"/>
  <c r="B162" i="14"/>
  <c r="X91" i="14"/>
  <c r="B161" i="14"/>
  <c r="X88" i="14"/>
  <c r="X78" i="14"/>
  <c r="X71" i="14"/>
  <c r="X79" i="14"/>
  <c r="X83" i="14"/>
  <c r="B160" i="14"/>
  <c r="X89" i="14"/>
  <c r="X77" i="14"/>
  <c r="X70" i="14"/>
  <c r="X87" i="14"/>
  <c r="X82" i="14"/>
  <c r="X76" i="14"/>
  <c r="X74" i="14"/>
  <c r="X75" i="14"/>
  <c r="X81" i="14"/>
  <c r="F78" i="34"/>
  <c r="F80" i="34" s="1"/>
  <c r="N70" i="15"/>
  <c r="E78" i="34"/>
  <c r="E80" i="34" s="1"/>
  <c r="F120" i="34"/>
  <c r="F121" i="34" s="1"/>
  <c r="G77" i="34" s="1"/>
  <c r="H8" i="119"/>
  <c r="C92" i="119" s="1"/>
  <c r="D92" i="119" s="1"/>
  <c r="G65" i="15"/>
  <c r="H65" i="15"/>
  <c r="C93" i="119"/>
  <c r="D93" i="119" s="1"/>
  <c r="I8" i="119"/>
  <c r="H67" i="15"/>
  <c r="B53" i="15"/>
  <c r="B55" i="15" s="1"/>
  <c r="L85" i="15" s="1"/>
  <c r="B54" i="15"/>
  <c r="M85" i="15" s="1"/>
  <c r="N68" i="15"/>
  <c r="N83" i="15"/>
  <c r="N99" i="15"/>
  <c r="N91" i="15"/>
  <c r="N72" i="15"/>
  <c r="N80" i="15"/>
  <c r="N88" i="15"/>
  <c r="N79" i="15"/>
  <c r="N90" i="15"/>
  <c r="N103" i="15"/>
  <c r="N87" i="15"/>
  <c r="N94" i="15"/>
  <c r="J95" i="15" s="1"/>
  <c r="N105" i="15"/>
  <c r="N101" i="15"/>
  <c r="N86" i="15"/>
  <c r="N107" i="15"/>
  <c r="N82" i="15"/>
  <c r="N71" i="15"/>
  <c r="N84" i="15"/>
  <c r="N93" i="15"/>
  <c r="N102" i="15"/>
  <c r="N75" i="15"/>
  <c r="N92" i="15"/>
  <c r="N76" i="15"/>
  <c r="N85" i="15"/>
  <c r="N89" i="15"/>
  <c r="N69" i="15"/>
  <c r="N96" i="15"/>
  <c r="N100" i="15"/>
  <c r="N98" i="15"/>
  <c r="N74" i="15"/>
  <c r="N97" i="15"/>
  <c r="N81" i="15"/>
  <c r="N77" i="15"/>
  <c r="N73" i="15"/>
  <c r="N106" i="15"/>
  <c r="N78" i="15"/>
  <c r="N104" i="15"/>
  <c r="G89" i="34"/>
  <c r="D90" i="34"/>
  <c r="D78" i="34"/>
  <c r="D80" i="34" s="1"/>
  <c r="L107" i="119"/>
  <c r="C95" i="119"/>
  <c r="D95" i="119" s="1"/>
  <c r="X64" i="14" l="1"/>
  <c r="X73" i="14"/>
  <c r="X60" i="14"/>
  <c r="X59" i="14"/>
  <c r="X65" i="14"/>
  <c r="X66" i="14"/>
  <c r="G116" i="15"/>
  <c r="B132" i="14"/>
  <c r="C132" i="14" s="1"/>
  <c r="X61" i="14"/>
  <c r="X62" i="14"/>
  <c r="X55" i="14"/>
  <c r="B128" i="14"/>
  <c r="C128" i="14" s="1"/>
  <c r="E160" i="6"/>
  <c r="E161" i="6" s="1"/>
  <c r="B129" i="14"/>
  <c r="C129" i="14" s="1"/>
  <c r="X68" i="14"/>
  <c r="B127" i="14"/>
  <c r="C127" i="14" s="1"/>
  <c r="X69" i="14"/>
  <c r="B139" i="14"/>
  <c r="C139" i="14" s="1"/>
  <c r="X54" i="14"/>
  <c r="X63" i="14"/>
  <c r="B147" i="14"/>
  <c r="B158" i="14"/>
  <c r="X67" i="14"/>
  <c r="B125" i="14"/>
  <c r="C125" i="14" s="1"/>
  <c r="B130" i="14"/>
  <c r="C130" i="14" s="1"/>
  <c r="B122" i="14"/>
  <c r="C122" i="14" s="1"/>
  <c r="U98" i="15"/>
  <c r="U100" i="15"/>
  <c r="B157" i="14"/>
  <c r="U97" i="15"/>
  <c r="U96" i="15"/>
  <c r="U93" i="15"/>
  <c r="U90" i="15"/>
  <c r="B121" i="14"/>
  <c r="U95" i="15"/>
  <c r="B137" i="14"/>
  <c r="C137" i="14" s="1"/>
  <c r="B148" i="14"/>
  <c r="B153" i="14"/>
  <c r="X84" i="14"/>
  <c r="B152" i="14"/>
  <c r="B134" i="14"/>
  <c r="B138" i="14"/>
  <c r="C138" i="14" s="1"/>
  <c r="B155" i="14"/>
  <c r="B150" i="14"/>
  <c r="B149" i="14"/>
  <c r="B126" i="14"/>
  <c r="X72" i="14"/>
  <c r="B131" i="14"/>
  <c r="X58" i="14"/>
  <c r="B133" i="14"/>
  <c r="X85" i="14"/>
  <c r="B140" i="14"/>
  <c r="C140" i="14" s="1"/>
  <c r="B123" i="14"/>
  <c r="B146" i="14"/>
  <c r="X57" i="14"/>
  <c r="X80" i="14"/>
  <c r="B136" i="14"/>
  <c r="B124" i="14"/>
  <c r="B154" i="14"/>
  <c r="X56" i="14"/>
  <c r="J68" i="15"/>
  <c r="X86" i="14"/>
  <c r="B135" i="14"/>
  <c r="X53" i="14"/>
  <c r="M107" i="15"/>
  <c r="M105" i="15"/>
  <c r="M115" i="15" s="1"/>
  <c r="B120" i="15" s="1"/>
  <c r="L107" i="15"/>
  <c r="L105" i="15"/>
  <c r="X51" i="14"/>
  <c r="J67" i="15"/>
  <c r="U106" i="15"/>
  <c r="D120" i="119"/>
  <c r="D115" i="119"/>
  <c r="D135" i="119"/>
  <c r="D140" i="119"/>
  <c r="D106" i="119"/>
  <c r="D125" i="119"/>
  <c r="D130" i="119"/>
  <c r="J82" i="15"/>
  <c r="C14" i="13"/>
  <c r="E14" i="13" s="1"/>
  <c r="S65" i="15" s="1"/>
  <c r="G115" i="15"/>
  <c r="H114" i="15"/>
  <c r="G114" i="15"/>
  <c r="J99" i="15"/>
  <c r="J80" i="15"/>
  <c r="J101" i="15"/>
  <c r="H115" i="15"/>
  <c r="H116" i="15"/>
  <c r="H117" i="15" s="1"/>
  <c r="N48" i="119" s="1"/>
  <c r="E159" i="119" s="1"/>
  <c r="B44" i="14"/>
  <c r="J83" i="15"/>
  <c r="J100" i="15"/>
  <c r="J92" i="15"/>
  <c r="C94" i="119"/>
  <c r="D94" i="119" s="1"/>
  <c r="D117" i="119" s="1"/>
  <c r="L106" i="119"/>
  <c r="J91" i="15"/>
  <c r="J69" i="15"/>
  <c r="J89" i="15"/>
  <c r="J88" i="15"/>
  <c r="J87" i="15"/>
  <c r="J73" i="15"/>
  <c r="J72" i="15"/>
  <c r="J106" i="15"/>
  <c r="J94" i="15"/>
  <c r="J84" i="15"/>
  <c r="J79" i="15"/>
  <c r="J102" i="15"/>
  <c r="J93" i="15"/>
  <c r="J75" i="15"/>
  <c r="J76" i="15"/>
  <c r="J98" i="15"/>
  <c r="J86" i="15"/>
  <c r="J77" i="15"/>
  <c r="J103" i="15"/>
  <c r="J74" i="15"/>
  <c r="J71" i="15"/>
  <c r="J97" i="15"/>
  <c r="N116" i="15"/>
  <c r="N117" i="15" s="1"/>
  <c r="S48" i="119" s="1"/>
  <c r="E164" i="119" s="1"/>
  <c r="J90" i="15"/>
  <c r="N115" i="15"/>
  <c r="B121" i="15" s="1"/>
  <c r="N114" i="15"/>
  <c r="J70" i="15"/>
  <c r="J81" i="15"/>
  <c r="J96" i="15"/>
  <c r="J104" i="15"/>
  <c r="J78" i="15"/>
  <c r="G90" i="34"/>
  <c r="G78" i="34"/>
  <c r="G80" i="34" s="1"/>
  <c r="J85" i="15" l="1"/>
  <c r="U101" i="15"/>
  <c r="C133" i="14"/>
  <c r="U89" i="15"/>
  <c r="C121" i="14"/>
  <c r="U99" i="15"/>
  <c r="C131" i="14"/>
  <c r="U103" i="15"/>
  <c r="C135" i="14"/>
  <c r="U94" i="15"/>
  <c r="C126" i="14"/>
  <c r="U92" i="15"/>
  <c r="C124" i="14"/>
  <c r="U104" i="15"/>
  <c r="C136" i="14"/>
  <c r="U102" i="15"/>
  <c r="C134" i="14"/>
  <c r="U91" i="15"/>
  <c r="C123" i="14"/>
  <c r="L115" i="15"/>
  <c r="M114" i="15"/>
  <c r="B166" i="14"/>
  <c r="U107" i="15" s="1"/>
  <c r="M116" i="15"/>
  <c r="M117" i="15" s="1"/>
  <c r="R48" i="119" s="1"/>
  <c r="E163" i="119" s="1"/>
  <c r="L116" i="15"/>
  <c r="L118" i="15" s="1"/>
  <c r="M48" i="119" s="1"/>
  <c r="E157" i="119" s="1"/>
  <c r="J105" i="15"/>
  <c r="U105" i="15"/>
  <c r="B52" i="14"/>
  <c r="D52" i="14" s="1"/>
  <c r="B50" i="14"/>
  <c r="L114" i="15"/>
  <c r="D102" i="119"/>
  <c r="D101" i="119"/>
  <c r="D14" i="13"/>
  <c r="D132" i="119"/>
  <c r="D137" i="119"/>
  <c r="D105" i="119"/>
  <c r="D104" i="119"/>
  <c r="D122" i="119"/>
  <c r="D127" i="119"/>
  <c r="D103" i="119"/>
  <c r="G14" i="13"/>
  <c r="C15" i="13" s="1"/>
  <c r="J107" i="15"/>
  <c r="T65" i="15"/>
  <c r="J115" i="15" l="1"/>
  <c r="K52" i="14"/>
  <c r="Q52" i="14"/>
  <c r="G52" i="14"/>
  <c r="T52" i="14"/>
  <c r="E52" i="14"/>
  <c r="P52" i="14"/>
  <c r="W52" i="14"/>
  <c r="B120" i="14" s="1"/>
  <c r="C52" i="14"/>
  <c r="I52" i="14"/>
  <c r="U52" i="14"/>
  <c r="N52" i="14"/>
  <c r="S52" i="14"/>
  <c r="V52" i="14"/>
  <c r="B119" i="14" s="1"/>
  <c r="L52" i="14"/>
  <c r="R52" i="14"/>
  <c r="H52" i="14"/>
  <c r="O52" i="14"/>
  <c r="M52" i="14"/>
  <c r="F52" i="14"/>
  <c r="J52" i="14"/>
  <c r="Q50" i="14"/>
  <c r="T50" i="14"/>
  <c r="M50" i="14"/>
  <c r="O50" i="14"/>
  <c r="N50" i="14"/>
  <c r="E50" i="14"/>
  <c r="F50" i="14"/>
  <c r="B101" i="14" s="1"/>
  <c r="U69" i="15" s="1"/>
  <c r="L50" i="14"/>
  <c r="S50" i="14"/>
  <c r="W50" i="14"/>
  <c r="I50" i="14"/>
  <c r="R50" i="14"/>
  <c r="G50" i="14"/>
  <c r="C50" i="14"/>
  <c r="D50" i="14"/>
  <c r="B99" i="14" s="1"/>
  <c r="U67" i="15" s="1"/>
  <c r="K50" i="14"/>
  <c r="P50" i="14"/>
  <c r="V50" i="14"/>
  <c r="H50" i="14"/>
  <c r="J50" i="14"/>
  <c r="U50" i="14"/>
  <c r="G15" i="13"/>
  <c r="C16" i="13" s="1"/>
  <c r="E15" i="13"/>
  <c r="J114" i="15"/>
  <c r="J116" i="15"/>
  <c r="J117" i="15" s="1"/>
  <c r="P48" i="119" s="1"/>
  <c r="E161" i="119" s="1"/>
  <c r="V65" i="15"/>
  <c r="AC65" i="15"/>
  <c r="B104" i="14" l="1"/>
  <c r="U72" i="15" s="1"/>
  <c r="B117" i="14"/>
  <c r="B103" i="14"/>
  <c r="U71" i="15" s="1"/>
  <c r="B108" i="14"/>
  <c r="U76" i="15" s="1"/>
  <c r="B114" i="14"/>
  <c r="U82" i="15" s="1"/>
  <c r="B100" i="14"/>
  <c r="U68" i="15" s="1"/>
  <c r="B118" i="14"/>
  <c r="C118" i="14" s="1"/>
  <c r="U87" i="15"/>
  <c r="C119" i="14"/>
  <c r="U88" i="15"/>
  <c r="C120" i="14"/>
  <c r="U86" i="15"/>
  <c r="B113" i="14"/>
  <c r="U81" i="15" s="1"/>
  <c r="B116" i="14"/>
  <c r="U84" i="15" s="1"/>
  <c r="B102" i="14"/>
  <c r="U70" i="15" s="1"/>
  <c r="B111" i="14"/>
  <c r="U79" i="15" s="1"/>
  <c r="B106" i="14"/>
  <c r="U74" i="15" s="1"/>
  <c r="B112" i="14"/>
  <c r="U80" i="15" s="1"/>
  <c r="B105" i="14"/>
  <c r="U73" i="15" s="1"/>
  <c r="B110" i="14"/>
  <c r="U78" i="15" s="1"/>
  <c r="B115" i="14"/>
  <c r="U83" i="15" s="1"/>
  <c r="X52" i="14"/>
  <c r="B109" i="14"/>
  <c r="U77" i="15" s="1"/>
  <c r="B107" i="14"/>
  <c r="U75" i="15" s="1"/>
  <c r="X50" i="14"/>
  <c r="B98" i="14"/>
  <c r="U66" i="15" s="1"/>
  <c r="D15" i="13"/>
  <c r="S66" i="15"/>
  <c r="G16" i="13"/>
  <c r="C17" i="13" s="1"/>
  <c r="E16" i="13"/>
  <c r="X55" i="15"/>
  <c r="X57" i="15" s="1"/>
  <c r="X65" i="15"/>
  <c r="C141" i="14" l="1"/>
  <c r="U85" i="15" s="1"/>
  <c r="U115" i="15" s="1"/>
  <c r="B141" i="14"/>
  <c r="D16" i="13"/>
  <c r="S67" i="15"/>
  <c r="G17" i="13"/>
  <c r="C18" i="13" s="1"/>
  <c r="E17" i="13"/>
  <c r="AA65" i="15"/>
  <c r="Y65" i="15"/>
  <c r="U116" i="15" l="1"/>
  <c r="Y55" i="15" s="1"/>
  <c r="Y57" i="15" s="1"/>
  <c r="U114" i="15"/>
  <c r="D17" i="13"/>
  <c r="S68" i="15"/>
  <c r="G18" i="13"/>
  <c r="C19" i="13" s="1"/>
  <c r="E18" i="13"/>
  <c r="AB65" i="15"/>
  <c r="S69" i="15" l="1"/>
  <c r="D18" i="13"/>
  <c r="E19" i="13"/>
  <c r="G19" i="13"/>
  <c r="C20" i="13" s="1"/>
  <c r="E20" i="13" l="1"/>
  <c r="G20" i="13"/>
  <c r="C21" i="13" s="1"/>
  <c r="D19" i="13"/>
  <c r="S70" i="15"/>
  <c r="E21" i="13" l="1"/>
  <c r="G21" i="13"/>
  <c r="C22" i="13" s="1"/>
  <c r="S71" i="15"/>
  <c r="D20" i="13"/>
  <c r="G22" i="13" l="1"/>
  <c r="C23" i="13" s="1"/>
  <c r="E22" i="13"/>
  <c r="D21" i="13"/>
  <c r="S72" i="15"/>
  <c r="D22" i="13" l="1"/>
  <c r="S73" i="15"/>
  <c r="G23" i="13"/>
  <c r="C24" i="13" s="1"/>
  <c r="E23" i="13"/>
  <c r="E24" i="13" l="1"/>
  <c r="G24" i="13"/>
  <c r="C25" i="13" s="1"/>
  <c r="D23" i="13"/>
  <c r="S74" i="15"/>
  <c r="G25" i="13" l="1"/>
  <c r="C26" i="13" s="1"/>
  <c r="E25" i="13"/>
  <c r="S75" i="15"/>
  <c r="D24" i="13"/>
  <c r="S76" i="15" l="1"/>
  <c r="D25" i="13"/>
  <c r="E26" i="13"/>
  <c r="G26" i="13"/>
  <c r="C27" i="13" s="1"/>
  <c r="G27" i="13" l="1"/>
  <c r="C28" i="13" s="1"/>
  <c r="E27" i="13"/>
  <c r="S77" i="15"/>
  <c r="D26" i="13"/>
  <c r="D27" i="13" l="1"/>
  <c r="S78" i="15"/>
  <c r="G28" i="13"/>
  <c r="C29" i="13" s="1"/>
  <c r="E28" i="13"/>
  <c r="S79" i="15" l="1"/>
  <c r="D28" i="13"/>
  <c r="E29" i="13"/>
  <c r="G29" i="13"/>
  <c r="C30" i="13" s="1"/>
  <c r="D29" i="13" l="1"/>
  <c r="S80" i="15"/>
  <c r="E30" i="13"/>
  <c r="G30" i="13"/>
  <c r="C31" i="13" s="1"/>
  <c r="E31" i="13" l="1"/>
  <c r="G31" i="13"/>
  <c r="C32" i="13" s="1"/>
  <c r="S81" i="15"/>
  <c r="D30" i="13"/>
  <c r="E32" i="13" l="1"/>
  <c r="G32" i="13"/>
  <c r="C33" i="13" s="1"/>
  <c r="D31" i="13"/>
  <c r="S82" i="15"/>
  <c r="G33" i="13" l="1"/>
  <c r="C34" i="13" s="1"/>
  <c r="F34" i="13" s="1"/>
  <c r="Z85" i="15" s="1"/>
  <c r="E33" i="13"/>
  <c r="S83" i="15"/>
  <c r="D32" i="13"/>
  <c r="D33" i="13" l="1"/>
  <c r="S84" i="15"/>
  <c r="E34" i="13"/>
  <c r="G34" i="13"/>
  <c r="C35" i="13" s="1"/>
  <c r="D34" i="13" l="1"/>
  <c r="S85" i="15"/>
  <c r="G35" i="13"/>
  <c r="C36" i="13" s="1"/>
  <c r="E35" i="13"/>
  <c r="G36" i="13" l="1"/>
  <c r="C37" i="13" s="1"/>
  <c r="E36" i="13"/>
  <c r="D35" i="13"/>
  <c r="S86" i="15"/>
  <c r="D36" i="13" l="1"/>
  <c r="S87" i="15"/>
  <c r="E37" i="13"/>
  <c r="G37" i="13"/>
  <c r="C38" i="13" s="1"/>
  <c r="E38" i="13" l="1"/>
  <c r="G38" i="13"/>
  <c r="C39" i="13" s="1"/>
  <c r="D37" i="13"/>
  <c r="S88" i="15"/>
  <c r="E39" i="13" l="1"/>
  <c r="G39" i="13"/>
  <c r="C40" i="13" s="1"/>
  <c r="D38" i="13"/>
  <c r="S89" i="15"/>
  <c r="E40" i="13" l="1"/>
  <c r="G40" i="13"/>
  <c r="C41" i="13" s="1"/>
  <c r="D39" i="13"/>
  <c r="S90" i="15"/>
  <c r="G41" i="13" l="1"/>
  <c r="C42" i="13" s="1"/>
  <c r="E41" i="13"/>
  <c r="D40" i="13"/>
  <c r="S91" i="15"/>
  <c r="D41" i="13" l="1"/>
  <c r="S92" i="15"/>
  <c r="E42" i="13"/>
  <c r="G42" i="13"/>
  <c r="C43" i="13" s="1"/>
  <c r="D42" i="13" l="1"/>
  <c r="S93" i="15"/>
  <c r="E43" i="13"/>
  <c r="G43" i="13"/>
  <c r="C44" i="13" s="1"/>
  <c r="E44" i="13" l="1"/>
  <c r="G44" i="13"/>
  <c r="C45" i="13" s="1"/>
  <c r="S94" i="15"/>
  <c r="D43" i="13"/>
  <c r="G45" i="13" l="1"/>
  <c r="C46" i="13" s="1"/>
  <c r="E45" i="13"/>
  <c r="S95" i="15"/>
  <c r="D44" i="13"/>
  <c r="D45" i="13" l="1"/>
  <c r="S96" i="15"/>
  <c r="G46" i="13"/>
  <c r="C47" i="13" s="1"/>
  <c r="E46" i="13"/>
  <c r="S97" i="15" l="1"/>
  <c r="D46" i="13"/>
  <c r="E47" i="13"/>
  <c r="G47" i="13"/>
  <c r="C48" i="13" s="1"/>
  <c r="E48" i="13" l="1"/>
  <c r="G48" i="13"/>
  <c r="C49" i="13" s="1"/>
  <c r="S98" i="15"/>
  <c r="D47" i="13"/>
  <c r="E49" i="13" l="1"/>
  <c r="G49" i="13"/>
  <c r="C50" i="13" s="1"/>
  <c r="D48" i="13"/>
  <c r="S99" i="15"/>
  <c r="E50" i="13" l="1"/>
  <c r="G50" i="13"/>
  <c r="C51" i="13" s="1"/>
  <c r="D49" i="13"/>
  <c r="S100" i="15"/>
  <c r="G51" i="13" l="1"/>
  <c r="C52" i="13" s="1"/>
  <c r="E51" i="13"/>
  <c r="D50" i="13"/>
  <c r="S101" i="15"/>
  <c r="S102" i="15" l="1"/>
  <c r="D51" i="13"/>
  <c r="G52" i="13"/>
  <c r="C53" i="13" s="1"/>
  <c r="E52" i="13"/>
  <c r="E53" i="13" l="1"/>
  <c r="G53" i="13"/>
  <c r="C54" i="13" s="1"/>
  <c r="F54" i="13" s="1"/>
  <c r="Z105" i="15" s="1"/>
  <c r="S103" i="15"/>
  <c r="D52" i="13"/>
  <c r="E54" i="13" l="1"/>
  <c r="G54" i="13"/>
  <c r="C55" i="13" s="1"/>
  <c r="D53" i="13"/>
  <c r="S104" i="15"/>
  <c r="E55" i="13" l="1"/>
  <c r="G55" i="13"/>
  <c r="C56" i="13" s="1"/>
  <c r="S105" i="15"/>
  <c r="D54" i="13"/>
  <c r="E56" i="13" l="1"/>
  <c r="F56" i="13"/>
  <c r="Z107" i="15" s="1"/>
  <c r="D55" i="13"/>
  <c r="S106" i="15"/>
  <c r="Z116" i="15" l="1"/>
  <c r="Z114" i="15"/>
  <c r="Z115" i="15"/>
  <c r="G56" i="13"/>
  <c r="D56" i="13"/>
  <c r="S107" i="15"/>
  <c r="S114" i="15" l="1"/>
  <c r="S116" i="15"/>
  <c r="S115" i="15"/>
  <c r="B119" i="15" s="1"/>
  <c r="Z117" i="15"/>
  <c r="Y48" i="119" s="1"/>
  <c r="E170" i="119" s="1"/>
  <c r="Z55" i="15"/>
  <c r="Z57" i="15" s="1"/>
  <c r="C122" i="15" l="1"/>
  <c r="D22" i="34" s="1"/>
  <c r="C121" i="15"/>
  <c r="D21" i="34" s="1"/>
  <c r="C125" i="15"/>
  <c r="D25" i="34" s="1"/>
  <c r="C124" i="15"/>
  <c r="D24" i="34" s="1"/>
  <c r="C123" i="15"/>
  <c r="D23" i="34" s="1"/>
  <c r="C119" i="15"/>
  <c r="D19" i="34" s="1"/>
  <c r="C120" i="15"/>
  <c r="D20" i="34" s="1"/>
  <c r="S117" i="15"/>
  <c r="W48" i="119" s="1"/>
  <c r="E168" i="119" s="1"/>
  <c r="AA55" i="15"/>
  <c r="AA57" i="15" s="1"/>
  <c r="X60" i="15" s="1"/>
  <c r="E17" i="15" l="1"/>
  <c r="F66" i="15" l="1"/>
  <c r="T66" i="15" s="1"/>
  <c r="F67" i="15"/>
  <c r="T67" i="15" s="1"/>
  <c r="F87" i="15"/>
  <c r="T87" i="15" s="1"/>
  <c r="F75" i="15"/>
  <c r="T75" i="15" s="1"/>
  <c r="F76" i="15"/>
  <c r="T76" i="15" s="1"/>
  <c r="F107" i="15"/>
  <c r="T107" i="15" s="1"/>
  <c r="F103" i="15"/>
  <c r="T103" i="15" s="1"/>
  <c r="F101" i="15"/>
  <c r="T101" i="15" s="1"/>
  <c r="F92" i="15"/>
  <c r="T92" i="15" s="1"/>
  <c r="F73" i="15"/>
  <c r="T73" i="15" s="1"/>
  <c r="F105" i="15"/>
  <c r="T105" i="15" s="1"/>
  <c r="F80" i="15"/>
  <c r="T80" i="15" s="1"/>
  <c r="F89" i="15"/>
  <c r="T89" i="15" s="1"/>
  <c r="F78" i="15"/>
  <c r="T78" i="15" s="1"/>
  <c r="F93" i="15"/>
  <c r="T93" i="15" s="1"/>
  <c r="F74" i="15"/>
  <c r="T74" i="15" s="1"/>
  <c r="F102" i="15"/>
  <c r="T102" i="15" s="1"/>
  <c r="F79" i="15"/>
  <c r="T79" i="15" s="1"/>
  <c r="F83" i="15"/>
  <c r="T83" i="15" s="1"/>
  <c r="F95" i="15"/>
  <c r="T95" i="15" s="1"/>
  <c r="F71" i="15"/>
  <c r="T71" i="15" s="1"/>
  <c r="F90" i="15"/>
  <c r="T90" i="15" s="1"/>
  <c r="F69" i="15"/>
  <c r="T69" i="15" s="1"/>
  <c r="F91" i="15"/>
  <c r="T91" i="15" s="1"/>
  <c r="F70" i="15"/>
  <c r="T70" i="15" s="1"/>
  <c r="F97" i="15"/>
  <c r="T97" i="15" s="1"/>
  <c r="F94" i="15"/>
  <c r="T94" i="15" s="1"/>
  <c r="E16" i="15"/>
  <c r="F85" i="15"/>
  <c r="T85" i="15" s="1"/>
  <c r="F72" i="15"/>
  <c r="T72" i="15" s="1"/>
  <c r="F68" i="15"/>
  <c r="F98" i="15"/>
  <c r="T98" i="15" s="1"/>
  <c r="F104" i="15"/>
  <c r="T104" i="15" s="1"/>
  <c r="F82" i="15"/>
  <c r="T82" i="15" s="1"/>
  <c r="F88" i="15"/>
  <c r="T88" i="15" s="1"/>
  <c r="F96" i="15"/>
  <c r="T96" i="15" s="1"/>
  <c r="F106" i="15"/>
  <c r="T106" i="15" s="1"/>
  <c r="F84" i="15"/>
  <c r="T84" i="15" s="1"/>
  <c r="F99" i="15"/>
  <c r="T99" i="15" s="1"/>
  <c r="F81" i="15"/>
  <c r="T81" i="15" s="1"/>
  <c r="F86" i="15"/>
  <c r="T86" i="15" s="1"/>
  <c r="F100" i="15"/>
  <c r="T100" i="15" s="1"/>
  <c r="F77" i="15"/>
  <c r="T77" i="15" s="1"/>
  <c r="AC67" i="15" l="1"/>
  <c r="V67" i="15"/>
  <c r="X67" i="15" s="1"/>
  <c r="Y67" i="15" s="1"/>
  <c r="V66" i="15"/>
  <c r="X66" i="15" s="1"/>
  <c r="AA66" i="15" s="1"/>
  <c r="AB66" i="15" s="1"/>
  <c r="AC66" i="15"/>
  <c r="AC79" i="15"/>
  <c r="V79" i="15"/>
  <c r="X79" i="15" s="1"/>
  <c r="AA79" i="15" s="1"/>
  <c r="T68" i="15"/>
  <c r="F116" i="15"/>
  <c r="F118" i="15" s="1"/>
  <c r="F114" i="15"/>
  <c r="F115" i="15"/>
  <c r="AC89" i="15"/>
  <c r="V89" i="15"/>
  <c r="X89" i="15" s="1"/>
  <c r="Y89" i="15" s="1"/>
  <c r="V74" i="15"/>
  <c r="X74" i="15" s="1"/>
  <c r="AA74" i="15" s="1"/>
  <c r="AC74" i="15"/>
  <c r="D120" i="15"/>
  <c r="C20" i="34" s="1"/>
  <c r="D122" i="15"/>
  <c r="C22" i="34" s="1"/>
  <c r="D124" i="15"/>
  <c r="C24" i="34" s="1"/>
  <c r="D121" i="15"/>
  <c r="C21" i="34" s="1"/>
  <c r="D125" i="15"/>
  <c r="C25" i="34" s="1"/>
  <c r="D123" i="15"/>
  <c r="C23" i="34" s="1"/>
  <c r="D119" i="15"/>
  <c r="C19" i="34" s="1"/>
  <c r="AC80" i="15"/>
  <c r="V80" i="15"/>
  <c r="X80" i="15" s="1"/>
  <c r="Y80" i="15" s="1"/>
  <c r="V78" i="15"/>
  <c r="X78" i="15" s="1"/>
  <c r="Y78" i="15" s="1"/>
  <c r="AC78" i="15"/>
  <c r="V105" i="15"/>
  <c r="X105" i="15" s="1"/>
  <c r="Y105" i="15" s="1"/>
  <c r="AC105" i="15"/>
  <c r="V82" i="15"/>
  <c r="X82" i="15" s="1"/>
  <c r="Y82" i="15" s="1"/>
  <c r="AC82" i="15"/>
  <c r="V73" i="15"/>
  <c r="X73" i="15" s="1"/>
  <c r="Y73" i="15" s="1"/>
  <c r="AC73" i="15"/>
  <c r="AC77" i="15"/>
  <c r="V77" i="15"/>
  <c r="X77" i="15" s="1"/>
  <c r="Y77" i="15" s="1"/>
  <c r="V70" i="15"/>
  <c r="X70" i="15" s="1"/>
  <c r="Y70" i="15" s="1"/>
  <c r="AC70" i="15"/>
  <c r="V92" i="15"/>
  <c r="X92" i="15" s="1"/>
  <c r="AA92" i="15" s="1"/>
  <c r="AC92" i="15"/>
  <c r="AC102" i="15"/>
  <c r="V102" i="15"/>
  <c r="X102" i="15" s="1"/>
  <c r="Y102" i="15" s="1"/>
  <c r="AC100" i="15"/>
  <c r="V100" i="15"/>
  <c r="X100" i="15" s="1"/>
  <c r="Y100" i="15" s="1"/>
  <c r="AC91" i="15"/>
  <c r="V91" i="15"/>
  <c r="X91" i="15" s="1"/>
  <c r="Y91" i="15" s="1"/>
  <c r="AC101" i="15"/>
  <c r="V101" i="15"/>
  <c r="X101" i="15" s="1"/>
  <c r="Y101" i="15" s="1"/>
  <c r="V72" i="15"/>
  <c r="X72" i="15" s="1"/>
  <c r="Y72" i="15" s="1"/>
  <c r="AC72" i="15"/>
  <c r="V86" i="15"/>
  <c r="X86" i="15" s="1"/>
  <c r="AA86" i="15" s="1"/>
  <c r="AC86" i="15"/>
  <c r="AC69" i="15"/>
  <c r="V69" i="15"/>
  <c r="X69" i="15" s="1"/>
  <c r="Y69" i="15" s="1"/>
  <c r="V103" i="15"/>
  <c r="X103" i="15" s="1"/>
  <c r="Y103" i="15" s="1"/>
  <c r="AC103" i="15"/>
  <c r="AC93" i="15"/>
  <c r="V93" i="15"/>
  <c r="X93" i="15" s="1"/>
  <c r="Y93" i="15" s="1"/>
  <c r="V97" i="15"/>
  <c r="X97" i="15" s="1"/>
  <c r="Y97" i="15" s="1"/>
  <c r="AC97" i="15"/>
  <c r="AC84" i="15"/>
  <c r="V84" i="15"/>
  <c r="X84" i="15" s="1"/>
  <c r="Y84" i="15" s="1"/>
  <c r="V90" i="15"/>
  <c r="X90" i="15" s="1"/>
  <c r="Y90" i="15" s="1"/>
  <c r="AC90" i="15"/>
  <c r="V107" i="15"/>
  <c r="X107" i="15" s="1"/>
  <c r="Y107" i="15" s="1"/>
  <c r="AC107" i="15"/>
  <c r="V94" i="15"/>
  <c r="X94" i="15" s="1"/>
  <c r="Y94" i="15" s="1"/>
  <c r="AC94" i="15"/>
  <c r="V81" i="15"/>
  <c r="X81" i="15" s="1"/>
  <c r="Y81" i="15" s="1"/>
  <c r="AC81" i="15"/>
  <c r="V106" i="15"/>
  <c r="X106" i="15" s="1"/>
  <c r="Y106" i="15" s="1"/>
  <c r="AC106" i="15"/>
  <c r="V71" i="15"/>
  <c r="X71" i="15" s="1"/>
  <c r="Y71" i="15" s="1"/>
  <c r="AC71" i="15"/>
  <c r="V76" i="15"/>
  <c r="X76" i="15" s="1"/>
  <c r="Y76" i="15" s="1"/>
  <c r="AC76" i="15"/>
  <c r="V104" i="15"/>
  <c r="X104" i="15" s="1"/>
  <c r="Y104" i="15" s="1"/>
  <c r="AC104" i="15"/>
  <c r="AC85" i="15"/>
  <c r="V85" i="15"/>
  <c r="X85" i="15" s="1"/>
  <c r="Y85" i="15" s="1"/>
  <c r="V99" i="15"/>
  <c r="X99" i="15" s="1"/>
  <c r="Y99" i="15" s="1"/>
  <c r="AC99" i="15"/>
  <c r="V96" i="15"/>
  <c r="X96" i="15" s="1"/>
  <c r="Y96" i="15" s="1"/>
  <c r="AC96" i="15"/>
  <c r="AC95" i="15"/>
  <c r="V95" i="15"/>
  <c r="X95" i="15" s="1"/>
  <c r="Y95" i="15" s="1"/>
  <c r="AC75" i="15"/>
  <c r="V75" i="15"/>
  <c r="X75" i="15" s="1"/>
  <c r="Y75" i="15" s="1"/>
  <c r="AC98" i="15"/>
  <c r="V98" i="15"/>
  <c r="X98" i="15" s="1"/>
  <c r="Y98" i="15" s="1"/>
  <c r="AC88" i="15"/>
  <c r="V88" i="15"/>
  <c r="X88" i="15" s="1"/>
  <c r="Y88" i="15" s="1"/>
  <c r="AC83" i="15"/>
  <c r="V83" i="15"/>
  <c r="X83" i="15" s="1"/>
  <c r="Y83" i="15" s="1"/>
  <c r="AC87" i="15"/>
  <c r="V87" i="15"/>
  <c r="X87" i="15" s="1"/>
  <c r="Y87" i="15" s="1"/>
  <c r="Y66" i="15" l="1"/>
  <c r="AA67" i="15"/>
  <c r="AB67" i="15" s="1"/>
  <c r="AA91" i="15"/>
  <c r="AA103" i="15"/>
  <c r="AA106" i="15"/>
  <c r="AA78" i="15"/>
  <c r="AA90" i="15"/>
  <c r="AA94" i="15"/>
  <c r="AA72" i="15"/>
  <c r="AA82" i="15"/>
  <c r="AA70" i="15"/>
  <c r="AA93" i="15"/>
  <c r="Y74" i="15"/>
  <c r="AA69" i="15"/>
  <c r="AA105" i="15"/>
  <c r="AA102" i="15"/>
  <c r="AA95" i="15"/>
  <c r="AA71" i="15"/>
  <c r="Y86" i="15"/>
  <c r="AA84" i="15"/>
  <c r="AA104" i="15"/>
  <c r="AA96" i="15"/>
  <c r="AA97" i="15"/>
  <c r="AA75" i="15"/>
  <c r="AA83" i="15"/>
  <c r="AA99" i="15"/>
  <c r="AA81" i="15"/>
  <c r="AA101" i="15"/>
  <c r="AA87" i="15"/>
  <c r="Y92" i="15"/>
  <c r="AA89" i="15"/>
  <c r="AA85" i="15"/>
  <c r="AA80" i="15"/>
  <c r="AA77" i="15"/>
  <c r="K48" i="119"/>
  <c r="E155" i="119" s="1"/>
  <c r="AG118" i="15"/>
  <c r="AA88" i="15"/>
  <c r="C26" i="34"/>
  <c r="V68" i="15"/>
  <c r="T114" i="15"/>
  <c r="T115" i="15"/>
  <c r="T116" i="15"/>
  <c r="AC68" i="15"/>
  <c r="AA107" i="15"/>
  <c r="AA73" i="15"/>
  <c r="Y79" i="15"/>
  <c r="AA98" i="15"/>
  <c r="AA76" i="15"/>
  <c r="AA100" i="15"/>
  <c r="AC116" i="15" l="1"/>
  <c r="E21" i="15"/>
  <c r="E19" i="15" s="1"/>
  <c r="AC115" i="15"/>
  <c r="AC114" i="15"/>
  <c r="V114" i="15"/>
  <c r="V116" i="15"/>
  <c r="X68" i="15"/>
  <c r="V115" i="15"/>
  <c r="F155" i="119"/>
  <c r="F157" i="119"/>
  <c r="F156" i="119"/>
  <c r="H155" i="119" l="1"/>
  <c r="K155" i="119" s="1"/>
  <c r="I155" i="119"/>
  <c r="L155" i="119" s="1"/>
  <c r="H157" i="119"/>
  <c r="K157" i="119" s="1"/>
  <c r="H156" i="119"/>
  <c r="K156" i="119" s="1"/>
  <c r="I157" i="119"/>
  <c r="L157" i="119" s="1"/>
  <c r="N157" i="119" s="1"/>
  <c r="I156" i="119"/>
  <c r="L156" i="119" s="1"/>
  <c r="X114" i="15"/>
  <c r="X115" i="15"/>
  <c r="X116" i="15"/>
  <c r="X117" i="15" s="1"/>
  <c r="AA68" i="15"/>
  <c r="Y68" i="15"/>
  <c r="Y114" i="15" l="1"/>
  <c r="Y115" i="15"/>
  <c r="Y116" i="15"/>
  <c r="AB68" i="15"/>
  <c r="AA116" i="15"/>
  <c r="AA115" i="15"/>
  <c r="AA114" i="15"/>
  <c r="E26" i="15"/>
  <c r="H17" i="6" s="1"/>
  <c r="E20" i="15"/>
  <c r="E18" i="15" s="1"/>
  <c r="AG117" i="15"/>
  <c r="X48" i="119"/>
  <c r="E169" i="119" s="1"/>
  <c r="N156" i="119"/>
  <c r="L171" i="119"/>
  <c r="N155"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4" i="119"/>
  <c r="F170" i="119"/>
  <c r="F167" i="119"/>
  <c r="F163" i="119"/>
  <c r="F166" i="119"/>
  <c r="F161" i="119"/>
  <c r="F162" i="119"/>
  <c r="F160" i="119"/>
  <c r="F159" i="119"/>
  <c r="F168" i="119"/>
  <c r="F169" i="119"/>
  <c r="F165" i="119"/>
  <c r="H168" i="119" l="1"/>
  <c r="K168" i="119" s="1"/>
  <c r="I166" i="119"/>
  <c r="M166" i="119" s="1"/>
  <c r="I169" i="119"/>
  <c r="M169" i="119" s="1"/>
  <c r="H170" i="119"/>
  <c r="K170" i="119" s="1"/>
  <c r="H164" i="119"/>
  <c r="K164" i="119" s="1"/>
  <c r="I165" i="119"/>
  <c r="M165" i="119" s="1"/>
  <c r="H165" i="119"/>
  <c r="K165" i="119" s="1"/>
  <c r="I168" i="119"/>
  <c r="M168" i="119" s="1"/>
  <c r="H162" i="119"/>
  <c r="K162" i="119" s="1"/>
  <c r="I161" i="119"/>
  <c r="M161" i="119" s="1"/>
  <c r="I163" i="119"/>
  <c r="M163" i="119" s="1"/>
  <c r="I162" i="119"/>
  <c r="M162" i="119" s="1"/>
  <c r="H166" i="119"/>
  <c r="K166" i="119" s="1"/>
  <c r="H159" i="119"/>
  <c r="K159" i="119" s="1"/>
  <c r="H167" i="119"/>
  <c r="K167" i="119" s="1"/>
  <c r="H160" i="119"/>
  <c r="K160" i="119" s="1"/>
  <c r="I159" i="119"/>
  <c r="M159" i="119" s="1"/>
  <c r="I160" i="119"/>
  <c r="M160" i="119" s="1"/>
  <c r="H169" i="119"/>
  <c r="K169" i="119" s="1"/>
  <c r="I164" i="119"/>
  <c r="M164" i="119" s="1"/>
  <c r="I167" i="119"/>
  <c r="M167" i="119" s="1"/>
  <c r="H161" i="119"/>
  <c r="K161" i="119" s="1"/>
  <c r="I170" i="119"/>
  <c r="M170" i="119" s="1"/>
  <c r="H163" i="119"/>
  <c r="K163" i="119" s="1"/>
  <c r="AB115" i="15"/>
  <c r="AB116" i="15"/>
  <c r="AB114" i="15"/>
  <c r="N168" i="119" l="1"/>
  <c r="N170" i="119"/>
  <c r="N163" i="119"/>
  <c r="N164" i="119"/>
  <c r="N161" i="119"/>
  <c r="N165" i="119"/>
  <c r="N167" i="119"/>
  <c r="N169" i="119"/>
  <c r="N160" i="119"/>
  <c r="N166" i="119"/>
  <c r="N162"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Penev, Michael (Misho)</author>
  </authors>
  <commentList>
    <comment ref="J32"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 ref="C246" authorId="1" shapeId="0" xr:uid="{EF9718A4-02C0-43CE-B71E-859E7609ADCD}">
      <text>
        <r>
          <rPr>
            <b/>
            <sz val="9"/>
            <color indexed="81"/>
            <rFont val="Tahoma"/>
            <family val="2"/>
          </rPr>
          <t>Penev, Michael (Misho):</t>
        </r>
        <r>
          <rPr>
            <sz val="9"/>
            <color indexed="81"/>
            <rFont val="Tahoma"/>
            <family val="2"/>
          </rPr>
          <t xml:space="preserve">
NPV of CapEx throughout injection and post-closure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5"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<sst xmlns="http://schemas.openxmlformats.org/spreadsheetml/2006/main" count="7967" uniqueCount="2602">
  <si>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</si>
  <si>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</si>
  <si>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</si>
  <si>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</si>
  <si>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</si>
  <si>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</si>
  <si>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</si>
  <si>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</si>
  <si>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</si>
  <si>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</si>
  <si>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</si>
  <si>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</si>
  <si>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</si>
  <si>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</si>
  <si>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</si>
  <si>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</si>
  <si>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</si>
  <si>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</si>
  <si>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</si>
  <si>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</si>
  <si>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</si>
  <si>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</si>
  <si>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</si>
  <si>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</si>
  <si>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</si>
  <si>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</si>
  <si>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</si>
  <si>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</si>
  <si>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</si>
  <si>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</si>
  <si>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</si>
  <si>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</si>
  <si>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</si>
  <si>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</si>
  <si>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</si>
  <si>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</si>
  <si>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</si>
  <si>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</si>
  <si>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</si>
  <si>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</si>
  <si>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</si>
  <si>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</si>
  <si>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</si>
  <si>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</si>
  <si>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</si>
  <si>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</si>
  <si>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</si>
  <si>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</si>
  <si>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</si>
  <si>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</si>
  <si>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</si>
  <si>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</si>
  <si>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</si>
  <si>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</si>
  <si>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</si>
  <si>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</si>
  <si>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</si>
  <si>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</si>
  <si>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</si>
  <si>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</si>
  <si>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</si>
  <si>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</si>
  <si>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</si>
  <si>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</si>
  <si>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</si>
  <si>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</si>
  <si>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</si>
  <si>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</si>
  <si>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</si>
  <si>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</si>
  <si>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</si>
  <si>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</si>
  <si>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</si>
  <si>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</si>
  <si>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</si>
  <si>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</si>
  <si>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</si>
  <si>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</si>
  <si>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</si>
  <si>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</si>
  <si>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</si>
  <si>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</si>
  <si>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</si>
  <si>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</si>
  <si>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</si>
  <si>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</si>
  <si>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</si>
  <si>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</si>
  <si>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</si>
  <si>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</si>
  <si>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</si>
  <si>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</si>
  <si>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</si>
  <si>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</si>
  <si>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</si>
  <si>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</si>
  <si>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</si>
  <si>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</si>
  <si>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</si>
  <si>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</si>
  <si>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</si>
  <si>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</si>
  <si>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</si>
  <si>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</si>
  <si>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</si>
  <si>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</si>
  <si>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</si>
  <si>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</si>
  <si>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</si>
  <si>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</si>
  <si>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</si>
  <si>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</si>
  <si>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</si>
  <si>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</si>
  <si>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</si>
  <si>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</si>
  <si>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</si>
  <si>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</si>
  <si>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</si>
  <si>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</si>
  <si>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</si>
  <si>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</si>
  <si>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</si>
  <si>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</si>
  <si>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</si>
  <si>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</si>
  <si>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</si>
  <si>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</si>
  <si>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</si>
  <si>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</si>
  <si>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</si>
  <si>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</si>
  <si>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</si>
  <si>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</si>
  <si>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</si>
  <si>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</si>
  <si>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</si>
  <si>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</si>
  <si>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</si>
  <si>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</si>
  <si>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</si>
  <si>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</si>
  <si>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</si>
  <si>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</si>
  <si>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</si>
  <si>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</si>
  <si>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</si>
  <si>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</si>
  <si>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</si>
  <si>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</si>
  <si>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</si>
  <si>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</si>
  <si>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</si>
  <si>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</si>
  <si>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</si>
  <si>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</si>
  <si>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</si>
  <si>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</si>
  <si>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</si>
  <si>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</si>
  <si>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</si>
  <si>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</si>
  <si>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</si>
  <si>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</si>
  <si>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</si>
  <si>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</si>
  <si>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</si>
  <si>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</si>
  <si>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</si>
  <si>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</si>
  <si>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</si>
  <si>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</si>
  <si>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</si>
  <si>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</si>
  <si>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</si>
  <si>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</si>
  <si>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</si>
  <si>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</si>
  <si>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</si>
  <si>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</si>
  <si>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</si>
  <si>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</si>
  <si>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</si>
  <si>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</si>
  <si>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</si>
  <si>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</si>
  <si>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</si>
  <si>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</si>
  <si>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</si>
  <si>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</si>
  <si>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</si>
  <si>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</si>
  <si>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</si>
  <si>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</si>
  <si>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</si>
  <si>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</si>
  <si>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</si>
  <si>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</si>
  <si>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</si>
  <si>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</si>
  <si>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</si>
  <si>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</si>
  <si>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</si>
  <si>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</si>
  <si>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</si>
  <si>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</si>
  <si>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</si>
  <si>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</si>
  <si>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</si>
  <si>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</si>
  <si>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</si>
  <si>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</si>
  <si>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</si>
  <si>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</si>
  <si>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</si>
  <si>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</si>
  <si>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</si>
  <si>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</si>
  <si>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</si>
  <si>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</si>
  <si>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</si>
  <si>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</si>
  <si>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</si>
  <si>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</si>
  <si>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</si>
  <si>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</si>
  <si>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</si>
  <si>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</si>
  <si>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</si>
  <si>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</si>
  <si>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</si>
  <si>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</si>
  <si>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</si>
  <si>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</si>
  <si>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</si>
  <si>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</si>
  <si>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</si>
  <si>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</si>
  <si>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</si>
  <si>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</si>
  <si>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</si>
  <si>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</si>
  <si>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</si>
  <si>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</si>
  <si>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</si>
  <si>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</si>
  <si>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</si>
  <si>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</si>
  <si>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</si>
  <si>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</si>
  <si>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</si>
  <si>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</si>
  <si>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</si>
  <si>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</si>
  <si>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</si>
  <si>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</si>
  <si>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</si>
  <si>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</si>
  <si>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</si>
  <si>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</si>
  <si>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</si>
  <si>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</si>
  <si>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</si>
  <si>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</si>
  <si>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</si>
  <si>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</si>
  <si>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</si>
  <si>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</si>
  <si>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</si>
  <si>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</si>
  <si>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</si>
  <si>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</si>
  <si>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</si>
  <si>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</si>
  <si>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</si>
  <si>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</si>
  <si>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</si>
  <si>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</si>
  <si>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</si>
  <si>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</si>
  <si>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</si>
  <si>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</si>
  <si>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</si>
  <si>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</si>
  <si>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</si>
  <si>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</si>
  <si>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</si>
  <si>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</si>
  <si>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</si>
  <si>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</si>
  <si>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</si>
  <si>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</si>
  <si>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</si>
  <si>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</si>
  <si>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</si>
  <si>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</si>
  <si>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</si>
  <si>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</si>
  <si>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</si>
  <si>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</si>
  <si>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</si>
  <si>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</si>
  <si>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</si>
  <si>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</si>
  <si>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</si>
  <si>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</si>
  <si>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</si>
  <si>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</si>
  <si>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</si>
  <si>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</si>
  <si>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</si>
  <si>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</si>
  <si>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</si>
  <si>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</si>
  <si>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</si>
  <si>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</si>
  <si>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</si>
  <si>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</si>
  <si>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</si>
  <si>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</si>
  <si>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</si>
  <si>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</si>
  <si>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</si>
  <si>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</si>
  <si>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</si>
  <si>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</si>
  <si>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</si>
  <si>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</si>
  <si>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</si>
  <si>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</si>
  <si>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</si>
  <si>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</si>
  <si>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</si>
  <si>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</si>
  <si>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</si>
  <si>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</si>
  <si>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</si>
  <si>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</si>
  <si>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</si>
  <si>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</si>
  <si>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</si>
  <si>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</si>
  <si>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</si>
  <si>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</si>
  <si>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</si>
  <si>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</si>
  <si>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</si>
  <si>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</si>
  <si>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</si>
  <si>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</si>
  <si>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</si>
  <si>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</si>
  <si>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</si>
  <si>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</si>
  <si>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</si>
  <si>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</si>
  <si>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</si>
  <si>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</si>
  <si>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</si>
  <si>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</si>
  <si>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</si>
  <si>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</si>
  <si>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</si>
  <si>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</si>
  <si>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</si>
  <si>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</si>
  <si>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</si>
  <si>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</si>
  <si>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</si>
  <si>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</si>
  <si>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</si>
  <si>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</si>
  <si>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</si>
  <si>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</si>
  <si>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</si>
  <si>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</si>
  <si>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</si>
  <si>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</si>
  <si>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</si>
  <si>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</si>
  <si>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</si>
  <si>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</si>
  <si>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</si>
  <si>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</si>
  <si>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</si>
  <si>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</si>
  <si>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</si>
  <si>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</si>
  <si>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</si>
  <si>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</si>
  <si>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</si>
  <si>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</si>
  <si>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</si>
  <si>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</si>
  <si>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</si>
  <si>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</si>
  <si>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</si>
  <si>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</si>
  <si>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</si>
  <si>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</si>
  <si>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</si>
  <si>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</si>
  <si>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</si>
  <si>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</si>
  <si>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</si>
  <si>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</si>
  <si>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</si>
  <si>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Carbon Sequestration Information</t>
  </si>
  <si>
    <t>Carbon Sequestration Input Values</t>
  </si>
  <si>
    <t>CO2 emissions are based on the carbon content of the feed.  See the Physical Properties Table for specific values</t>
  </si>
  <si>
    <t>psi</t>
  </si>
  <si>
    <t>cultivated land</t>
  </si>
  <si>
    <t>grassland</t>
  </si>
  <si>
    <t>wooded</t>
  </si>
  <si>
    <t>jungle</t>
  </si>
  <si>
    <t>&lt;20% Mountainous</t>
  </si>
  <si>
    <t>stony desert</t>
  </si>
  <si>
    <t>&gt;50% Mountainous</t>
  </si>
  <si>
    <t>UK</t>
  </si>
  <si>
    <t>Summary of Output Values</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</si>
  <si>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</si>
  <si>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</si>
  <si>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</si>
  <si>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</si>
  <si>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</si>
  <si>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</si>
  <si>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</si>
  <si>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</si>
  <si>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</si>
  <si>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</si>
  <si>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</si>
  <si>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</si>
  <si>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</si>
  <si>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</si>
  <si>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</si>
  <si>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</si>
  <si>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</si>
  <si>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</si>
  <si>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</si>
  <si>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</si>
  <si>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</si>
  <si>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</si>
  <si>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</si>
  <si>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</si>
  <si>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</si>
  <si>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</si>
  <si>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</si>
  <si>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</si>
  <si>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</si>
  <si>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</si>
  <si>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</si>
  <si>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</si>
  <si>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</si>
  <si>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</si>
  <si>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</si>
  <si>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</si>
  <si>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</si>
  <si>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</si>
  <si>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</si>
  <si>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</si>
  <si>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</si>
  <si>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</si>
  <si>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</si>
  <si>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</si>
  <si>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</si>
  <si>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</si>
  <si>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</si>
  <si>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</si>
  <si>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</si>
  <si>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</si>
  <si>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</si>
  <si>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</si>
  <si>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</si>
  <si>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</si>
  <si>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</si>
  <si>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</si>
  <si>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</si>
  <si>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</si>
  <si>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</si>
  <si>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</si>
  <si>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</si>
  <si>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</si>
  <si>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</si>
  <si>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</si>
  <si>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</si>
  <si>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</si>
  <si>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</si>
  <si>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</si>
  <si>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</si>
  <si>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</si>
  <si>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</si>
  <si>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</si>
  <si>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</si>
  <si>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</si>
  <si>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</si>
  <si>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</si>
  <si>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</si>
  <si>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</si>
  <si>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</si>
  <si>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</si>
  <si>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</si>
  <si>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</si>
  <si>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</si>
  <si>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</si>
  <si>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</si>
  <si>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</si>
  <si>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</si>
  <si>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</si>
  <si>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</si>
  <si>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</si>
  <si>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</si>
  <si>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</si>
  <si>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</si>
  <si>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</si>
  <si>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</si>
  <si>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</si>
  <si>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</si>
  <si>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</si>
  <si>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</si>
  <si>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</si>
  <si>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</si>
  <si>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</si>
  <si>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</si>
  <si>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</si>
  <si>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</si>
  <si>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</si>
  <si>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</si>
  <si>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</si>
  <si>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</si>
  <si>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</si>
  <si>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</si>
  <si>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</si>
  <si>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</si>
  <si>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</si>
  <si>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</si>
  <si>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</si>
  <si>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</si>
  <si>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</si>
  <si>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</si>
  <si>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</si>
  <si>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</si>
  <si>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</si>
  <si>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</si>
  <si>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</si>
  <si>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</si>
  <si>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</si>
  <si>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</si>
  <si>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</si>
  <si>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</si>
  <si>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</si>
  <si>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</si>
  <si>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</si>
  <si>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</si>
  <si>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</si>
  <si>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</si>
  <si>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</si>
  <si>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</si>
  <si>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</si>
  <si>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</si>
  <si>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</si>
  <si>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</si>
  <si>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</si>
  <si>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</si>
  <si>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</si>
  <si>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</si>
  <si>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</si>
  <si>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</si>
  <si>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</si>
  <si>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</si>
  <si>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</si>
  <si>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</si>
  <si>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</si>
  <si>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</si>
  <si>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</si>
  <si>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</si>
  <si>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</si>
  <si>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</si>
  <si>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</si>
  <si>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</si>
  <si>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</si>
  <si>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</si>
  <si>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</si>
  <si>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</si>
  <si>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</si>
  <si>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</si>
  <si>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</si>
  <si>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</si>
  <si>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</si>
  <si>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</si>
  <si>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</si>
  <si>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</si>
  <si>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</si>
  <si>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</si>
  <si>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</si>
  <si>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</si>
  <si>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</si>
  <si>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</si>
  <si>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</si>
  <si>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</si>
  <si>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</si>
  <si>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</si>
  <si>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</si>
  <si>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</si>
  <si>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</si>
  <si>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</si>
  <si>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</si>
  <si>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</si>
  <si>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</si>
  <si>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</si>
  <si>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</si>
  <si>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</si>
  <si>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</si>
  <si>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</si>
  <si>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</si>
  <si>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</si>
  <si>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</si>
  <si>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</si>
  <si>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</si>
  <si>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</si>
  <si>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</si>
  <si>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</si>
  <si>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</si>
  <si>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</si>
  <si>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</si>
  <si>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</si>
  <si>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</si>
  <si>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</si>
  <si>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</si>
  <si>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</si>
  <si>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</si>
  <si>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</si>
  <si>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</si>
  <si>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</si>
  <si>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</si>
  <si>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</si>
  <si>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</si>
  <si>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</si>
  <si>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</si>
  <si>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</si>
  <si>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</si>
  <si>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</si>
  <si>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</si>
  <si>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</si>
  <si>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</si>
  <si>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</si>
  <si>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</si>
  <si>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</si>
  <si>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</si>
  <si>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</si>
  <si>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</si>
  <si>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</si>
  <si>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</si>
  <si>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</si>
  <si>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</si>
  <si>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</si>
  <si>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</si>
  <si>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</si>
  <si>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</si>
  <si>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</si>
  <si>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</si>
  <si>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</si>
  <si>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</si>
  <si>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</si>
  <si>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</si>
  <si>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</si>
  <si>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</si>
  <si>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</si>
  <si>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</si>
  <si>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</si>
  <si>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</si>
  <si>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</si>
  <si>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</si>
  <si>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</si>
  <si>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</si>
  <si>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</si>
  <si>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</si>
  <si>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</si>
  <si>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</si>
  <si>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</si>
  <si>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</si>
  <si>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</si>
  <si>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</si>
  <si>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</si>
  <si>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</si>
  <si>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</si>
  <si>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</si>
  <si>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</si>
  <si>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</si>
  <si>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</si>
  <si>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</si>
  <si>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</si>
  <si>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</si>
  <si>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</si>
  <si>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</si>
  <si>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</si>
  <si>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</si>
  <si>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</si>
  <si>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</si>
  <si>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</si>
  <si>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</si>
  <si>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</si>
  <si>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</si>
  <si>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</si>
  <si>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</si>
  <si>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</si>
  <si>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</si>
  <si>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</si>
  <si>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</si>
  <si>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</si>
  <si>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</si>
  <si>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</si>
  <si>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</si>
  <si>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</si>
  <si>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</si>
  <si>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</si>
  <si>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</si>
  <si>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</si>
  <si>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</si>
  <si>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</si>
  <si>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</si>
  <si>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</si>
  <si>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</si>
  <si>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</si>
  <si>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</si>
  <si>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</si>
  <si>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</si>
  <si>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</si>
  <si>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</si>
  <si>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</si>
  <si>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</si>
  <si>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</si>
  <si>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</si>
  <si>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</si>
  <si>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</si>
  <si>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</si>
  <si>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</si>
  <si>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</si>
  <si>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</si>
  <si>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</si>
  <si>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</si>
  <si>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</si>
  <si>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</si>
  <si>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</si>
  <si>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</si>
  <si>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</si>
  <si>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</si>
  <si>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</si>
  <si>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</si>
  <si>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</si>
  <si>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</si>
  <si>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</si>
  <si>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</si>
  <si>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</si>
  <si>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</si>
  <si>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</si>
  <si>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</si>
  <si>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</si>
  <si>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</si>
  <si>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</si>
  <si>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</si>
  <si>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</si>
  <si>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</si>
  <si>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</si>
  <si>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</si>
  <si>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</si>
  <si>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</si>
  <si>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</si>
  <si>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</si>
  <si>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</si>
  <si>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</si>
  <si>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</si>
  <si>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</si>
  <si>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</si>
  <si>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</si>
  <si>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</si>
  <si>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</si>
  <si>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</si>
  <si>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</si>
  <si>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</si>
  <si>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</si>
  <si>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</si>
  <si>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</si>
  <si>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</si>
  <si>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</si>
  <si>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</si>
  <si>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</si>
  <si>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</si>
  <si>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</si>
  <si>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</si>
  <si>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</si>
  <si>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</si>
  <si>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</si>
  <si>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</si>
  <si>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</si>
  <si>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</si>
  <si>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</si>
  <si>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</si>
  <si>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</si>
  <si>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</si>
  <si>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</si>
  <si>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</si>
  <si>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</si>
  <si>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</si>
  <si>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</si>
  <si>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</si>
  <si>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</si>
  <si>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</si>
  <si>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</si>
  <si>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</si>
  <si>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</si>
  <si>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</si>
  <si>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</si>
  <si>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</si>
  <si>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</si>
  <si>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</si>
  <si>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</si>
  <si>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</si>
  <si>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</si>
  <si>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</si>
  <si>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</si>
  <si>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</si>
  <si>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</si>
  <si>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</si>
  <si>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</si>
  <si>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</si>
  <si>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</si>
  <si>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</si>
  <si>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</si>
  <si>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</si>
  <si>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</si>
  <si>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</si>
  <si>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</si>
  <si>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</si>
  <si>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</si>
  <si>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</si>
  <si>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</si>
  <si>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</si>
  <si>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</si>
  <si>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</si>
  <si>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</si>
  <si>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</si>
  <si>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</si>
  <si>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</si>
  <si>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</si>
  <si>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</si>
  <si>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</si>
  <si>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</si>
  <si>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</si>
  <si>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</si>
  <si>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</si>
  <si>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</si>
  <si>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</si>
  <si>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</si>
  <si>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</si>
  <si>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</si>
  <si>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</si>
  <si>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</si>
  <si>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</si>
  <si>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</si>
  <si>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</si>
  <si>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</si>
  <si>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</si>
  <si>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</si>
  <si>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</si>
  <si>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</si>
  <si>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</si>
  <si>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</si>
  <si>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</si>
  <si>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</si>
  <si>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</si>
  <si>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</si>
  <si>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</si>
  <si>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</si>
  <si>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</si>
  <si>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</si>
  <si>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</si>
  <si>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</si>
  <si>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</si>
  <si>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</si>
  <si>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</si>
  <si>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</si>
  <si>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</si>
  <si>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</si>
  <si>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</si>
  <si>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</si>
  <si>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</si>
  <si>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</si>
  <si>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</si>
  <si>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</si>
  <si>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</si>
  <si>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</si>
  <si>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</si>
  <si>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</si>
  <si>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</si>
  <si>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</si>
  <si>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</si>
  <si>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</si>
  <si>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</si>
  <si>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</si>
  <si>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</si>
  <si>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</si>
  <si>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</si>
  <si>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</si>
  <si>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</si>
  <si>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</si>
  <si>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</si>
  <si>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</si>
  <si>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</si>
  <si>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</si>
  <si>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</si>
  <si>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</si>
  <si>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</si>
  <si>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</si>
  <si>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</si>
  <si>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</si>
  <si>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</si>
  <si>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</si>
  <si>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</si>
  <si>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</si>
  <si>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</si>
  <si>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</si>
  <si>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</si>
  <si>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</si>
  <si>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</si>
  <si>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</si>
  <si>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</si>
  <si>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</si>
  <si>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</si>
  <si>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</si>
  <si>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</si>
  <si>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</si>
  <si>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</si>
  <si>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</si>
  <si>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</si>
  <si>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</si>
  <si>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</si>
  <si>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</si>
  <si>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</si>
  <si>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</si>
  <si>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</si>
  <si>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</si>
  <si>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Process Carbon Tax ($/year)</t>
  </si>
  <si>
    <t>Process Carbon Tax ($/metric ton carbon produced as CO2)</t>
  </si>
  <si>
    <t>Upstream Carbon Tax ($/metric ton upstream GHG CO2 eq)</t>
  </si>
  <si>
    <t>Upstream Carbon Tax ($/year)</t>
  </si>
  <si>
    <t>CO2 sequestration O&amp;M costs and credits ($/year)</t>
  </si>
  <si>
    <t>CO2_credit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</si>
  <si>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</si>
  <si>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</si>
  <si>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</si>
  <si>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</si>
  <si>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</si>
  <si>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</si>
  <si>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</si>
  <si>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</si>
  <si>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</si>
  <si>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</si>
  <si>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</si>
  <si>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</si>
  <si>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</si>
  <si>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</si>
  <si>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</si>
  <si>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</si>
  <si>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</si>
  <si>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</si>
  <si>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</si>
  <si>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</si>
  <si>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</si>
  <si>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</si>
  <si>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</si>
  <si>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</si>
  <si>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</si>
  <si>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</si>
  <si>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</si>
  <si>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</si>
  <si>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</si>
  <si>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</si>
  <si>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</si>
  <si>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</si>
  <si>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</si>
  <si>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</si>
  <si>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</si>
  <si>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</si>
  <si>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</si>
  <si>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</si>
  <si>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</si>
  <si>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</si>
  <si>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</si>
  <si>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</si>
  <si>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</si>
  <si>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</si>
  <si>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</si>
  <si>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</si>
  <si>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</si>
  <si>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</si>
  <si>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</si>
  <si>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</si>
  <si>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</si>
  <si>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</si>
  <si>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</si>
  <si>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</si>
  <si>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</si>
  <si>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</si>
  <si>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</si>
  <si>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</si>
  <si>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</si>
  <si>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</si>
  <si>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</si>
  <si>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</si>
  <si>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</si>
  <si>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</si>
  <si>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</si>
  <si>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</si>
  <si>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</si>
  <si>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</si>
  <si>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</si>
  <si>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</si>
  <si>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</si>
  <si>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</si>
  <si>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</si>
  <si>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</si>
  <si>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</si>
  <si>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</si>
  <si>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</si>
  <si>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</si>
  <si>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</si>
  <si>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</si>
  <si>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</si>
  <si>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</si>
  <si>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</si>
  <si>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</si>
  <si>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</si>
  <si>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</si>
  <si>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</si>
  <si>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</si>
  <si>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</si>
  <si>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</si>
  <si>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</si>
  <si>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</si>
  <si>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</si>
  <si>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</si>
  <si>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</si>
  <si>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</si>
  <si>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</si>
  <si>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</si>
  <si>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</si>
  <si>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</si>
  <si>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</si>
  <si>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</si>
  <si>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</si>
  <si>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</si>
  <si>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</si>
  <si>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</si>
  <si>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</si>
  <si>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</si>
  <si>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</si>
  <si>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</si>
  <si>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</si>
  <si>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</si>
  <si>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</si>
  <si>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</si>
  <si>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</si>
  <si>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</si>
  <si>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</si>
  <si>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</si>
  <si>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</si>
  <si>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</si>
  <si>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</si>
  <si>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</si>
  <si>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</si>
  <si>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</si>
  <si>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</si>
  <si>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</si>
  <si>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</si>
  <si>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</si>
  <si>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</si>
  <si>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</si>
  <si>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</si>
  <si>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</si>
  <si>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</si>
  <si>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</si>
  <si>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</si>
  <si>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</si>
  <si>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</si>
  <si>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</si>
  <si>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</si>
  <si>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</si>
  <si>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</si>
  <si>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</si>
  <si>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</si>
  <si>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</si>
  <si>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</si>
  <si>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</si>
  <si>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</si>
  <si>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</si>
  <si>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</si>
  <si>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</si>
  <si>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</si>
  <si>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</si>
  <si>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</si>
  <si>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</si>
  <si>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</si>
  <si>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</si>
  <si>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</si>
  <si>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</si>
  <si>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</si>
  <si>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</si>
  <si>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</si>
  <si>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</si>
  <si>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</si>
  <si>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</si>
  <si>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</si>
  <si>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</si>
  <si>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</si>
  <si>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</si>
  <si>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</si>
  <si>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</si>
  <si>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</si>
  <si>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</si>
  <si>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</si>
  <si>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</si>
  <si>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</si>
  <si>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</si>
  <si>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</si>
  <si>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</si>
  <si>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</si>
  <si>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</si>
  <si>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</si>
  <si>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</si>
  <si>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</si>
  <si>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</si>
  <si>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</si>
  <si>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</si>
  <si>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</si>
  <si>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</si>
  <si>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</si>
  <si>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</si>
  <si>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</si>
  <si>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</si>
  <si>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</si>
  <si>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</si>
  <si>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</si>
  <si>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</si>
  <si>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</si>
  <si>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</si>
  <si>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</si>
  <si>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</si>
  <si>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</si>
  <si>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</si>
  <si>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</si>
  <si>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</si>
  <si>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</si>
  <si>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</si>
  <si>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</si>
  <si>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</si>
  <si>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</si>
  <si>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</si>
  <si>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</si>
  <si>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</si>
  <si>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</si>
  <si>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</si>
  <si>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</si>
  <si>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</si>
  <si>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</si>
  <si>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</si>
  <si>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</si>
  <si>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</si>
  <si>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</si>
  <si>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</si>
  <si>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</si>
  <si>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</si>
  <si>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</si>
  <si>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</si>
  <si>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</si>
  <si>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</si>
  <si>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</si>
  <si>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</si>
  <si>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</si>
  <si>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</si>
  <si>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</si>
  <si>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</si>
  <si>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</si>
  <si>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</si>
  <si>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</si>
  <si>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</si>
  <si>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5/15/17:  Same information as BLS data for Chemical Mfg:  https://data.bls.gov/pdq/SurveyOutputServlet</t>
  </si>
  <si>
    <t>Process Design Parameters</t>
  </si>
  <si>
    <t>CO2_Pump_Eff</t>
  </si>
  <si>
    <t>CO2_ControlSystem</t>
  </si>
  <si>
    <t>CO2_SurgeTank</t>
  </si>
  <si>
    <t>CO2_PipeElevation</t>
  </si>
  <si>
    <t>CO2_Pipeline_Temp</t>
  </si>
  <si>
    <t>n_CO2_pumps</t>
  </si>
  <si>
    <t>Set to 0 to turn off CCS</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</si>
  <si>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</si>
  <si>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</si>
  <si>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</si>
  <si>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</si>
  <si>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</si>
  <si>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</si>
  <si>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</si>
  <si>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</si>
  <si>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</si>
  <si>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</si>
  <si>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</si>
  <si>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</si>
  <si>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</si>
  <si>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</si>
  <si>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</si>
  <si>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</si>
  <si>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</si>
  <si>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</si>
  <si>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</si>
  <si>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</si>
  <si>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</si>
  <si>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</si>
  <si>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</si>
  <si>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</si>
  <si>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</si>
  <si>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</si>
  <si>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</si>
  <si>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</si>
  <si>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</si>
  <si>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</si>
  <si>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</si>
  <si>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</si>
  <si>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</si>
  <si>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</si>
  <si>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</si>
  <si>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</si>
  <si>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</si>
  <si>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</si>
  <si>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</si>
  <si>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</si>
  <si>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</si>
  <si>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</si>
  <si>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</si>
  <si>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</si>
  <si>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</si>
  <si>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</si>
  <si>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</si>
  <si>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</si>
  <si>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</si>
  <si>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</si>
  <si>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</si>
  <si>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</si>
  <si>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</si>
  <si>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</si>
  <si>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</si>
  <si>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</si>
  <si>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</si>
  <si>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</si>
  <si>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</si>
  <si>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</si>
  <si>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Usage (kWh/kg H2)</t>
  </si>
  <si>
    <t>Enter 0 to enable constant outstanding debt.</t>
  </si>
  <si>
    <t>H2A Hydrogen Production Cash Flow Analysis Tool v3.2018</t>
  </si>
  <si>
    <t>Default used?</t>
  </si>
  <si>
    <t>Run Risk Analysis (note: Risk analysis could take ~5 min to run)?</t>
  </si>
  <si>
    <t>3/1/2022 source: https://alfred.stlouisfed.org/series?seid=PCU325325</t>
  </si>
  <si>
    <t>3/1/2022 source: http://data.bls.gov/timeseries/CEU3232500008?data_tool=Xgtable</t>
  </si>
  <si>
    <t>3/1/2022 source: https://fred.stlouisfed.org/series/GDPDEF#0</t>
  </si>
  <si>
    <t>3/2/2022 source: https://www.chemengonline.com/pci</t>
  </si>
  <si>
    <t>Estimated based on site total cost in NETL report.</t>
  </si>
  <si>
    <t>Using H2A default</t>
  </si>
  <si>
    <t>Administrative &amp; support labor</t>
  </si>
  <si>
    <t>Weighted average by sub-component list</t>
  </si>
  <si>
    <t>https://netl.doe.gov/projects/files/QualityGuidelinesforEnergySystemStudiesCapitalCostScalingMethodologyRevision4Report_110719.pdf</t>
  </si>
  <si>
    <t>Project contingency ($)</t>
  </si>
  <si>
    <t>Process contingency ($)</t>
  </si>
  <si>
    <t>Maintenance labor</t>
  </si>
  <si>
    <t>Materials cost (2011$/km)</t>
  </si>
  <si>
    <t>Installation labor cost (2011$/km)</t>
  </si>
  <si>
    <t>Right of way (2011$/km)</t>
  </si>
  <si>
    <t>Booster pump (2011$/[Mt/y][km])</t>
  </si>
  <si>
    <t>Transport distance to sequestration site (km)</t>
  </si>
  <si>
    <t>Contingency factor</t>
  </si>
  <si>
    <t>Material costs</t>
  </si>
  <si>
    <t>Right of way</t>
  </si>
  <si>
    <t>Major cost depreciable capital components</t>
  </si>
  <si>
    <t>Surge tank</t>
  </si>
  <si>
    <t>Miscellaneous (2011$/[Mt/y][km])</t>
  </si>
  <si>
    <t>Miscellaneous</t>
  </si>
  <si>
    <t>Labor expense</t>
  </si>
  <si>
    <t>Pipeline controls</t>
  </si>
  <si>
    <t>Pump</t>
  </si>
  <si>
    <t>Electricity use for booster pump (kWh/kg H₂)</t>
  </si>
  <si>
    <t>% of capital sppent in 1st year</t>
  </si>
  <si>
    <t>% of capital sppent in 2nd year</t>
  </si>
  <si>
    <t>% of capital sppent in 3rd year</t>
  </si>
  <si>
    <t>Pipeline &amp; pumps O&amp;M (2011$/[km-y])</t>
  </si>
  <si>
    <t>Pipeline &amp; pumps O&amp;M (2011$/year)</t>
  </si>
  <si>
    <r>
      <t>Electricity use for booster pump (kWh/km-metric tonne CO</t>
    </r>
    <r>
      <rPr>
        <b/>
        <sz val="10"/>
        <rFont val="Calibri"/>
        <family val="2"/>
      </rPr>
      <t>₂</t>
    </r>
    <r>
      <rPr>
        <b/>
        <sz val="10"/>
        <rFont val="Arial"/>
        <family val="2"/>
      </rPr>
      <t>)</t>
    </r>
  </si>
  <si>
    <t>Contingency</t>
  </si>
  <si>
    <t>Operational life (years)</t>
  </si>
  <si>
    <t>CEPCI inflator</t>
  </si>
  <si>
    <t>CPI inflator</t>
  </si>
  <si>
    <r>
      <t>CO</t>
    </r>
    <r>
      <rPr>
        <sz val="11"/>
        <rFont val="Calibri"/>
        <family val="2"/>
      </rPr>
      <t>₂</t>
    </r>
    <r>
      <rPr>
        <sz val="11"/>
        <rFont val="Arial"/>
        <family val="2"/>
      </rPr>
      <t xml:space="preserve"> Pipeline</t>
    </r>
  </si>
  <si>
    <t>CO₂ Pumps</t>
  </si>
  <si>
    <t>CO₂ Other equipment</t>
  </si>
  <si>
    <t>CO₂ Surge tanks</t>
  </si>
  <si>
    <t>CapEx without contingency</t>
  </si>
  <si>
    <t>Transport nameplate capacity (million metric tonnes/year)</t>
  </si>
  <si>
    <r>
      <t>Electricity use for booster pump (kWh/ metric tonne CO</t>
    </r>
    <r>
      <rPr>
        <sz val="10"/>
        <rFont val="Calibri"/>
        <family val="2"/>
      </rPr>
      <t>₂ sequestered</t>
    </r>
    <r>
      <rPr>
        <sz val="10"/>
        <rFont val="Arial"/>
        <family val="2"/>
      </rPr>
      <t>)</t>
    </r>
  </si>
  <si>
    <t>Electricity use (kWh/y)</t>
  </si>
  <si>
    <t>Capacity (million metric tonnes/year) ↓</t>
  </si>
  <si>
    <t>NPV Injection CapEx 2008$</t>
  </si>
  <si>
    <t>NPV Post-Injection CapEx 2008$</t>
  </si>
  <si>
    <t>Injection FixedOpEx% of CapEx</t>
  </si>
  <si>
    <t>Post-Injection FixedOpEx% of CapEx</t>
  </si>
  <si>
    <t>Injection</t>
  </si>
  <si>
    <t>Post-Injection (NPV)</t>
  </si>
  <si>
    <t>Values in 2008$</t>
  </si>
  <si>
    <t>Values in 2011$</t>
  </si>
  <si>
    <r>
      <t>CO</t>
    </r>
    <r>
      <rPr>
        <b/>
        <sz val="10"/>
        <rFont val="Calibri"/>
        <family val="2"/>
      </rPr>
      <t>₂</t>
    </r>
    <r>
      <rPr>
        <b/>
        <sz val="10"/>
        <rFont val="Arial"/>
        <family val="2"/>
      </rPr>
      <t xml:space="preserve"> Storage</t>
    </r>
  </si>
  <si>
    <t>CO₂ Injection</t>
  </si>
  <si>
    <t>CO₂ Post-Injection</t>
  </si>
  <si>
    <t>CO₂ Booster pumps</t>
  </si>
  <si>
    <r>
      <t>CO</t>
    </r>
    <r>
      <rPr>
        <sz val="10"/>
        <rFont val="Calibri"/>
        <family val="2"/>
      </rPr>
      <t>₂</t>
    </r>
    <r>
      <rPr>
        <sz val="10"/>
        <rFont val="Arial"/>
        <family val="2"/>
      </rPr>
      <t xml:space="preserve"> Transport cost estimate dollar basis</t>
    </r>
  </si>
  <si>
    <t>Total without contingency</t>
  </si>
  <si>
    <t>Total uninstalled cost</t>
  </si>
  <si>
    <t>Pipeline Length (miles)</t>
  </si>
  <si>
    <t>CO₂ Mass Flowrate (metric tonnes/day)</t>
  </si>
  <si>
    <t>CO₂ Mass Flowrate (million metric tonnes/year)</t>
  </si>
  <si>
    <t>CO₂ Produced from Feedstock (metric tonnes CO₂/year)</t>
  </si>
  <si>
    <t>CO₂ Produced from Feedstock (kg CO₂/kg H2)</t>
  </si>
  <si>
    <t>Carbon Sequestration Electricity Usage (kWh/kg H₂)</t>
  </si>
  <si>
    <t>CO₂ capture credit ($/metric ton CO₂ captured)</t>
  </si>
  <si>
    <r>
      <t>Costs for carbon (CO₂) transport to the sequestration site and injection are calculated in this section.  Capital and operating costs for carbon capture and compression to 2,200psia are assumed to be included in the capital and operating costs for the production facility and are not included here.  For H2A analysis of hydrogen production processes, it is assumed that only carbon contained in the process feedstock can be captured. CO₂ transport and sequestration is based on NETL's 2018 CO</t>
    </r>
    <r>
      <rPr>
        <sz val="10"/>
        <rFont val="Calibri"/>
        <family val="2"/>
      </rPr>
      <t>₂</t>
    </r>
    <r>
      <rPr>
        <sz val="10"/>
        <rFont val="Arial"/>
        <family val="2"/>
      </rPr>
      <t xml:space="preserve"> transport model. CO₂ injection into geologic formation is based on NETL's 2017 CO₂ OnShore Saline Storage Cost Model. </t>
    </r>
  </si>
  <si>
    <r>
      <t>Below are lookup tables derived from NETL's CO</t>
    </r>
    <r>
      <rPr>
        <sz val="10"/>
        <rFont val="Calibri"/>
        <family val="2"/>
      </rPr>
      <t>₂</t>
    </r>
    <r>
      <rPr>
        <sz val="10"/>
        <rFont val="Arial"/>
        <family val="2"/>
      </rPr>
      <t xml:space="preserve"> transport and storage cost models</t>
    </r>
  </si>
  <si>
    <t>Contingency is 15% of transport costs</t>
  </si>
  <si>
    <r>
      <t>Summary of Output Values</t>
    </r>
    <r>
      <rPr>
        <b/>
        <sz val="10"/>
        <rFont val="Arial"/>
        <family val="2"/>
      </rPr>
      <t xml:space="preserve"> 
(CO2 Seq. costs are reported on Results Tab as part of total H2 Production cost)</t>
    </r>
  </si>
  <si>
    <r>
      <t xml:space="preserve">Capacity (million metric tonnes/year) </t>
    </r>
    <r>
      <rPr>
        <sz val="10"/>
        <rFont val="Calibri"/>
        <family val="2"/>
      </rPr>
      <t>↓</t>
    </r>
  </si>
  <si>
    <r>
      <t xml:space="preserve">Transport distance (km) to injection site </t>
    </r>
    <r>
      <rPr>
        <sz val="10"/>
        <rFont val="Calibri"/>
        <family val="2"/>
      </rPr>
      <t>→</t>
    </r>
  </si>
  <si>
    <t>CO₂ Capture Credit</t>
  </si>
  <si>
    <t>CO₂ Pipeline &amp; pumps</t>
  </si>
  <si>
    <t>Carbon Sequestration Energy Charge ($/tonne CO₂)</t>
  </si>
  <si>
    <t>Carbon Sequestration O&amp;M Charge ($/tonne CO₂)</t>
  </si>
  <si>
    <t>Approx Carbon Seq. Cap. Charge ($/tonne CO₂)</t>
  </si>
  <si>
    <t>Values from FE/NETL CO₂ OnShore Saline Storage Cost Model (2017)</t>
  </si>
  <si>
    <t xml:space="preserve">Brian D. James, Strategic Analysis Inc. </t>
  </si>
  <si>
    <t>None</t>
  </si>
  <si>
    <t>nth plant (~500 units/yr)</t>
  </si>
  <si>
    <t>10,000 psia H2 Compressed Gas Storage</t>
  </si>
  <si>
    <t>distributed installations</t>
  </si>
  <si>
    <t>Made compatible with Excel for Mac</t>
  </si>
  <si>
    <t>Michael Penev, NREL</t>
  </si>
  <si>
    <t>replaced model buttons</t>
  </si>
  <si>
    <t>Implemented closed-form cash flow calculations</t>
  </si>
  <si>
    <t>Implemented new tornado plots generator</t>
  </si>
  <si>
    <t>Implemented waterfall plots generator</t>
  </si>
  <si>
    <t>Added instant results display in the Input_Sheet_Template</t>
  </si>
  <si>
    <t>Fixed depreciation routine</t>
  </si>
  <si>
    <t>H2A Version 3</t>
  </si>
  <si>
    <t>Darlene Steward, NREL</t>
  </si>
  <si>
    <t>version 3 template, standard calculation of capacity</t>
  </si>
  <si>
    <t>H2A Version 2</t>
  </si>
  <si>
    <t>Darlene M. Steward</t>
  </si>
  <si>
    <t>Refueling station calculation correction, tornado chart update</t>
  </si>
  <si>
    <t>H2A Version 2.1 updates</t>
  </si>
  <si>
    <t>Brian D. James</t>
  </si>
  <si>
    <t>Based on Distributed Production H2A Spreadsheet v26 by Darlene Steward/Todd Ramsden</t>
  </si>
  <si>
    <t xml:space="preserve">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
Hysys simulation of the reformer system was conducted to confirm mass flows and electrical power requirements.  Capital cost of the steam reformer system was estimated by a combination of scaling, industry quotes, and ground-up component cost estimation.  </t>
  </si>
  <si>
    <t xml:space="preserve">                       Calgary, Alberta                                                                                     </t>
  </si>
  <si>
    <t xml:space="preserve">                       CANADA                         Unit Set: SI                                                          </t>
  </si>
  <si>
    <t xml:space="preserve">                                                                                                                            </t>
  </si>
  <si>
    <t>-------------------------------------------------------------------------------</t>
  </si>
  <si>
    <t xml:space="preserve">                                                                                     Property Package: Peng Robinson        </t>
  </si>
  <si>
    <t xml:space="preserve">CONDITIONS                                                                                                                  </t>
  </si>
  <si>
    <t xml:space="preserve">                                 Overall                                                                                    </t>
  </si>
  <si>
    <t xml:space="preserve">Vapour / Phase Fraction          ---                                                                                        </t>
  </si>
  <si>
    <t xml:space="preserve">Temperature: (C)                 ---                                                                                        </t>
  </si>
  <si>
    <t xml:space="preserve">Pressure: (kPa)                  ---                                                                                        </t>
  </si>
  <si>
    <t xml:space="preserve">Molar Flow (kgmole/h)            ---                                                                                        </t>
  </si>
  <si>
    <t xml:space="preserve">Mass Flow (kg/h)                 ---                                                                                        </t>
  </si>
  <si>
    <t xml:space="preserve">Std Ideal Liq Vol Flow (m3/h)    ---                                                                                        </t>
  </si>
  <si>
    <t xml:space="preserve">Molar Enthalpy (kJ/kgmole)       ---                                                                                        </t>
  </si>
  <si>
    <t xml:space="preserve">Molar Entropy (kJ/kgmole-C)      ---                                                                                        </t>
  </si>
  <si>
    <t xml:space="preserve">Heat Flow (kJ/h)                 ---                                                                                        </t>
  </si>
  <si>
    <t xml:space="preserve">Liq Vol Flow @Std Cond (m3/h)    ---                                                                                        </t>
  </si>
  <si>
    <t xml:space="preserve">PROPERTIES                                                                                                                  </t>
  </si>
  <si>
    <t xml:space="preserve">Molecular Weight                 ---                                                                                        </t>
  </si>
  <si>
    <t xml:space="preserve">Molar Density (kgmole/m3)        ---                                                                                        </t>
  </si>
  <si>
    <t xml:space="preserve">Mass Density (kg/m3)             ---                                                                                        </t>
  </si>
  <si>
    <t xml:space="preserve">Act. Volume Flow (m3/h)          ---                                                                                        </t>
  </si>
  <si>
    <t xml:space="preserve">Mass Enthalpy (kJ/kg)            ---                                                                                        </t>
  </si>
  <si>
    <t xml:space="preserve">Mass Entropy (kJ/kg-C)           ---                                                                                        </t>
  </si>
  <si>
    <t xml:space="preserve">Heat Capacity (kJ/kgmole-C)      ---                                                                                        </t>
  </si>
  <si>
    <t xml:space="preserve">Mass Heat Capacity (kJ/kg-C)     ---                                                                                        </t>
  </si>
  <si>
    <t xml:space="preserve">Lower Heating Value (kJ/kgmole)  ---                                                                                        </t>
  </si>
  <si>
    <t xml:space="preserve">Mass Lower Heating Value (kJ/kg) ---                                                                                        </t>
  </si>
  <si>
    <t xml:space="preserve">Phase Fraction [Vol. Basis]      ---                                                                                        </t>
  </si>
  <si>
    <t xml:space="preserve">Phase Fraction [Mass Basis]      ---                                                                                        </t>
  </si>
  <si>
    <t xml:space="preserve">Partial Pressure of CO2 (kPa)    0.0000                                                                                     </t>
  </si>
  <si>
    <t xml:space="preserve">Cost Based on Flow (Cost/s)      0.0000                                                                                     </t>
  </si>
  <si>
    <t xml:space="preserve">Act. Gas Flow (ACT_m3/h)         ---                                                                                        </t>
  </si>
  <si>
    <t xml:space="preserve">Avg. Liq. Density (kgmole/m3)    ---                                                                                        </t>
  </si>
  <si>
    <t xml:space="preserve">Specific Heat (kJ/kgmole-C)      ---                                                                                        </t>
  </si>
  <si>
    <t xml:space="preserve">Std. Gas Flow (STD_m3/h)         ---                                                                                        </t>
  </si>
  <si>
    <t xml:space="preserve">Std. Ideal Liq. Mass Density (kg/m3) ---                                                                                       </t>
  </si>
  <si>
    <t xml:space="preserve">Act. Liq. Flow (m3/s)            ---                                                                                        </t>
  </si>
  <si>
    <t xml:space="preserve">Z Factor                         ---                                                                                        </t>
  </si>
  <si>
    <t xml:space="preserve">Watson K                         ---                                                                                        </t>
  </si>
  <si>
    <t xml:space="preserve">User Property                    ---                                                                                        </t>
  </si>
  <si>
    <t xml:space="preserve">Cp/(Cp - R)                      ---                                                                                        </t>
  </si>
  <si>
    <t xml:space="preserve">Cp/Cv                            ---                                                                                        </t>
  </si>
  <si>
    <t xml:space="preserve">Heat of Vap. (kJ/kgmole)         ---                                                                                        </t>
  </si>
  <si>
    <t xml:space="preserve">Kinematic Viscosity (cSt)        ---                                                                                        </t>
  </si>
  <si>
    <t xml:space="preserve">Liq. Mass Density (Std. Cond) (kg/m3) ---                                                                                       </t>
  </si>
  <si>
    <t xml:space="preserve">Liq. Vol. Flow (Std. Cond) (m3/h) ---                                                                                       </t>
  </si>
  <si>
    <t xml:space="preserve">Liquid Fraction                  ---                                                                                        </t>
  </si>
  <si>
    <t xml:space="preserve">Molar Volume (m3/kgmole)         ---                                                                                        </t>
  </si>
  <si>
    <t xml:space="preserve">Mass Heat of Vap. (kJ/kg)        ---                                                                                        </t>
  </si>
  <si>
    <t xml:space="preserve">Phase Fraction [Molar Basis]     ---                                                                                        </t>
  </si>
  <si>
    <t xml:space="preserve">Surface Tension (dyne/cm)        ---                                                                                        </t>
  </si>
  <si>
    <t xml:space="preserve">Thermal Conductivity (W/m-K)     ---                                                                                        </t>
  </si>
  <si>
    <t xml:space="preserve">Viscosity (cP)                   ---                                                                                        </t>
  </si>
  <si>
    <t xml:space="preserve">Cv (Semi-Ideal) (kJ/kgmole-C)    ---                                                                                        </t>
  </si>
  <si>
    <t xml:space="preserve">Mass Cv (Semi-Ideal) (kJ/kg-C)   ---                                                                                        </t>
  </si>
  <si>
    <t xml:space="preserve">Cv (kJ/kgmole-C)                 ---                                                                                        </t>
  </si>
  <si>
    <t xml:space="preserve">Mass Cv (kJ/kg-C)                ---                                                                                        </t>
  </si>
  <si>
    <t xml:space="preserve">Cv (Ent. Method) (kJ/kgmole-C)   ---                                                                                        </t>
  </si>
  <si>
    <t xml:space="preserve">Mass Cv (Ent. Method) (kJ/kg-C)  ---                                                                                        </t>
  </si>
  <si>
    <t xml:space="preserve">Cp/Cv (Ent. Method)              ---                                                                                        </t>
  </si>
  <si>
    <t xml:space="preserve">Reid VP at 37.8 C (kPa)          ---                                                                                        </t>
  </si>
  <si>
    <t xml:space="preserve">True VP at 37.8 C (kPa)          ---                                                                                        </t>
  </si>
  <si>
    <t xml:space="preserve">Liq. Vol. Flow - Sum(Std. Cond) (m3/h) ---                                                                                       </t>
  </si>
  <si>
    <t xml:space="preserve">Partial Pressure of H2S (kPa)    0.0000                                                                                     </t>
  </si>
  <si>
    <t xml:space="preserve">COMPOSITION                                                                                                                 </t>
  </si>
  <si>
    <t xml:space="preserve">( No compositions have been calculated for this stream )                                                                    </t>
  </si>
  <si>
    <t xml:space="preserve">                                 Overall           Vapour Phase      Liquid Phase      Aqueous Phase                        </t>
  </si>
  <si>
    <t xml:space="preserve">Vapour / Phase Fraction          1.0000            1.0000            0.0000            0.0000                               </t>
  </si>
  <si>
    <t xml:space="preserve">Liq Vol Flow @Std Cond (m3/h)    ---               ---               0.0000            0.0000                               </t>
  </si>
  <si>
    <t xml:space="preserve">Phase Fraction [Vol. Basis]      ---               1.000             ---               ---                                  </t>
  </si>
  <si>
    <t xml:space="preserve">Phase Fraction [Mass Basis]      2.122e-314        1.000             0.0000            0.0000                               </t>
  </si>
  <si>
    <t xml:space="preserve">Cost Based on Flow (Cost/s)      0.0000            0.0000            0.0000            0.0000                               </t>
  </si>
  <si>
    <t xml:space="preserve">Act. Liq. Flow (m3/s)            0.0000            ---               ---               0.0000                               </t>
  </si>
  <si>
    <t xml:space="preserve">Z Factor                         ---               1.000             1.000             1.000                                </t>
  </si>
  <si>
    <t xml:space="preserve">User Property                    ---               ---               ---               ---                                  </t>
  </si>
  <si>
    <t xml:space="preserve">Liq. Mass Density (Std. Cond) (kg/m3) ---               ---               ---               ---                                 </t>
  </si>
  <si>
    <t xml:space="preserve">Liq. Vol. Flow (Std. Cond) (m3/h) ---               ---               0.0000            0.0000                              </t>
  </si>
  <si>
    <t xml:space="preserve">Liquid Fraction                  0.0000            0.0000            1.000             1.000                                </t>
  </si>
  <si>
    <t xml:space="preserve">Phase Fraction [Molar Basis]     1.0000            1.0000            0.0000            0.0000                               </t>
  </si>
  <si>
    <t xml:space="preserve">Surface Tension (dyne/cm)        ---               ---               0.0000            0.0000                               </t>
  </si>
  <si>
    <t xml:space="preserve">Reid VP at 37.8 C (kPa)          ---               ---               ---               ---                                  </t>
  </si>
  <si>
    <t xml:space="preserve">Liq. Vol. Flow - Sum(Std. Cond) (m3/h) 0.0000            0.0000            0.0000            0.0000                              </t>
  </si>
  <si>
    <t xml:space="preserve">Partial Pressure of H2S (kPa)    0.0000            ---               ---               ---                                  </t>
  </si>
  <si>
    <t xml:space="preserve">Overall Phase                                                                                     Vapour Fraction 1.0000    </t>
  </si>
  <si>
    <t xml:space="preserve">COMPONENTS            MOLAR FLOW       MOLE FRACTION    MASS FLOW        MASS FRACTION    LIQUID VOLUME    LIQUID VOLUME    </t>
  </si>
  <si>
    <t xml:space="preserve">                       (kgmole/h)                        (kg/h)                           FLOW   (m3/h)    FRACTION         </t>
  </si>
  <si>
    <t xml:space="preserve">Methane               0.0000           0.0000           0.0000           0.0000           0.0000           0.0000           </t>
  </si>
  <si>
    <t xml:space="preserve">Hydrogen              0.0000           0.0000           0.0000           0.0000           0.0000           0.0000           </t>
  </si>
  <si>
    <t xml:space="preserve">CO                    0.0000           0.0000           0.0000           0.0000           0.0000           0.0000           </t>
  </si>
  <si>
    <t xml:space="preserve">Carbon                0.0000           0.0000           0.0000           0.0000           0.0000           0.0000           </t>
  </si>
  <si>
    <t xml:space="preserve">Vapour Phase                                                                                      Phase Fraction 1.000      </t>
  </si>
  <si>
    <t xml:space="preserve">Liquid Phase                                                                                      Phase Fraction 0.0000     </t>
  </si>
  <si>
    <t xml:space="preserve">Total                 0.0000           1.0000           0.0000           1.0000           0.0000           1.0000           </t>
  </si>
  <si>
    <t xml:space="preserve">Aqueous Phase                                                                                     Phase Fraction 0.0000     </t>
  </si>
  <si>
    <t xml:space="preserve">                                 Overall           Vapour Phase                                                             </t>
  </si>
  <si>
    <t xml:space="preserve">Vapour / Phase Fraction          1.0000            1.0000                                                                   </t>
  </si>
  <si>
    <t xml:space="preserve">Liq Vol Flow @Std Cond (m3/h)    ---               ---                                                                      </t>
  </si>
  <si>
    <t xml:space="preserve">Molecular Weight                 28.85             28.85                                                                    </t>
  </si>
  <si>
    <t xml:space="preserve">Lower Heating Value (kJ/kgmole)  0.0000            0.0000                                                                   </t>
  </si>
  <si>
    <t xml:space="preserve">Mass Lower Heating Value (kJ/kg) ---               ---                                                                      </t>
  </si>
  <si>
    <t xml:space="preserve">Phase Fraction [Vol. Basis]      ---               1.000                                                                    </t>
  </si>
  <si>
    <t xml:space="preserve">Phase Fraction [Mass Basis]      4.941e-324        1.000                                                                    </t>
  </si>
  <si>
    <t xml:space="preserve">Partial Pressure of CO2 (kPa)    0.0000            ---                                                                      </t>
  </si>
  <si>
    <t xml:space="preserve">Cost Based on Flow (Cost/s)      0.0000            0.0000                                                                   </t>
  </si>
  <si>
    <t xml:space="preserve">Avg. Liq. Density (kgmole/m3)    29.98             29.98                                                                    </t>
  </si>
  <si>
    <t xml:space="preserve">Act. Liq. Flow (m3/s)            ---               ---                                                                      </t>
  </si>
  <si>
    <t xml:space="preserve">Z Factor                         0.9995            0.9995                                                                   </t>
  </si>
  <si>
    <t xml:space="preserve">User Property                    ---               ---                                                                      </t>
  </si>
  <si>
    <t xml:space="preserve">Cp/(Cp - R)                      1.398             1.398                                                                    </t>
  </si>
  <si>
    <t xml:space="preserve">Cp/Cv                            1.401             1.401                                                                    </t>
  </si>
  <si>
    <t xml:space="preserve">Liq. Mass Density (Std. Cond) (kg/m3) ---               ---                                                                     </t>
  </si>
  <si>
    <t xml:space="preserve">Liq. Vol. Flow (Std. Cond) (m3/h) ---               ---                                                                     </t>
  </si>
  <si>
    <t xml:space="preserve">Liquid Fraction                  0.0000            0.0000                                                                   </t>
  </si>
  <si>
    <t xml:space="preserve">Phase Fraction [Molar Basis]     1.0000            1.0000                                                                   </t>
  </si>
  <si>
    <t xml:space="preserve">Surface Tension (dyne/cm)        ---               ---                                                                      </t>
  </si>
  <si>
    <t xml:space="preserve">Reid VP at 37.8 C (kPa)          ---               ---                                                                      </t>
  </si>
  <si>
    <t xml:space="preserve">True VP at 37.8 C (kPa)          ---               ---                                                                      </t>
  </si>
  <si>
    <t xml:space="preserve">Liq. Vol. Flow - Sum(Std. Cond) (m3/h) 0.0000            0.0000                                                                  </t>
  </si>
  <si>
    <t xml:space="preserve">Partial Pressure of H2S (kPa)    0.0000            ---                                                                      </t>
  </si>
  <si>
    <t xml:space="preserve">H2O                   0.0000           0.0000           0.0000           0.0000           0.0000           0.0000           </t>
  </si>
  <si>
    <t xml:space="preserve">CO2                   0.0000           0.0000           0.0000           0.0000           0.0000           0.0000           </t>
  </si>
  <si>
    <t xml:space="preserve">Vapour / Phase Fraction          0.0000            0.0000            0.5000            0.5000                               </t>
  </si>
  <si>
    <t xml:space="preserve">Molar Flow (kgmole/h)            0.0000            0.0000            0.0000            0.0000                               </t>
  </si>
  <si>
    <t xml:space="preserve">Mass Flow (kg/h)                 0.0000            0.0000            0.0000            0.0000                               </t>
  </si>
  <si>
    <t xml:space="preserve">Std Ideal Liq Vol Flow (m3/h)    0.0000            0.0000            0.0000            0.0000                               </t>
  </si>
  <si>
    <t xml:space="preserve">Heat Flow (kJ/h)                 0.0000            0.0000            0.0000            0.0000                               </t>
  </si>
  <si>
    <t xml:space="preserve">Liq Vol Flow @Std Cond (m3/h)    0.0000            0.0000            0.0000            0.0000                               </t>
  </si>
  <si>
    <t xml:space="preserve">Act. Volume Flow (m3/h)          0.0000            0.0000            0.0000            0.0000                               </t>
  </si>
  <si>
    <t xml:space="preserve">Phase Fraction [Vol. Basis]      ---               ---               0.5000            0.5000                               </t>
  </si>
  <si>
    <t xml:space="preserve">Phase Fraction [Mass Basis]      2.122e-314        0.0000            0.5000            0.5000                               </t>
  </si>
  <si>
    <t xml:space="preserve">Partial Pressure of CO2 (kPa)    0.0000            ---               ---               ---                                  </t>
  </si>
  <si>
    <t xml:space="preserve">Act. Gas Flow (ACT_m3/h)         ---               ---               ---               ---                                  </t>
  </si>
  <si>
    <t xml:space="preserve">Avg. Liq. Density (kgmole/m3)    ---               ---               ---               ---                                  </t>
  </si>
  <si>
    <t xml:space="preserve">Std. Gas Flow (STD_m3/h)         0.0000            0.0000            0.0000            0.0000                               </t>
  </si>
  <si>
    <t xml:space="preserve">Act. Liq. Flow (m3/s)            0.0000            ---               0.0000            0.0000                               </t>
  </si>
  <si>
    <t xml:space="preserve">Liq. Vol. Flow (Std. Cond) (m3/h) 0.0000            0.0000            0.0000            0.0000                              </t>
  </si>
  <si>
    <t xml:space="preserve">Liquid Fraction                  1.000             0.0000            1.000             1.000                                </t>
  </si>
  <si>
    <t xml:space="preserve">Phase Fraction [Molar Basis]     0.0000            0.0000            0.5000            0.5000                               </t>
  </si>
  <si>
    <t xml:space="preserve">Overall Phase                                                                                     Vapour Fraction 0.0000    </t>
  </si>
  <si>
    <t xml:space="preserve">Vapour Phase                                                                                      Phase Fraction 0.0000     </t>
  </si>
  <si>
    <t xml:space="preserve">Liquid Phase                                                                                      Phase Fraction 0.5000     </t>
  </si>
  <si>
    <t xml:space="preserve">Aqueous Phase                                                                                     Phase Fraction 0.5000     </t>
  </si>
  <si>
    <t xml:space="preserve">Z Factor                         1.000             1.000                                                                    </t>
  </si>
  <si>
    <t xml:space="preserve">Vapour / Phase Fraction          0.0000            1.0000                                                                   </t>
  </si>
  <si>
    <t xml:space="preserve">Temperature: (C)                 25.00             25.00                                                                    </t>
  </si>
  <si>
    <t xml:space="preserve">Act. Gas Flow (ACT_m3/h)         ---               ---                                                                      </t>
  </si>
  <si>
    <t xml:space="preserve">Liquid Fraction                  1.000             1.000                                                                    </t>
  </si>
  <si>
    <t xml:space="preserve">Phase Fraction [Molar Basis]     0.0000            1.0000                                                                   </t>
  </si>
  <si>
    <t xml:space="preserve">Cv (Ent. Method) (kJ/kgmole-C)   ---               ---                                                                      </t>
  </si>
  <si>
    <t xml:space="preserve">Mass Cv (Ent. Method) (kJ/kg-C)  ---               ---                                                                      </t>
  </si>
  <si>
    <t xml:space="preserve">Cp/Cv (Ent. Method)              ---               ---                                                                      </t>
  </si>
  <si>
    <t xml:space="preserve">Oxygen                0.0000           0.0000           0.0000           0.0000           0.0000           0.0000           </t>
  </si>
  <si>
    <t xml:space="preserve">Nitrogen              0.0000           0.0000           0.0000           0.0000           0.0000           0.0000           </t>
  </si>
  <si>
    <t xml:space="preserve">                                 Overall           Vapour Phase      Aqueous Phase                                          </t>
  </si>
  <si>
    <t xml:space="preserve">Vapour / Phase Fraction          0.0000            0.0000            1.0000                                                 </t>
  </si>
  <si>
    <t xml:space="preserve">Lower Heating Value (kJ/kgmole)  ---               ---               ---                                                    </t>
  </si>
  <si>
    <t xml:space="preserve">Mass Lower Heating Value (kJ/kg) ---               ---               ---                                                    </t>
  </si>
  <si>
    <t xml:space="preserve">Phase Fraction [Vol. Basis]      ---               ---               1.000                                                  </t>
  </si>
  <si>
    <t xml:space="preserve">Phase Fraction [Mass Basis]      4.941e-324        0.0000            1.000                                                  </t>
  </si>
  <si>
    <t xml:space="preserve">Partial Pressure of CO2 (kPa)    0.0000            ---               ---                                                    </t>
  </si>
  <si>
    <t xml:space="preserve">Cost Based on Flow (Cost/s)      0.0000            0.0000            0.0000                                                 </t>
  </si>
  <si>
    <t xml:space="preserve">Act. Gas Flow (ACT_m3/h)         ---               ---               ---                                                    </t>
  </si>
  <si>
    <t xml:space="preserve">User Property                    ---               ---               ---                                                    </t>
  </si>
  <si>
    <t xml:space="preserve">Liquid Fraction                  1.000             0.0000            1.000                                                  </t>
  </si>
  <si>
    <t xml:space="preserve">Phase Fraction [Molar Basis]     0.0000            0.0000            1.0000                                                 </t>
  </si>
  <si>
    <t xml:space="preserve">Reid VP at 37.8 C (kPa)          ---               ---               ---                                                    </t>
  </si>
  <si>
    <t xml:space="preserve">Partial Pressure of H2S (kPa)    0.0000            ---               ---                                                    </t>
  </si>
  <si>
    <t xml:space="preserve">Aqueous Phase                                                                                     Phase Fraction 1.000      </t>
  </si>
  <si>
    <t xml:space="preserve">                                 Overall           Aqueous Phase                                                            </t>
  </si>
  <si>
    <t xml:space="preserve">Molar Enthalpy (kJ/kgmole)       -2.854e+005       -2.854e+005                                                              </t>
  </si>
  <si>
    <t xml:space="preserve">Molar Entropy (kJ/kgmole-C)      53.70             53.70                                                                    </t>
  </si>
  <si>
    <t xml:space="preserve">Molecular Weight                 18.02             18.02                                                                    </t>
  </si>
  <si>
    <t xml:space="preserve">Molar Density (kgmole/m3)        55.92             55.92                                                                    </t>
  </si>
  <si>
    <t xml:space="preserve">Mass Density (kg/m3)             1007              1007                                                                     </t>
  </si>
  <si>
    <t xml:space="preserve">Mass Enthalpy (kJ/kg)            -1.584e+004       -1.584e+004                                                              </t>
  </si>
  <si>
    <t xml:space="preserve">Mass Entropy (kJ/kg-C)           2.981             2.981                                                                    </t>
  </si>
  <si>
    <t xml:space="preserve">Heat Capacity (kJ/kgmole-C)      77.71             77.71                                                                    </t>
  </si>
  <si>
    <t xml:space="preserve">Mass Heat Capacity (kJ/kg-C)     4.313             4.313                                                                    </t>
  </si>
  <si>
    <t xml:space="preserve">Phase Fraction [Mass Basis]      0.0000            1.000                                                                    </t>
  </si>
  <si>
    <t xml:space="preserve">Avg. Liq. Density (kgmole/m3)    55.40             55.40                                                                    </t>
  </si>
  <si>
    <t xml:space="preserve">Specific Heat (kJ/kgmole-C)      77.71             77.71                                                                    </t>
  </si>
  <si>
    <t xml:space="preserve">Std. Ideal Liq. Mass Density (kg/m3) 998.0             998.0                                                                   </t>
  </si>
  <si>
    <t xml:space="preserve">Watson K                         ---               ---                                                                      </t>
  </si>
  <si>
    <t xml:space="preserve">Cp/(Cp - R)                      1.120             1.120                                                                    </t>
  </si>
  <si>
    <t xml:space="preserve">Cp/Cv                            1.147             1.147                                                                    </t>
  </si>
  <si>
    <t xml:space="preserve">Heat of Vap. (kJ/kgmole)         4.101e+004        ---                                                                      </t>
  </si>
  <si>
    <t xml:space="preserve">Kinematic Viscosity (cSt)        0.8840            0.8840                                                                   </t>
  </si>
  <si>
    <t xml:space="preserve">Liq. Mass Density (Std. Cond) (kg/m3) 1015              1015                                                                    </t>
  </si>
  <si>
    <t xml:space="preserve">Molar Volume (m3/kgmole)         1.788e-002        1.788e-002                                                               </t>
  </si>
  <si>
    <t xml:space="preserve">Surface Tension (dyne/cm)        72.10             72.10                                                                    </t>
  </si>
  <si>
    <t xml:space="preserve">Thermal Conductivity (W/m-K)     0.6110            0.6110                                                                   </t>
  </si>
  <si>
    <t xml:space="preserve">Viscosity (cP)                   0.8904            0.8904                                                                   </t>
  </si>
  <si>
    <t xml:space="preserve">Cv (Semi-Ideal) (kJ/kgmole-C)    69.39             69.39                                                                    </t>
  </si>
  <si>
    <t xml:space="preserve">Mass Cv (Semi-Ideal) (kJ/kg-C)   3.852             3.852                                                                    </t>
  </si>
  <si>
    <t xml:space="preserve">Cv (kJ/kgmole-C)                 67.75             67.75                                                                    </t>
  </si>
  <si>
    <t xml:space="preserve">Mass Cv (kJ/kg-C)                3.761             3.761                                                                    </t>
  </si>
  <si>
    <t xml:space="preserve">True VP at 37.8 C (kPa)          6.467             6.467                                                                    </t>
  </si>
  <si>
    <t xml:space="preserve">Vapour / Phase Fraction          1.0000            1.0000            0.0000                                                 </t>
  </si>
  <si>
    <t xml:space="preserve">Liq Vol Flow @Std Cond (m3/h)    ---               ---               0.0000                                                 </t>
  </si>
  <si>
    <t xml:space="preserve">Phase Fraction [Vol. Basis]      ---               1.000             ---                                                    </t>
  </si>
  <si>
    <t xml:space="preserve">Phase Fraction [Mass Basis]      4.941e-324        1.000             0.0000                                                 </t>
  </si>
  <si>
    <t xml:space="preserve">Act. Liq. Flow (m3/s)            0.0000            ---               0.0000                                                 </t>
  </si>
  <si>
    <t xml:space="preserve">Liq. Vol. Flow (Std. Cond) (m3/h) ---               ---               0.0000                                                </t>
  </si>
  <si>
    <t xml:space="preserve">Liquid Fraction                  0.0000            0.0000            1.000                                                  </t>
  </si>
  <si>
    <t xml:space="preserve">Phase Fraction [Molar Basis]     1.0000            1.0000            0.0000                                                 </t>
  </si>
  <si>
    <t xml:space="preserve">Liq. Vol. Flow - Sum(Std. Cond) (m3/h) 0.0000            0.0000            0.0000                                                </t>
  </si>
  <si>
    <t xml:space="preserve">Cp/(Cp - R)                      1.273             1.273             1.273             1.273                                </t>
  </si>
  <si>
    <t xml:space="preserve">Lower Heating Value (kJ/kgmole)  ---               ---                                                                      </t>
  </si>
  <si>
    <t xml:space="preserve">Mass Heat Capacity (kJ/kg-C)     4.311             4.311                                                                    </t>
  </si>
  <si>
    <t xml:space="preserve">Cv (Semi-Ideal) (kJ/kgmole-C)    69.35             69.35                                                                    </t>
  </si>
  <si>
    <t xml:space="preserve">Mass Cv (Semi-Ideal) (kJ/kg-C)   3.850             3.850                                                                    </t>
  </si>
  <si>
    <t xml:space="preserve">Z Factor                         0.9994            0.9994                                                                   </t>
  </si>
  <si>
    <t xml:space="preserve">Viscosity (cP)                   1.883e-002        1.883e-002                                                               </t>
  </si>
  <si>
    <t xml:space="preserve">Molar Flow (kgmole/h)            0.0000            0.0000            0.0000                                                 </t>
  </si>
  <si>
    <t xml:space="preserve">Mass Flow (kg/h)                 0.0000            0.0000            0.0000                                                 </t>
  </si>
  <si>
    <t xml:space="preserve">Std Ideal Liq Vol Flow (m3/h)    0.0000            0.0000            0.0000                                                 </t>
  </si>
  <si>
    <t xml:space="preserve">Heat Flow (kJ/h)                 0.0000            0.0000            0.0000                                                 </t>
  </si>
  <si>
    <t xml:space="preserve">Liq Vol Flow @Std Cond (m3/h)    0.0000            0.0000            0.0000                                                 </t>
  </si>
  <si>
    <t xml:space="preserve">Act. Volume Flow (m3/h)          0.0000            0.0000            0.0000                                                 </t>
  </si>
  <si>
    <t xml:space="preserve">Avg. Liq. Density (kgmole/m3)    ---               ---               ---                                                    </t>
  </si>
  <si>
    <t xml:space="preserve">Std. Gas Flow (STD_m3/h)         0.0000            0.0000            0.0000                                                 </t>
  </si>
  <si>
    <t xml:space="preserve">Liq. Vol. Flow (Std. Cond) (m3/h) 0.0000            0.0000            0.0000                                                </t>
  </si>
  <si>
    <t xml:space="preserve">True VP at 37.8 C (kPa)          ---               ---               ---                                                    </t>
  </si>
  <si>
    <t xml:space="preserve">Heat of Vap. (kJ/kgmole)         5868              ---                                                                      </t>
  </si>
  <si>
    <t xml:space="preserve">Mass Heat of Vap. (kJ/kg)        203.4             ---                                                                      </t>
  </si>
  <si>
    <t xml:space="preserve">Heat of Vap. (kJ/kgmole)         5873              ---                                                                      </t>
  </si>
  <si>
    <t xml:space="preserve">Mass Heat of Vap. (kJ/kg)        203.6             ---                                                                      </t>
  </si>
  <si>
    <t xml:space="preserve">Molecular Weight                 2.016             2.016                                                                    </t>
  </si>
  <si>
    <t xml:space="preserve">Lower Heating Value (kJ/kgmole)  2.419e+005        2.419e+005                                                               </t>
  </si>
  <si>
    <t xml:space="preserve">Mass Lower Heating Value (kJ/kg) 1.200e+005        1.200e+005                                                               </t>
  </si>
  <si>
    <t xml:space="preserve">Avg. Liq. Density (kgmole/m3)    34.65             34.65                                                                    </t>
  </si>
  <si>
    <t xml:space="preserve">Std. Ideal Liq. Mass Density (kg/m3) 69.86             69.86                                                                   </t>
  </si>
  <si>
    <t xml:space="preserve">Watson K                         47.60             47.60                                                                    </t>
  </si>
  <si>
    <t xml:space="preserve">Heat of Vap. (kJ/kgmole)         ---               ---                                                                      </t>
  </si>
  <si>
    <t xml:space="preserve">Mass Heat of Vap. (kJ/kg)        ---               ---                                                                      </t>
  </si>
  <si>
    <t xml:space="preserve">Material Stream: Reformer Feed                                                       Fluid Package: Basis-1                 </t>
  </si>
  <si>
    <t xml:space="preserve">Hyprotech Ltd.                     Aspen HYSYS Version 2006 (20.0.0.6728)                                                  </t>
  </si>
  <si>
    <t>Removed hydrogen fueling tab. Fueling will be added in the future in context of heavy duty vehicle refueling and at larger scale.</t>
  </si>
  <si>
    <t>Water Feed System</t>
  </si>
  <si>
    <t>Burner</t>
  </si>
  <si>
    <t>Primary Air Feed System</t>
  </si>
  <si>
    <t>Water Purification</t>
  </si>
  <si>
    <t>Structural Supports</t>
  </si>
  <si>
    <t>Controls System</t>
  </si>
  <si>
    <t>System Assembly</t>
  </si>
  <si>
    <t xml:space="preserve">Using AACE* cost categories  for a “&gt;150psi, &gt;400F Gas Process”: Installation Costs (% of total direct uninstalled capital) Sales tax: 5%   Typical state sales tax Shipping: 1%   Based on actual low-rider coast-to-coast transport of single large load Insurance: 1%   Shipping insurance estimate Setting: 10% One half of AACE generic recommended value due to Nth  plant considerations. Total Installation: 17% of total direct uninstalled capital
</t>
  </si>
  <si>
    <t>X = design capacity/115 (kg/day)</t>
  </si>
  <si>
    <t xml:space="preserve">N (see above) = </t>
  </si>
  <si>
    <t>PSA uninstalled cost (Q100) =</t>
  </si>
  <si>
    <t>bed volume (L)</t>
  </si>
  <si>
    <t>Biomass Program MYPP April 2011, HyARC data (see AEO data tab for additional information)</t>
  </si>
  <si>
    <t>HyARC</t>
  </si>
  <si>
    <t>feedstock Commercial Electricity Usage</t>
  </si>
  <si>
    <t>feedstockCommercial_Electricity_Usage</t>
  </si>
  <si>
    <t>This covers waste disposal costs, non-feedstock fuels, environmental surcharges, etc. and is estimated at $800/month with 50% being attributed to refueling operations (the other 50% goes to convenience store operations) and is further pro-rata for the fraction of hydrogen dispensers out of total dispensers (3 out of 8 for large stations). Thus for a large station, annual “Other Variable Costs” are $800/month * 12 months/year * 50% fueling fraction * (3 H2 dispensers/8 total dispensers) = $1,800/year.</t>
  </si>
  <si>
    <t>Initial spares at 0.75% of Production System Direct Capital</t>
  </si>
  <si>
    <t>x15</t>
  </si>
  <si>
    <t>Ethanol for gasoline blending from GREET 2021</t>
  </si>
  <si>
    <t>Todd Ramsden</t>
  </si>
  <si>
    <t>Tornado Charts added</t>
  </si>
  <si>
    <t>The purpose of this analysis is to determine a baseline delivered cost of hydrogen for the distributed production of hydrogen from (technology).</t>
  </si>
  <si>
    <t>Owner operated large for-profit business.</t>
  </si>
  <si>
    <t xml:space="preserve">Pressure: (kPa)                  101.0             101.0                                                                    </t>
  </si>
  <si>
    <t xml:space="preserve">Molar Enthalpy (kJ/kgmole)       -8.157            -8.157                                                                   </t>
  </si>
  <si>
    <t xml:space="preserve">Molar Entropy (kJ/kgmole-C)      155.7             155.7                                                                    </t>
  </si>
  <si>
    <t xml:space="preserve">Molar Density (kgmole/m3)        4.077e-002        4.077e-002                                                               </t>
  </si>
  <si>
    <t xml:space="preserve">Mass Density (kg/m3)             1.176             1.176                                                                    </t>
  </si>
  <si>
    <t xml:space="preserve">Mass Enthalpy (kJ/kg)            -0.2827           -0.2827                                                                  </t>
  </si>
  <si>
    <t xml:space="preserve">Mass Entropy (kJ/kg-C)           5.398             5.398                                                                    </t>
  </si>
  <si>
    <t xml:space="preserve">Heat Capacity (kJ/kgmole-C)      29.23             29.23                                                                    </t>
  </si>
  <si>
    <t xml:space="preserve">Mass Heat Capacity (kJ/kg-C)     1.013             1.013                                                                    </t>
  </si>
  <si>
    <t xml:space="preserve">Specific Heat (kJ/kgmole-C)      29.23             29.23                                                                    </t>
  </si>
  <si>
    <t xml:space="preserve">Std. Ideal Liq. Mass Density (kg/m3) 865.1             865.1                                                                   </t>
  </si>
  <si>
    <t xml:space="preserve">Watson K                         6.042             6.042                                                                    </t>
  </si>
  <si>
    <t xml:space="preserve">Heat of Vap. (kJ/kgmole)         5898              ---                                                                      </t>
  </si>
  <si>
    <t xml:space="preserve">Kinematic Viscosity (cSt)        16.01             16.01                                                                    </t>
  </si>
  <si>
    <t xml:space="preserve">Molar Volume (m3/kgmole)         24.53             24.53                                                                    </t>
  </si>
  <si>
    <t xml:space="preserve">Mass Heat of Vap. (kJ/kg)        204.4             ---                                                                      </t>
  </si>
  <si>
    <t xml:space="preserve">Thermal Conductivity (W/m-K)     2.594e-002        2.594e-002                                                               </t>
  </si>
  <si>
    <t xml:space="preserve">Cv (Semi-Ideal) (kJ/kgmole-C)    20.91             20.91                                                                    </t>
  </si>
  <si>
    <t xml:space="preserve">Mass Cv (Semi-Ideal) (kJ/kg-C)   0.7248            0.7248                                                                   </t>
  </si>
  <si>
    <t xml:space="preserve">Cv (kJ/kgmole-C)                 20.87             20.87                                                                    </t>
  </si>
  <si>
    <t xml:space="preserve">Mass Cv (kJ/kg-C)                0.7233            0.7233                                                                   </t>
  </si>
  <si>
    <t xml:space="preserve">Cv (Ent. Method) (kJ/kgmole-C)   20.83             20.83                                                                    </t>
  </si>
  <si>
    <t xml:space="preserve">Mass Cv (Ent. Method) (kJ/kg-C)  0.7218            0.7218                                                                   </t>
  </si>
  <si>
    <t xml:space="preserve">Cp/Cv (Ent. Method)              1.403             1.403                                                                    </t>
  </si>
  <si>
    <t xml:space="preserve">Ethane                0.0000           0.0000           0.0000           0.0000           0.0000           0.0000           </t>
  </si>
  <si>
    <t xml:space="preserve">Propane               0.0000           0.0000           0.0000           0.0000           0.0000           0.0000           </t>
  </si>
  <si>
    <t xml:space="preserve">Argon                 0.0000           0.0000           0.0000           0.0000           0.0000           0.0000           </t>
  </si>
  <si>
    <t xml:space="preserve">H2S                   0.0000           0.0000           0.0000           0.0000           0.0000           0.0000           </t>
  </si>
  <si>
    <t xml:space="preserve">E-Mercaptan           0.0000           0.0000           0.0000           0.0000           0.0000           0.0000           </t>
  </si>
  <si>
    <t xml:space="preserve">S_Amorphous           0.0000           0.0000           0.0000           0.0000           0.0000           0.0000           </t>
  </si>
  <si>
    <t xml:space="preserve">K VALUE                                                                                                                     </t>
  </si>
  <si>
    <t xml:space="preserve">COMPONENTS                              MIXED                       LIGHT                       HEAVY                       </t>
  </si>
  <si>
    <t xml:space="preserve">Methane                                 ---                         ---                         ---                         </t>
  </si>
  <si>
    <t xml:space="preserve">Ethane                                  ---                         ---                         ---                         </t>
  </si>
  <si>
    <t xml:space="preserve">Propane                                 ---                         ---                         ---                         </t>
  </si>
  <si>
    <t xml:space="preserve">Oxygen                                  ---                         ---                         ---                         </t>
  </si>
  <si>
    <t xml:space="preserve">Argon                                   ---                         ---                         ---                         </t>
  </si>
  <si>
    <t xml:space="preserve">Hydrogen                                ---                         ---                         ---                         </t>
  </si>
  <si>
    <t xml:space="preserve">H2O                                     ---                         ---                         ---                         </t>
  </si>
  <si>
    <t xml:space="preserve">H2S                                     ---                         ---                         ---                         </t>
  </si>
  <si>
    <t xml:space="preserve">E-Mercaptan                             ---                         ---                         ---                         </t>
  </si>
  <si>
    <t xml:space="preserve">CO                                      ---                         ---                         ---                         </t>
  </si>
  <si>
    <t xml:space="preserve">CO2                                     ---                         ---                         ---                         </t>
  </si>
  <si>
    <t xml:space="preserve">Carbon                                  ---                         ---                         ---                         </t>
  </si>
  <si>
    <t xml:space="preserve">Nitrogen                                ---                         ---                         ---                         </t>
  </si>
  <si>
    <t xml:space="preserve">S_Amorphous                             ---                         ---                         ---                         </t>
  </si>
  <si>
    <t xml:space="preserve">Mass Heat of Vap. (kJ/kg)        1899              ---                                                                      </t>
  </si>
  <si>
    <t xml:space="preserve">Cp/Cv (Ent. Method)              1.346             1.346                                                                    </t>
  </si>
  <si>
    <t xml:space="preserve">Material Stream: Burner Exhaust                                                      Fluid Package: Basis-1                 </t>
  </si>
  <si>
    <t xml:space="preserve">Pressure: (kPa)                  104.0             104.0                                                                    </t>
  </si>
  <si>
    <t xml:space="preserve">Cp/Cv                            1.332             1.332                                                                    </t>
  </si>
  <si>
    <t xml:space="preserve">Material Stream: Burner flame                                                        Fluid Package: Basis-1                 </t>
  </si>
  <si>
    <t xml:space="preserve">Oxygen                                  1.000                       1.000                       1.000                       </t>
  </si>
  <si>
    <t xml:space="preserve">Hydrogen                                1.000                       1.000                       1.000                       </t>
  </si>
  <si>
    <t xml:space="preserve">H2O                                     1.000                       1.000                       1.000                       </t>
  </si>
  <si>
    <t xml:space="preserve">CO                                      1.000                       1.000                       1.000                       </t>
  </si>
  <si>
    <t xml:space="preserve">CO2                                     1.000                       1.000                       1.000                       </t>
  </si>
  <si>
    <t xml:space="preserve">Nitrogen                                1.000                       1.000                       1.000                       </t>
  </si>
  <si>
    <t xml:space="preserve">Material Stream: Burner Gas                                                          Fluid Package: Basis-1                 </t>
  </si>
  <si>
    <t xml:space="preserve">Pressure: (kPa)                  106.0             106.0                                                                    </t>
  </si>
  <si>
    <t xml:space="preserve">Mass Heat Capacity (kJ/kg-C)     1.248             1.248                                                                    </t>
  </si>
  <si>
    <t xml:space="preserve">Cp/(Cp - R)                      1.301             1.301                                                                    </t>
  </si>
  <si>
    <t xml:space="preserve">Material Stream: City NG                                                             Fluid Package: Basis-1                 </t>
  </si>
  <si>
    <t xml:space="preserve">Z Factor                         0.9976            0.9976                                                                   </t>
  </si>
  <si>
    <t xml:space="preserve">Material Stream: Compressor Outlet                                                   Fluid Package: Basis-1                 </t>
  </si>
  <si>
    <t xml:space="preserve">Pressure: (kPa)                  2209              2209                                                                     </t>
  </si>
  <si>
    <t xml:space="preserve">Z Factor                         1.001             1.001                                                                    </t>
  </si>
  <si>
    <t xml:space="preserve">Material Stream: Condenser air                                                       Fluid Package: Basis-1                 </t>
  </si>
  <si>
    <t xml:space="preserve">Molar Entropy (kJ/kgmole-C)      156.0             156.0                                                                    </t>
  </si>
  <si>
    <t xml:space="preserve">Heat Capacity (kJ/kgmole-C)      29.29             29.29                                                                    </t>
  </si>
  <si>
    <t xml:space="preserve">Mass Heat Capacity (kJ/kg-C)     1.015             1.015                                                                    </t>
  </si>
  <si>
    <t xml:space="preserve">Specific Heat (kJ/kgmole-C)      29.29             29.29                                                                    </t>
  </si>
  <si>
    <t xml:space="preserve">Cp/(Cp - R)                      1.396             1.396                                                                    </t>
  </si>
  <si>
    <t xml:space="preserve">Cv (kJ/kgmole-C)                 20.93             20.93                                                                    </t>
  </si>
  <si>
    <t xml:space="preserve">Cp/Cv (Ent. Method)              1.402             1.402                                                                    </t>
  </si>
  <si>
    <t xml:space="preserve">Pressure: (kPa)                  102.0             102.0                                                                    </t>
  </si>
  <si>
    <t xml:space="preserve">Pressure: (kPa)                  103.0             103.0                                                                    </t>
  </si>
  <si>
    <t xml:space="preserve">Material Stream: DI water                                                            Fluid Package: Basis-1                 </t>
  </si>
  <si>
    <t xml:space="preserve">Z Factor                         7.287e-004        7.287e-004                                                               </t>
  </si>
  <si>
    <t xml:space="preserve">Mass Heat of Vap. (kJ/kg)        2277              ---                                                                      </t>
  </si>
  <si>
    <t xml:space="preserve">H2O                                     0.0000                      ---                         0.0000                      </t>
  </si>
  <si>
    <t xml:space="preserve">Material Stream: Dummmy 7                                                            Fluid Package: Basis-1                 </t>
  </si>
  <si>
    <t xml:space="preserve">Material Stream: Dummy 1                                                             Fluid Package: Basis-1                 </t>
  </si>
  <si>
    <t xml:space="preserve">Material Stream: Dummy 2                                                             Fluid Package: Basis-1                 </t>
  </si>
  <si>
    <t xml:space="preserve">Material Stream: Dummy 3                                                             Fluid Package: Basis-1                 </t>
  </si>
  <si>
    <t xml:space="preserve">Material Stream: Dummy 4                                                             Fluid Package: Basis-1                 </t>
  </si>
  <si>
    <t xml:space="preserve">Material Stream: Dummy 5                                                             Fluid Package: Basis-1                 </t>
  </si>
  <si>
    <t xml:space="preserve">Material Stream: Dummy 12                                                            Fluid Package: Basis-1                 </t>
  </si>
  <si>
    <t xml:space="preserve">Z Factor                         ---               1.003             1.003                                                  </t>
  </si>
  <si>
    <t xml:space="preserve">Liq. Mass Density (Std. Cond) (kg/m3) ---               ---               ---                                                   </t>
  </si>
  <si>
    <t xml:space="preserve">Surface Tension (dyne/cm)        0.0000            ---               0.0000                                                 </t>
  </si>
  <si>
    <t xml:space="preserve">Heat Capacity (kJ/kgmole-C)      28.59             28.59                                                                    </t>
  </si>
  <si>
    <t xml:space="preserve">Mass Heat Capacity (kJ/kg-C)     14.18             14.18                                                                    </t>
  </si>
  <si>
    <t xml:space="preserve">Specific Heat (kJ/kgmole-C)      28.59             28.59                                                                    </t>
  </si>
  <si>
    <t xml:space="preserve">Cp/(Cp - R)                      1.410             1.410                                                                    </t>
  </si>
  <si>
    <t xml:space="preserve">Cv (kJ/kgmole-C)                 20.14             20.14                                                                    </t>
  </si>
  <si>
    <t xml:space="preserve">Mass Cv (kJ/kg-C)                9.992             9.992                                                                    </t>
  </si>
  <si>
    <t xml:space="preserve">Molar Entropy (kJ/kgmole-C)      197.2             197.2                                                                    </t>
  </si>
  <si>
    <t xml:space="preserve">Material Stream: Heated burner air                                                   Fluid Package: Basis-1                 </t>
  </si>
  <si>
    <t xml:space="preserve">Surface Tension (dyne/cm)        ---               ---               0.0000                                                 </t>
  </si>
  <si>
    <t xml:space="preserve">Z Factor                         1.007             1.007                                                                    </t>
  </si>
  <si>
    <t xml:space="preserve">Material Stream: Reformate                                                           Fluid Package: Basis-1                 </t>
  </si>
  <si>
    <t xml:space="preserve">Temperature: (C)                 25.18             25.18                                                                    </t>
  </si>
  <si>
    <t xml:space="preserve">Pressure: (kPa)                  2180              2180                                                                     </t>
  </si>
  <si>
    <t xml:space="preserve">Molar Entropy (kJ/kgmole-C)      53.72             53.72                                                                    </t>
  </si>
  <si>
    <t xml:space="preserve">Molar Density (kgmole/m3)        55.94             55.94                                                                    </t>
  </si>
  <si>
    <t xml:space="preserve">Mass Density (kg/m3)             1008              1008                                                                     </t>
  </si>
  <si>
    <t xml:space="preserve">Mass Entropy (kJ/kg-C)           2.982             2.982                                                                    </t>
  </si>
  <si>
    <t xml:space="preserve">Heat Capacity (kJ/kgmole-C)      77.67             77.67                                                                    </t>
  </si>
  <si>
    <t xml:space="preserve">Specific Heat (kJ/kgmole-C)      77.67             77.67                                                                    </t>
  </si>
  <si>
    <t xml:space="preserve">Z Factor                         1.571e-002        1.571e-002                                                               </t>
  </si>
  <si>
    <t xml:space="preserve">Heat of Vap. (kJ/kgmole)         3.420e+004        ---                                                                      </t>
  </si>
  <si>
    <t xml:space="preserve">Kinematic Viscosity (cSt)        0.8799            0.8799                                                                   </t>
  </si>
  <si>
    <t xml:space="preserve">Mass Heat of Vap. (kJ/kg)        1898              ---                                                                      </t>
  </si>
  <si>
    <t xml:space="preserve">Surface Tension (dyne/cm)        72.07             72.07                                                                    </t>
  </si>
  <si>
    <t xml:space="preserve">Thermal Conductivity (W/m-K)     0.6113            0.6113                                                                   </t>
  </si>
  <si>
    <t xml:space="preserve">Viscosity (cP)                   0.8868            0.8868                                                                   </t>
  </si>
  <si>
    <t xml:space="preserve">Cv (kJ/kgmole-C)                 67.72             67.72                                                                    </t>
  </si>
  <si>
    <t xml:space="preserve">Mass Cv (kJ/kg-C)                3.759             3.759                                                                    </t>
  </si>
  <si>
    <t>Price Conversion Factor (GJ/mmBtu)</t>
  </si>
  <si>
    <t>Price in Startup Year ($2016)/mmBtu</t>
  </si>
  <si>
    <t>Usage (mmBtu/kg H2)</t>
  </si>
  <si>
    <t>Boiler</t>
  </si>
  <si>
    <t>To Use Carbon Sequestration Click 'Link to Detail Sheet' in the Input Sheet Capital Cost Section</t>
  </si>
  <si>
    <t xml:space="preserve">H2A Default for 1500kg/day. Site Prep Using AACE* cost categories  for a “&gt;150psi, &gt;400F Gas Process”: Foundation: (% of process cost); Materials:  5% Labor: 6.65%.  Miscellaneous (% of process cost); Materials: 4% Labor: 3.2% </t>
  </si>
  <si>
    <t>H2A Default for 1500kg/day FC Prod.: $30,000.  Includes multiple visits to multiple agencies and a public review/ comment process.</t>
  </si>
  <si>
    <t>Future Distributed Natural Gas Steam Reformer (SMR) 1500kg/day</t>
  </si>
  <si>
    <t xml:space="preserve">The natural gas reforming process is based on 20-atm integrated membrane stream reformer (reforming catalyst, water gas shift catalyst, Pd-alloy membrane tubes integrated into a single vessel).  A 1:7.5 (by volume)admixture of reforming catalyst (Ni-Al-Ru at $150/kg, 2g/cc) and water gas shift catalyst(Fe/Cr Ox at $7.0/kg, 1 g/cc) is assumed.  Gas hourly specific space velocity (GHSV) of the reactor catalyst system is 1344 per hour and is based on a 50% reduction of combined reformer/WGS catalyst volume compared to a non-integrated natural gas steam reforming configuration.  The reactor vessel is based on a 4-pass annular heat exchange reformer configuration. Maximum process gas temperature is 550C.  
</t>
  </si>
  <si>
    <t xml:space="preserve">Natural gas and water are fed directly to the reactor at a 3:1 steam/C ratio without use of a pre-reformer.  The membrane separator tubes are modeled as thin Pd-alloy layer supported on 1.27cm diameter porous stainless steel support tubes.  Hydrogen permeance is 527scf/(hr*ft^2*atm^0.5).  Overall membrane surface area is 34.1ft^2 with a 90% hydrogen recovery. (The required membrane surface area is calculated by 1-D differential model based on a single pass, non-reacting chemistry, membrane separator configuration wherein reformate enters the membrane tubes and has H2 removed according to the permeance and differential hydrogen pressures across the membrane.) Cost of the Pd-coated porous stainless steel membrane tubes is estimated at $700/ft2 to be consistent with the DOE target of $1000/ft2 for a complete stand-alone membrane system (tubes plus housing, manifolds, etc.).
</t>
  </si>
  <si>
    <t xml:space="preserve">                       DIRECTED TECH                  Case Name: X:\DOE ETHANOL 2007 DISTRIBUTED REFORMING\REFORMER SYSTEMS ANALYSIS\SYSTEM 14 - NG INTREGRATED MEMBRANE REACTOR (FUTURE CASE) V4.HSC </t>
  </si>
  <si>
    <t xml:space="preserve">                                                      Date/Time: Tue Mar 11 18:51:55 2008                                   </t>
  </si>
  <si>
    <t>Air to burner (Material Stream): Worksheet, Attachments</t>
  </si>
  <si>
    <t xml:space="preserve">Material Stream: Air to burner                                                       Fluid Package: Basis-1                 </t>
  </si>
  <si>
    <t xml:space="preserve">Molar Flow (kgmole/h)            79.60             79.60                                                                    </t>
  </si>
  <si>
    <t xml:space="preserve">Mass Flow (kg/h)                 2296              2296                                                                     </t>
  </si>
  <si>
    <t xml:space="preserve">Std Ideal Liq Vol Flow (m3/h)    2.655             2.655                                                                    </t>
  </si>
  <si>
    <t xml:space="preserve">Heat Flow (kJ/h)                 -649.3            -649.3                                                                   </t>
  </si>
  <si>
    <t xml:space="preserve">Act. Volume Flow (m3/h)          1953              1953                                                                     </t>
  </si>
  <si>
    <t xml:space="preserve">Act. Gas Flow (ACT_m3/h)         1953              1953                                                                     </t>
  </si>
  <si>
    <t xml:space="preserve">Std. Gas Flow (STD_m3/h)         1882              1882                                                                     </t>
  </si>
  <si>
    <t xml:space="preserve">Oxygen                16.7160          0.2100           534.9120         0.2329           0.4702           0.1771           </t>
  </si>
  <si>
    <t xml:space="preserve">Nitrogen              62.8840          0.7900           1761.5695        0.7671           2.1846           0.8229           </t>
  </si>
  <si>
    <t xml:space="preserve">Total                 79.6000          1.0000           2296.4815        1.0000           2.6547           1.0000           </t>
  </si>
  <si>
    <t xml:space="preserve">UNIT OPERATIONS                                                                                                             </t>
  </si>
  <si>
    <t xml:space="preserve">FEED TO                                  PRODUCT FROM                             LOGICAL CONNECTION                        </t>
  </si>
  <si>
    <t xml:space="preserve">Compressor: Burner Air Fan                                                                                                  </t>
  </si>
  <si>
    <t xml:space="preserve">UTILITIES                                                                                                                   </t>
  </si>
  <si>
    <t xml:space="preserve">( No utilities reference this stream )                                                                                      </t>
  </si>
  <si>
    <t>Burner Exhaust (Material Stream): Worksheet, Attachments</t>
  </si>
  <si>
    <t xml:space="preserve">Temperature: (C)                 499.9             499.9                                                                    </t>
  </si>
  <si>
    <t xml:space="preserve">Molar Flow (kgmole/h)            104.7             104.7                                                                    </t>
  </si>
  <si>
    <t xml:space="preserve">Mass Flow (kg/h)                 2951              2951                                                                     </t>
  </si>
  <si>
    <t xml:space="preserve">Std Ideal Liq Vol Flow (m3/h)    3.446             3.446                                                                    </t>
  </si>
  <si>
    <t xml:space="preserve">Molar Enthalpy (kJ/kgmole)       -7.494e+004       -7.494e+004                                                              </t>
  </si>
  <si>
    <t xml:space="preserve">Heat Flow (kJ/h)                 -7.846e+006       -7.846e+006                                                              </t>
  </si>
  <si>
    <t xml:space="preserve">Molecular Weight                 28.19             28.19                                                                    </t>
  </si>
  <si>
    <t xml:space="preserve">Molar Density (kgmole/m3)        1.649e-002        1.649e-002                                                               </t>
  </si>
  <si>
    <t xml:space="preserve">Mass Density (kg/m3)             0.4647            0.4647                                                                   </t>
  </si>
  <si>
    <t xml:space="preserve">Act. Volume Flow (m3/h)          6349              6349                                                                     </t>
  </si>
  <si>
    <t xml:space="preserve">Mass Enthalpy (kJ/kg)            -2659             -2659                                                                    </t>
  </si>
  <si>
    <t xml:space="preserve">Mass Entropy (kJ/kg-C)           6.995             6.995                                                                    </t>
  </si>
  <si>
    <t xml:space="preserve">Heat Capacity (kJ/kgmole-C)      35.19             35.19                                                                    </t>
  </si>
  <si>
    <t xml:space="preserve">Lower Heating Value (kJ/kgmole)  0.5142            0.5142                                                                   </t>
  </si>
  <si>
    <t xml:space="preserve">Mass Lower Heating Value (kJ/kg) 1.824e-002        1.824e-002                                                               </t>
  </si>
  <si>
    <t xml:space="preserve">Partial Pressure of CO2 (kPa)    11.71             ---                                                                      </t>
  </si>
  <si>
    <t xml:space="preserve">Act. Gas Flow (ACT_m3/h)         6349              6349                                                                     </t>
  </si>
  <si>
    <t xml:space="preserve">Avg. Liq. Density (kgmole/m3)    30.38             30.38                                                                    </t>
  </si>
  <si>
    <t xml:space="preserve">Specific Heat (kJ/kgmole-C)      35.19             35.19                                                                    </t>
  </si>
  <si>
    <t xml:space="preserve">Std. Gas Flow (STD_m3/h)         2475              2475                                                                     </t>
  </si>
  <si>
    <t xml:space="preserve">Std. Ideal Liq. Mass Density (kg/m3) 856.2             856.2                                                                   </t>
  </si>
  <si>
    <t xml:space="preserve">Watson K                         6.618             6.618                                                                    </t>
  </si>
  <si>
    <t xml:space="preserve">Cp/(Cp - R)                      1.309             1.309                                                                    </t>
  </si>
  <si>
    <t xml:space="preserve">Cp/Cv                            1.310             1.310                                                                    </t>
  </si>
  <si>
    <t xml:space="preserve">Heat of Vap. (kJ/kgmole)         2.966e+004        ---                                                                      </t>
  </si>
  <si>
    <t xml:space="preserve">Kinematic Viscosity (cSt)        71.43             71.43                                                                    </t>
  </si>
  <si>
    <t xml:space="preserve">Molar Volume (m3/kgmole)         60.65             60.65                                                                    </t>
  </si>
  <si>
    <t xml:space="preserve">Mass Heat of Vap. (kJ/kg)        1052              ---                                                                      </t>
  </si>
  <si>
    <t xml:space="preserve">Thermal Conductivity (W/m-K)     5.615e-002        5.615e-002                                                               </t>
  </si>
  <si>
    <t xml:space="preserve">Viscosity (cP)                   3.320e-002        3.320e-002                                                               </t>
  </si>
  <si>
    <t xml:space="preserve">Cv (Semi-Ideal) (kJ/kgmole-C)    26.87             26.87                                                                    </t>
  </si>
  <si>
    <t xml:space="preserve">Mass Cv (Semi-Ideal) (kJ/kg-C)   0.9534            0.9534                                                                   </t>
  </si>
  <si>
    <t xml:space="preserve">Cv (kJ/kgmole-C)                 26.87             26.87                                                                    </t>
  </si>
  <si>
    <t xml:space="preserve">Mass Cv (kJ/kg-C)                0.9531            0.9531                                                                   </t>
  </si>
  <si>
    <t xml:space="preserve">Cv (Ent. Method) (kJ/kgmole-C)   26.83             26.83                                                                    </t>
  </si>
  <si>
    <t xml:space="preserve">Mass Cv (Ent. Method) (kJ/kg-C)  0.9518            0.9518                                                                   </t>
  </si>
  <si>
    <t xml:space="preserve">Cp/Cv (Ent. Method)              1.312             1.312                                                                    </t>
  </si>
  <si>
    <t xml:space="preserve">True VP at 37.8 C (kPa)          1.729e+005        1.729e+005                                                               </t>
  </si>
  <si>
    <t xml:space="preserve">Partial Pressure of H2S (kPa)    9.742e-005        ---                                                                      </t>
  </si>
  <si>
    <t xml:space="preserve">Oxygen                9.5736           0.0914           306.3544         0.1038           0.2693           0.0781           </t>
  </si>
  <si>
    <t xml:space="preserve">H2O                   20.4947          0.1958           369.2138         0.1251           0.3700           0.1073           </t>
  </si>
  <si>
    <t xml:space="preserve">H2S                   0.0001           0.0000           0.0033           0.0000           0.0000           0.0000           </t>
  </si>
  <si>
    <t xml:space="preserve">CO                    0.0000           0.0000           0.0002           0.0000           0.0000           0.0000           </t>
  </si>
  <si>
    <t xml:space="preserve">CO2                   11.5622          0.1104           508.8487         0.1724           0.6165           0.1789           </t>
  </si>
  <si>
    <t xml:space="preserve">Nitrogen              63.0572          0.6023           1766.4214        0.5986           2.1906           0.6356           </t>
  </si>
  <si>
    <t xml:space="preserve">Total                 104.6878         1.0000           2950.8417        1.0000           3.4464           1.0000           </t>
  </si>
  <si>
    <t xml:space="preserve">Heat Exchanger: Superheater (Not Used)   Cooler: Burner HX within Reactor         Adjust: ADJ-2                             </t>
  </si>
  <si>
    <t>Burner flame (Material Stream): Worksheet, Attachments</t>
  </si>
  <si>
    <t xml:space="preserve">Temperature: (C)                 1045              1045              1045              1045                                 </t>
  </si>
  <si>
    <t xml:space="preserve">Pressure: (kPa)                  108.0             108.0             108.0             108.0                                </t>
  </si>
  <si>
    <t xml:space="preserve">Molar Flow (kgmole/h)            104.7             104.7             0.0000            0.0000                               </t>
  </si>
  <si>
    <t xml:space="preserve">Mass Flow (kg/h)                 2951              2951              0.0000            0.0000                               </t>
  </si>
  <si>
    <t xml:space="preserve">Std Ideal Liq Vol Flow (m3/h)    3.446             3.446             0.0000            0.0000                               </t>
  </si>
  <si>
    <t xml:space="preserve">Molar Enthalpy (kJ/kgmole)       -5.473e+004       -5.473e+004       -5.473e+004       -5.473e+004                          </t>
  </si>
  <si>
    <t xml:space="preserve">Molar Entropy (kJ/kgmole-C)      216.7             216.7             216.7             216.7                                </t>
  </si>
  <si>
    <t xml:space="preserve">Heat Flow (kJ/h)                 -5.729e+006       -5.729e+006       0.0000            0.0000                               </t>
  </si>
  <si>
    <t xml:space="preserve">Molecular Weight                 28.19             28.19             28.19             28.19                                </t>
  </si>
  <si>
    <t xml:space="preserve">Molar Density (kgmole/m3)        9.851e-003        9.851e-003        9.851e-003        9.851e-003                           </t>
  </si>
  <si>
    <t xml:space="preserve">Mass Density (kg/m3)             0.2777            0.2777            0.2777            0.2777                               </t>
  </si>
  <si>
    <t xml:space="preserve">Act. Volume Flow (m3/h)          1.063e+004        1.063e+004        0.0000            0.0000                               </t>
  </si>
  <si>
    <t xml:space="preserve">Mass Enthalpy (kJ/kg)            -1942             -1942             -1942             -1942                                </t>
  </si>
  <si>
    <t xml:space="preserve">Mass Entropy (kJ/kg-C)           7.688             7.688             7.688             7.688                                </t>
  </si>
  <si>
    <t xml:space="preserve">Heat Capacity (kJ/kgmole-C)      38.76             38.76             38.76             38.76                                </t>
  </si>
  <si>
    <t xml:space="preserve">Mass Heat Capacity (kJ/kg-C)     1.375             1.375             1.375             1.375                                </t>
  </si>
  <si>
    <t xml:space="preserve">Lower Heating Value (kJ/kgmole)  0.5142            0.5142            0.5142            0.5142                               </t>
  </si>
  <si>
    <t xml:space="preserve">Mass Lower Heating Value (kJ/kg) 1.824e-002        1.824e-002        1.824e-002        1.824e-002                           </t>
  </si>
  <si>
    <t xml:space="preserve">Partial Pressure of CO2 (kPa)    11.93             ---               ---               ---                                  </t>
  </si>
  <si>
    <t xml:space="preserve">Act. Gas Flow (ACT_m3/h)         1.063e+004        1.063e+004        ---               ---                                  </t>
  </si>
  <si>
    <t xml:space="preserve">Avg. Liq. Density (kgmole/m3)    30.38             30.38             30.38             30.38                                </t>
  </si>
  <si>
    <t xml:space="preserve">Specific Heat (kJ/kgmole-C)      38.76             38.76             38.76             38.76                                </t>
  </si>
  <si>
    <t xml:space="preserve">Std. Gas Flow (STD_m3/h)         2475              2475              0.0000            0.0000                               </t>
  </si>
  <si>
    <t xml:space="preserve">Std. Ideal Liq. Mass Density (kg/m3) 856.2             856.2             856.2             856.2                               </t>
  </si>
  <si>
    <t xml:space="preserve">Watson K                         6.618             6.618             6.618             6.618                                </t>
  </si>
  <si>
    <t xml:space="preserve">Cp/Cv                            1.273             1.273             1.273             1.273                                </t>
  </si>
  <si>
    <t xml:space="preserve">Heat of Vap. (kJ/kgmole)         2.967e+004        ---               ---               ---                                  </t>
  </si>
  <si>
    <t xml:space="preserve">Kinematic Viscosity (cSt)        183.9             183.9             2.129             2.129                                </t>
  </si>
  <si>
    <t xml:space="preserve">Molar Volume (m3/kgmole)         101.5             101.5             101.5             101.5                                </t>
  </si>
  <si>
    <t xml:space="preserve">Mass Heat of Vap. (kJ/kg)        1053              ---               ---               ---                                  </t>
  </si>
  <si>
    <t xml:space="preserve">Thermal Conductivity (W/m-K)     8.499e-002        8.499e-002        7.429e-002        7.429e-002                           </t>
  </si>
  <si>
    <t xml:space="preserve">Viscosity (cP)                   5.107e-002        5.107e-002        5.912e-004        5.912e-004                           </t>
  </si>
  <si>
    <t xml:space="preserve">Cv (Semi-Ideal) (kJ/kgmole-C)    30.45             30.45             30.45             30.45                                </t>
  </si>
  <si>
    <t xml:space="preserve">Mass Cv (Semi-Ideal) (kJ/kg-C)   1.080             1.080             1.080             1.080                                </t>
  </si>
  <si>
    <t xml:space="preserve">Cv (kJ/kgmole-C)                 30.45             30.45             30.45             30.45                                </t>
  </si>
  <si>
    <t xml:space="preserve">Mass Cv (kJ/kg-C)                1.080             1.080             1.080             1.080                                </t>
  </si>
  <si>
    <t xml:space="preserve">Cv (Ent. Method) (kJ/kgmole-C)   30.41             30.41             30.41             -10.19                               </t>
  </si>
  <si>
    <t xml:space="preserve">Mass Cv (Ent. Method) (kJ/kg-C)  1.079             1.079             1.079             -0.3617                              </t>
  </si>
  <si>
    <t xml:space="preserve">Cp/Cv (Ent. Method)              1.275             1.275             1.275             -3.802                               </t>
  </si>
  <si>
    <t xml:space="preserve">True VP at 37.8 C (kPa)          1.729e+005        1.729e+005        1.729e+005        1.729e+005                           </t>
  </si>
  <si>
    <t xml:space="preserve">Partial Pressure of H2S (kPa)    9.926e-005        ---               ---               ---                                  </t>
  </si>
  <si>
    <t xml:space="preserve">Oxygen                0.0000           0.0914           0.0000           0.1038           0.0000           0.0781           </t>
  </si>
  <si>
    <t xml:space="preserve">H2O                   0.0000           0.1958           0.0000           0.1251           0.0000           0.1073           </t>
  </si>
  <si>
    <t xml:space="preserve">CO2                   0.0000           0.1104           0.0000           0.1724           0.0000           0.1789           </t>
  </si>
  <si>
    <t xml:space="preserve">Nitrogen              0.0000           0.6023           0.0000           0.5986           0.0000           0.6356           </t>
  </si>
  <si>
    <t xml:space="preserve">H2S                                     1.000                       1.000                       1.000                       </t>
  </si>
  <si>
    <t xml:space="preserve">Cooler: Heat loss block                  Gibbs Reactor: Burner                                                              </t>
  </si>
  <si>
    <t>Burner fuel (Material Stream): Worksheet, Attachments</t>
  </si>
  <si>
    <t xml:space="preserve">Material Stream: Burner fuel                                                         Fluid Package: Basis-1                 </t>
  </si>
  <si>
    <t xml:space="preserve">Temperature: (C)                 238.2             238.2                                                                    </t>
  </si>
  <si>
    <t xml:space="preserve">Pressure: (kPa)                  110.0             110.0                                                                    </t>
  </si>
  <si>
    <t xml:space="preserve">Molar Flow (kgmole/h)            106.5             106.5                                                                    </t>
  </si>
  <si>
    <t xml:space="preserve">Std Ideal Liq Vol Flow (m3/h)    3.587             3.587                                                                    </t>
  </si>
  <si>
    <t xml:space="preserve">Molar Enthalpy (kJ/kgmole)       -5.381e+004       -5.381e+004                                                              </t>
  </si>
  <si>
    <t xml:space="preserve">Molar Entropy (kJ/kgmole-C)      182.2             182.2                                                                    </t>
  </si>
  <si>
    <t xml:space="preserve">Heat Flow (kJ/h)                 -5.729e+006       -5.729e+006                                                              </t>
  </si>
  <si>
    <t xml:space="preserve">Molecular Weight                 27.72             27.72                                                                    </t>
  </si>
  <si>
    <t xml:space="preserve">Molar Density (kgmole/m3)        2.587e-002        2.587e-002                                                               </t>
  </si>
  <si>
    <t xml:space="preserve">Mass Density (kg/m3)             0.7171            0.7171                                                                   </t>
  </si>
  <si>
    <t xml:space="preserve">Act. Volume Flow (m3/h)          4115              4115                                                                     </t>
  </si>
  <si>
    <t xml:space="preserve">Mass Enthalpy (kJ/kg)            -1942             -1942                                                                    </t>
  </si>
  <si>
    <t xml:space="preserve">Mass Entropy (kJ/kg-C)           6.575             6.575                                                                    </t>
  </si>
  <si>
    <t xml:space="preserve">Heat Capacity (kJ/kgmole-C)      32.53             32.53                                                                    </t>
  </si>
  <si>
    <t xml:space="preserve">Mass Heat Capacity (kJ/kg-C)     1.174             1.174                                                                    </t>
  </si>
  <si>
    <t xml:space="preserve">Lower Heating Value (kJ/kgmole)  2.871e+004        2.871e+004                                                               </t>
  </si>
  <si>
    <t xml:space="preserve">Mass Lower Heating Value (kJ/kg) 1036              1036                                                                     </t>
  </si>
  <si>
    <t xml:space="preserve">Partial Pressure of CO2 (kPa)    9.006             ---                                                                      </t>
  </si>
  <si>
    <t xml:space="preserve">Act. Gas Flow (ACT_m3/h)         4115              4115                                                                     </t>
  </si>
  <si>
    <t xml:space="preserve">Avg. Liq. Density (kgmole/m3)    29.68             29.68                                                                    </t>
  </si>
  <si>
    <t xml:space="preserve">Specific Heat (kJ/kgmole-C)      32.53             32.53                                                                    </t>
  </si>
  <si>
    <t xml:space="preserve">Std. Gas Flow (STD_m3/h)         2517              2517                                                                     </t>
  </si>
  <si>
    <t xml:space="preserve">Std. Ideal Liq. Mass Density (kg/m3) 822.6             822.6                                                                   </t>
  </si>
  <si>
    <t xml:space="preserve">Watson K                         6.695             6.695                                                                    </t>
  </si>
  <si>
    <t xml:space="preserve">Cp/(Cp - R)                      1.343             1.343                                                                    </t>
  </si>
  <si>
    <t xml:space="preserve">Cp/Cv                            1.345             1.345                                                                    </t>
  </si>
  <si>
    <t xml:space="preserve">Heat of Vap. (kJ/kgmole)         2.900e+004        ---                                                                      </t>
  </si>
  <si>
    <t xml:space="preserve">Kinematic Viscosity (cSt)        34.84             35.34                                                                    </t>
  </si>
  <si>
    <t xml:space="preserve">Molar Volume (m3/kgmole)         38.65             38.65                                                                    </t>
  </si>
  <si>
    <t xml:space="preserve">Mass Heat of Vap. (kJ/kg)        1046              ---                                                                      </t>
  </si>
  <si>
    <t xml:space="preserve">Thermal Conductivity (W/m-K)     4.271e-002        4.271e-002                                                               </t>
  </si>
  <si>
    <t xml:space="preserve">Viscosity (cP)                   2.498e-002        2.534e-002                                                               </t>
  </si>
  <si>
    <t xml:space="preserve">Cv (Semi-Ideal) (kJ/kgmole-C)    24.22             24.22                                                                    </t>
  </si>
  <si>
    <t xml:space="preserve">Mass Cv (Semi-Ideal) (kJ/kg-C)   0.8738            0.8738                                                                   </t>
  </si>
  <si>
    <t xml:space="preserve">Cv (kJ/kgmole-C)                 24.19             24.19                                                                    </t>
  </si>
  <si>
    <t xml:space="preserve">Mass Cv (kJ/kg-C)                0.8729            0.8729                                                                   </t>
  </si>
  <si>
    <t xml:space="preserve">Cv (Ent. Method) (kJ/kgmole-C)   24.17             24.17                                                                    </t>
  </si>
  <si>
    <t xml:space="preserve">Mass Cv (Ent. Method) (kJ/kg-C)  0.8719            0.8719                                                                   </t>
  </si>
  <si>
    <t xml:space="preserve">True VP at 37.8 C (kPa)          2.040e+005        2.040e+005                                                               </t>
  </si>
  <si>
    <t xml:space="preserve">Partial Pressure of H2S (kPa)    3.977e-005        ---                                                                      </t>
  </si>
  <si>
    <t xml:space="preserve">Methane               2.7295           0.0256           43.7898          0.0148           0.1463           0.0408           </t>
  </si>
  <si>
    <t xml:space="preserve">Oxygen                16.8122          0.1579           537.9902         0.1823           0.4729           0.1318           </t>
  </si>
  <si>
    <t xml:space="preserve">Hydrogen              3.4430           0.0323           6.9411           0.0024           0.0994           0.0277           </t>
  </si>
  <si>
    <t xml:space="preserve">H2O                   11.5925          0.1089           208.8398         0.0708           0.2093           0.0583           </t>
  </si>
  <si>
    <t xml:space="preserve">H2S                   0.0000           0.0000           0.0013           0.0000           0.0000           0.0000           </t>
  </si>
  <si>
    <t xml:space="preserve">E-Mercaptan           0.0001           0.0000           0.0036           0.0000           0.0000           0.0000           </t>
  </si>
  <si>
    <t xml:space="preserve">CO                    0.1157           0.0011           3.2417           0.0011           0.0041           0.0011           </t>
  </si>
  <si>
    <t xml:space="preserve">CO2                   8.7168           0.0819           383.6242         0.1300           0.4648           0.1296           </t>
  </si>
  <si>
    <t xml:space="preserve">Nitrogen              63.0572          0.5923           1766.4214        0.5986           2.1906           0.6107           </t>
  </si>
  <si>
    <t xml:space="preserve">Total                 106.4671         1.0000           2950.8532        1.0000           3.5872           1.0000           </t>
  </si>
  <si>
    <t xml:space="preserve">Gibbs Reactor: Burner                    Mixer: Burner premixer                                                             </t>
  </si>
  <si>
    <t>Burner Gas (Material Stream): Worksheet, Attachments</t>
  </si>
  <si>
    <t xml:space="preserve">Temperature: (C)                 1036              1036                                                                     </t>
  </si>
  <si>
    <t xml:space="preserve">Pressure: (kPa)                  108.0             108.0                                                                    </t>
  </si>
  <si>
    <t xml:space="preserve">Molar Enthalpy (kJ/kgmole)       -5.509e+004       -5.509e+004                                                              </t>
  </si>
  <si>
    <t xml:space="preserve">Molar Entropy (kJ/kgmole-C)      216.4             216.4                                                                    </t>
  </si>
  <si>
    <t xml:space="preserve">Heat Flow (kJ/h)                 -5.767e+006       -5.767e+006                                                              </t>
  </si>
  <si>
    <t xml:space="preserve">Molar Density (kgmole/m3)        9.922e-003        9.922e-003                                                               </t>
  </si>
  <si>
    <t xml:space="preserve">Mass Density (kg/m3)             0.2797            0.2797                                                                   </t>
  </si>
  <si>
    <t xml:space="preserve">Act. Volume Flow (m3/h)          1.055e+004        1.055e+004                                                               </t>
  </si>
  <si>
    <t xml:space="preserve">Mass Enthalpy (kJ/kg)            -1954             -1954                                                                    </t>
  </si>
  <si>
    <t xml:space="preserve">Mass Entropy (kJ/kg-C)           7.679             7.679                                                                    </t>
  </si>
  <si>
    <t xml:space="preserve">Heat Capacity (kJ/kgmole-C)      38.71             38.71                                                                    </t>
  </si>
  <si>
    <t xml:space="preserve">Mass Heat Capacity (kJ/kg-C)     1.373             1.373                                                                    </t>
  </si>
  <si>
    <t xml:space="preserve">Partial Pressure of CO2 (kPa)    11.93             ---                                                                      </t>
  </si>
  <si>
    <t xml:space="preserve">Act. Gas Flow (ACT_m3/h)         1.055e+004        1.055e+004                                                               </t>
  </si>
  <si>
    <t xml:space="preserve">Specific Heat (kJ/kgmole-C)      38.71             38.71                                                                    </t>
  </si>
  <si>
    <t xml:space="preserve">Cp/(Cp - R)                      1.274             1.274                                                                    </t>
  </si>
  <si>
    <t xml:space="preserve">Cp/Cv                            1.274             1.274                                                                    </t>
  </si>
  <si>
    <t xml:space="preserve">Heat of Vap. (kJ/kgmole)         2.967e+004        ---                                                                      </t>
  </si>
  <si>
    <t xml:space="preserve">Kinematic Viscosity (cSt)        181.5             181.5                                                                    </t>
  </si>
  <si>
    <t xml:space="preserve">Molar Volume (m3/kgmole)         100.8             100.8                                                                    </t>
  </si>
  <si>
    <t xml:space="preserve">Mass Heat of Vap. (kJ/kg)        1053              ---                                                                      </t>
  </si>
  <si>
    <t xml:space="preserve">Thermal Conductivity (W/m-K)     8.464e-002        8.464e-002                                                               </t>
  </si>
  <si>
    <t xml:space="preserve">Viscosity (cP)                   5.075e-002        5.075e-002                                                               </t>
  </si>
  <si>
    <t xml:space="preserve">Cv (Semi-Ideal) (kJ/kgmole-C)    30.39             30.39                                                                    </t>
  </si>
  <si>
    <t xml:space="preserve">Mass Cv (Semi-Ideal) (kJ/kg-C)   1.078             1.078                                                                    </t>
  </si>
  <si>
    <t xml:space="preserve">Cv (kJ/kgmole-C)                 30.39             30.39                                                                    </t>
  </si>
  <si>
    <t xml:space="preserve">Mass Cv (kJ/kg-C)                1.078             1.078                                                                    </t>
  </si>
  <si>
    <t xml:space="preserve">Cv (Ent. Method) (kJ/kgmole-C)   30.35             30.35                                                                    </t>
  </si>
  <si>
    <t xml:space="preserve">Mass Cv (Ent. Method) (kJ/kg-C)  1.077             1.077                                                                    </t>
  </si>
  <si>
    <t xml:space="preserve">Cp/Cv (Ent. Method)              1.275             1.275                                                                    </t>
  </si>
  <si>
    <t xml:space="preserve">Partial Pressure of H2S (kPa)    9.926e-005        ---                                                                      </t>
  </si>
  <si>
    <t xml:space="preserve">Cooler: Burner HX within Reactor         Cooler: Heat loss block                                                            </t>
  </si>
  <si>
    <t>Burner Gas to Ambient (Material Stream): Worksheet, Attachments</t>
  </si>
  <si>
    <t xml:space="preserve">Material Stream: Burner Gas to Ambient                                               Fluid Package: Basis-1                 </t>
  </si>
  <si>
    <t xml:space="preserve">Temperature: (C)                 168.8             168.8                                                                    </t>
  </si>
  <si>
    <t xml:space="preserve">Molar Enthalpy (kJ/kgmole)       -8.613e+004       -8.613e+004                                                              </t>
  </si>
  <si>
    <t xml:space="preserve">Molar Entropy (kJ/kgmole-C)      178.7             178.7                                                                    </t>
  </si>
  <si>
    <t xml:space="preserve">Heat Flow (kJ/h)                 -9.017e+006       -9.017e+006                                                              </t>
  </si>
  <si>
    <t xml:space="preserve">Molar Density (kgmole/m3)        2.778e-002        2.778e-002                                                               </t>
  </si>
  <si>
    <t xml:space="preserve">Mass Density (kg/m3)             0.7829            0.7829                                                                   </t>
  </si>
  <si>
    <t xml:space="preserve">Act. Volume Flow (m3/h)          3769              3769                                                                     </t>
  </si>
  <si>
    <t xml:space="preserve">Mass Enthalpy (kJ/kg)            -3056             -3056                                                                    </t>
  </si>
  <si>
    <t xml:space="preserve">Mass Entropy (kJ/kg-C)           6.338             6.338                                                                    </t>
  </si>
  <si>
    <t xml:space="preserve">Heat Capacity (kJ/kgmole-C)      32.34             32.34                                                                    </t>
  </si>
  <si>
    <t xml:space="preserve">Mass Heat Capacity (kJ/kg-C)     1.147             1.147                                                                    </t>
  </si>
  <si>
    <t xml:space="preserve">Partial Pressure of CO2 (kPa)    11.27             ---                                                                      </t>
  </si>
  <si>
    <t xml:space="preserve">Act. Gas Flow (ACT_m3/h)         3769              3769                                                                     </t>
  </si>
  <si>
    <t xml:space="preserve">Specific Heat (kJ/kgmole-C)      32.34             32.34                                                                    </t>
  </si>
  <si>
    <t xml:space="preserve">Z Factor                         0.9993            0.9993                                                                   </t>
  </si>
  <si>
    <t xml:space="preserve">Cp/(Cp - R)                      1.346             1.346                                                                    </t>
  </si>
  <si>
    <t xml:space="preserve">Cp/Cv                            1.349             1.349                                                                    </t>
  </si>
  <si>
    <t xml:space="preserve">Heat of Vap. (kJ/kgmole)         2.963e+004        ---                                                                      </t>
  </si>
  <si>
    <t xml:space="preserve">Kinematic Viscosity (cSt)        28.26             28.26                                                                    </t>
  </si>
  <si>
    <t xml:space="preserve">Molar Volume (m3/kgmole)         36.00             36.00                                                                    </t>
  </si>
  <si>
    <t xml:space="preserve">Mass Heat of Vap. (kJ/kg)        1051              ---                                                                      </t>
  </si>
  <si>
    <t xml:space="preserve">Thermal Conductivity (W/m-K)     3.366e-002        3.366e-002                                                               </t>
  </si>
  <si>
    <t xml:space="preserve">Viscosity (cP)                   2.213e-002        2.213e-002                                                               </t>
  </si>
  <si>
    <t xml:space="preserve">Cv (Semi-Ideal) (kJ/kgmole-C)    24.02             24.02                                                                    </t>
  </si>
  <si>
    <t xml:space="preserve">Mass Cv (Semi-Ideal) (kJ/kg-C)   0.8523            0.8523                                                                   </t>
  </si>
  <si>
    <t xml:space="preserve">Cv (kJ/kgmole-C)                 23.97             23.97                                                                    </t>
  </si>
  <si>
    <t xml:space="preserve">Mass Cv (kJ/kg-C)                0.8505            0.8505                                                                   </t>
  </si>
  <si>
    <t xml:space="preserve">Cv (Ent. Method) (kJ/kgmole-C)   24.20             24.20                                                                    </t>
  </si>
  <si>
    <t xml:space="preserve">Mass Cv (Ent. Method) (kJ/kg-C)  0.8587            0.8587                                                                   </t>
  </si>
  <si>
    <t xml:space="preserve">Cp/Cv (Ent. Method)              1.336             1.336                                                                    </t>
  </si>
  <si>
    <t xml:space="preserve">Partial Pressure of H2S (kPa)    9.375e-005        ---                                                                      </t>
  </si>
  <si>
    <t xml:space="preserve">                                         Heat Exchanger: Air Preheater                                                      </t>
  </si>
  <si>
    <t>City NG (Material Stream): Worksheet, Attachments</t>
  </si>
  <si>
    <t xml:space="preserve">Molar Flow (kgmole/h)            9.580             9.580                                                                    </t>
  </si>
  <si>
    <t xml:space="preserve">Mass Flow (kg/h)                 160.0             160.0                                                                    </t>
  </si>
  <si>
    <t xml:space="preserve">Std Ideal Liq Vol Flow (m3/h)    0.5076            0.5076                                                                   </t>
  </si>
  <si>
    <t xml:space="preserve">Molar Enthalpy (kJ/kgmole)       -7.603e+004       -7.603e+004                                                              </t>
  </si>
  <si>
    <t xml:space="preserve">Molar Entropy (kJ/kgmole-C)      184.2             184.2                                                                    </t>
  </si>
  <si>
    <t xml:space="preserve">Heat Flow (kJ/h)                 -7.284e+005       -7.284e+005                                                              </t>
  </si>
  <si>
    <t xml:space="preserve">Molecular Weight                 16.70             16.70                                                                    </t>
  </si>
  <si>
    <t xml:space="preserve">Molar Density (kgmole/m3)        4.083e-002        4.083e-002                                                               </t>
  </si>
  <si>
    <t xml:space="preserve">Mass Density (kg/m3)             0.6819            0.6819                                                                   </t>
  </si>
  <si>
    <t xml:space="preserve">Act. Volume Flow (m3/h)          234.6             234.6                                                                    </t>
  </si>
  <si>
    <t xml:space="preserve">Mass Enthalpy (kJ/kg)            -4552             -4552                                                                    </t>
  </si>
  <si>
    <t xml:space="preserve">Mass Entropy (kJ/kg-C)           11.03             11.03                                                                    </t>
  </si>
  <si>
    <t xml:space="preserve">Heat Capacity (kJ/kgmole-C)      35.90             35.90                                                                    </t>
  </si>
  <si>
    <t xml:space="preserve">Mass Heat Capacity (kJ/kg-C)     2.149             2.149                                                                    </t>
  </si>
  <si>
    <t xml:space="preserve">Partial Pressure of CO2 (kPa)    1.014             ---                                                                      </t>
  </si>
  <si>
    <t xml:space="preserve">Act. Gas Flow (ACT_m3/h)         234.6             234.6                                                                    </t>
  </si>
  <si>
    <t xml:space="preserve">Avg. Liq. Density (kgmole/m3)    18.87             18.87                                                                    </t>
  </si>
  <si>
    <t xml:space="preserve">Specific Heat (kJ/kgmole-C)      35.90             35.90                                                                    </t>
  </si>
  <si>
    <t xml:space="preserve">Std. Gas Flow (STD_m3/h)         226.5             226.5                                                                    </t>
  </si>
  <si>
    <t xml:space="preserve">Std. Ideal Liq. Mass Density (kg/m3) 315.2             315.2                                                                   </t>
  </si>
  <si>
    <t xml:space="preserve">Z Factor                         0.9978            0.9978                                                                   </t>
  </si>
  <si>
    <t xml:space="preserve">Watson K                         18.55             18.55                                                                    </t>
  </si>
  <si>
    <t xml:space="preserve">Cp/Cv                            1.305             1.305                                                                    </t>
  </si>
  <si>
    <t xml:space="preserve">Heat of Vap. (kJ/kgmole)         1.239e+004        ---                                                                      </t>
  </si>
  <si>
    <t xml:space="preserve">Kinematic Viscosity (cSt)        16.79             16.79                                                                    </t>
  </si>
  <si>
    <t xml:space="preserve">Molar Volume (m3/kgmole)         24.49             24.49                                                                    </t>
  </si>
  <si>
    <t xml:space="preserve">Mass Heat of Vap. (kJ/kg)        742.1             ---                                                                      </t>
  </si>
  <si>
    <t xml:space="preserve">Thermal Conductivity (W/m-K)     3.325e-002        3.325e-002                                                               </t>
  </si>
  <si>
    <t xml:space="preserve">Viscosity (cP)                   1.145e-002        1.145e-002                                                               </t>
  </si>
  <si>
    <t xml:space="preserve">Cv (Semi-Ideal) (kJ/kgmole-C)    27.58             27.58                                                                    </t>
  </si>
  <si>
    <t xml:space="preserve">Mass Cv (Semi-Ideal) (kJ/kg-C)   1.652             1.652                                                                    </t>
  </si>
  <si>
    <t xml:space="preserve">Cv (kJ/kgmole-C)                 27.50             27.50                                                                    </t>
  </si>
  <si>
    <t xml:space="preserve">Mass Cv (kJ/kg-C)                1.647             1.647                                                                    </t>
  </si>
  <si>
    <t xml:space="preserve">Cv (Ent. Method) (kJ/kgmole-C)   27.46             27.46                                                                    </t>
  </si>
  <si>
    <t xml:space="preserve">Mass Cv (Ent. Method) (kJ/kg-C)  1.644             1.644                                                                    </t>
  </si>
  <si>
    <t xml:space="preserve">Cp/Cv (Ent. Method)              1.307             1.307                                                                    </t>
  </si>
  <si>
    <t xml:space="preserve">Partial Pressure of H2S (kPa)    4.058e-004        ---                                                                      </t>
  </si>
  <si>
    <t xml:space="preserve">Methane               9.2133           0.9617           147.8084         0.9238           0.4937           0.9727           </t>
  </si>
  <si>
    <t xml:space="preserve">Oxygen                0.0962           0.0100           3.0782           0.0192           0.0027           0.0053           </t>
  </si>
  <si>
    <t xml:space="preserve">H2O                   0.0010           0.0001           0.0173           0.0001           0.0000           0.0000           </t>
  </si>
  <si>
    <t xml:space="preserve">CO2                   0.0962           0.0100           4.2348           0.0265           0.0051           0.0101           </t>
  </si>
  <si>
    <t xml:space="preserve">Nitrogen              0.1732           0.0181           4.8519           0.0303           0.0060           0.0119           </t>
  </si>
  <si>
    <t xml:space="preserve">Total                 9.5800           1.0000           159.9955         1.0000           0.5076           1.0000           </t>
  </si>
  <si>
    <t xml:space="preserve">Compressor: NG Compressor                                                         SpreadSheetCell: Efficiency@B1            </t>
  </si>
  <si>
    <t>Compressor Outlet (Material Stream): Worksheet, Attachments</t>
  </si>
  <si>
    <t xml:space="preserve">Temperature: (C)                 321.3             321.3                                                                    </t>
  </si>
  <si>
    <t xml:space="preserve">Molar Enthalpy (kJ/kgmole)       -6.336e+004       -6.336e+004                                                              </t>
  </si>
  <si>
    <t xml:space="preserve">Molar Entropy (kJ/kgmole-C)      187.6             187.6                                                                    </t>
  </si>
  <si>
    <t xml:space="preserve">Heat Flow (kJ/h)                 -6.070e+005       -6.070e+005                                                              </t>
  </si>
  <si>
    <t xml:space="preserve">Molar Density (kgmole/m3)        0.4463            0.4463                                                                   </t>
  </si>
  <si>
    <t xml:space="preserve">Mass Density (kg/m3)             7.453             7.453                                                                    </t>
  </si>
  <si>
    <t xml:space="preserve">Act. Volume Flow (m3/h)          21.47             21.47                                                                    </t>
  </si>
  <si>
    <t xml:space="preserve">Mass Enthalpy (kJ/kg)            -3794             -3794                                                                    </t>
  </si>
  <si>
    <t xml:space="preserve">Mass Entropy (kJ/kg-C)           11.23             11.23                                                                    </t>
  </si>
  <si>
    <t xml:space="preserve">Heat Capacity (kJ/kgmole-C)      51.76             51.76                                                                    </t>
  </si>
  <si>
    <t xml:space="preserve">Mass Heat Capacity (kJ/kg-C)     3.099             3.099                                                                    </t>
  </si>
  <si>
    <t xml:space="preserve">Partial Pressure of CO2 (kPa)    22.19             ---                                                                      </t>
  </si>
  <si>
    <t xml:space="preserve">Act. Gas Flow (ACT_m3/h)         21.47             21.47                                                                    </t>
  </si>
  <si>
    <t xml:space="preserve">Specific Heat (kJ/kgmole-C)      51.76             51.76                                                                    </t>
  </si>
  <si>
    <t xml:space="preserve">Cp/(Cp - R)                      1.191             1.191                                                                    </t>
  </si>
  <si>
    <t xml:space="preserve">Cp/Cv                            1.201             1.201                                                                    </t>
  </si>
  <si>
    <t xml:space="preserve">Heat of Vap. (kJ/kgmole)         9135              ---                                                                      </t>
  </si>
  <si>
    <t xml:space="preserve">Kinematic Viscosity (cSt)        2.648             2.648                                                                    </t>
  </si>
  <si>
    <t xml:space="preserve">Molar Volume (m3/kgmole)         2.241             2.241                                                                    </t>
  </si>
  <si>
    <t xml:space="preserve">Mass Heat of Vap. (kJ/kg)        547.0             ---                                                                      </t>
  </si>
  <si>
    <t xml:space="preserve">Thermal Conductivity (W/m-K)     8.301e-002        8.301e-002                                                               </t>
  </si>
  <si>
    <t xml:space="preserve">Viscosity (cP)                   1.974e-002        1.974e-002                                                               </t>
  </si>
  <si>
    <t xml:space="preserve">Cv (Semi-Ideal) (kJ/kgmole-C)    43.45             43.45                                                                    </t>
  </si>
  <si>
    <t xml:space="preserve">Mass Cv (Semi-Ideal) (kJ/kg-C)   2.602             2.602                                                                    </t>
  </si>
  <si>
    <t xml:space="preserve">Cv (kJ/kgmole-C)                 43.10             43.10                                                                    </t>
  </si>
  <si>
    <t xml:space="preserve">Mass Cv (kJ/kg-C)                2.581             2.581                                                                    </t>
  </si>
  <si>
    <t xml:space="preserve">Cv (Ent. Method) (kJ/kgmole-C)   43.04             43.04                                                                    </t>
  </si>
  <si>
    <t xml:space="preserve">Mass Cv (Ent. Method) (kJ/kg-C)  2.577             2.577                                                                    </t>
  </si>
  <si>
    <t xml:space="preserve">Cp/Cv (Ent. Method)              1.203             1.203                                                                    </t>
  </si>
  <si>
    <t xml:space="preserve">Partial Pressure of H2S (kPa)    8.875e-003        ---                                                                      </t>
  </si>
  <si>
    <t xml:space="preserve">Mixer: Reformer Premixer                 Compressor: NG Compressor                                                          </t>
  </si>
  <si>
    <t>Condenser air (Material Stream): Worksheet, Attachments</t>
  </si>
  <si>
    <t xml:space="preserve">Temperature: (C)                 36.87             36.87                                                                    </t>
  </si>
  <si>
    <t xml:space="preserve">Pressure: (kPa)                  112.0             112.0                                                                    </t>
  </si>
  <si>
    <t xml:space="preserve">Molar Enthalpy (kJ/kgmole)       338.4             338.4                                                                    </t>
  </si>
  <si>
    <t xml:space="preserve">Heat Flow (kJ/h)                 2.694e+004        2.694e+004                                                               </t>
  </si>
  <si>
    <t xml:space="preserve">Molar Density (kgmole/m3)        4.347e-002        4.347e-002                                                               </t>
  </si>
  <si>
    <t xml:space="preserve">Mass Density (kg/m3)             1.254             1.254                                                                    </t>
  </si>
  <si>
    <t xml:space="preserve">Act. Volume Flow (m3/h)          1831              1831                                                                     </t>
  </si>
  <si>
    <t xml:space="preserve">Mass Enthalpy (kJ/kg)            11.73             11.73                                                                    </t>
  </si>
  <si>
    <t xml:space="preserve">Mass Entropy (kJ/kg-C)           5.408             5.408                                                                    </t>
  </si>
  <si>
    <t xml:space="preserve">Act. Gas Flow (ACT_m3/h)         1831              1831                                                                     </t>
  </si>
  <si>
    <t xml:space="preserve">Cp/Cv                            1.399             1.399                                                                    </t>
  </si>
  <si>
    <t xml:space="preserve">Kinematic Viscosity (cSt)        15.46             15.46                                                                    </t>
  </si>
  <si>
    <t xml:space="preserve">Molar Volume (m3/kgmole)         23.00             23.00                                                                    </t>
  </si>
  <si>
    <t xml:space="preserve">Thermal Conductivity (W/m-K)     2.678e-002        2.678e-002                                                               </t>
  </si>
  <si>
    <t xml:space="preserve">Viscosity (cP)                   1.939e-002        1.939e-002                                                               </t>
  </si>
  <si>
    <t xml:space="preserve">Cv (Semi-Ideal) (kJ/kgmole-C)    20.98             20.98                                                                    </t>
  </si>
  <si>
    <t xml:space="preserve">Mass Cv (Semi-Ideal) (kJ/kg-C)   0.7271            0.7271                                                                   </t>
  </si>
  <si>
    <t xml:space="preserve">Mass Cv (kJ/kg-C)                0.7255            0.7255                                                                   </t>
  </si>
  <si>
    <t xml:space="preserve">Cv (Ent. Method) (kJ/kgmole-C)   20.90             20.90                                                                    </t>
  </si>
  <si>
    <t xml:space="preserve">Mass Cv (Ent. Method) (kJ/kg-C)  0.7243            0.7243                                                                   </t>
  </si>
  <si>
    <t xml:space="preserve">Heat Exchanger: Air Preheater            Compressor: Burner Air Fan                                                         </t>
  </si>
  <si>
    <t>Cooled 300psi H2 (Material Stream): Worksheet, Attachments</t>
  </si>
  <si>
    <t xml:space="preserve">Material Stream: Cooled 300psi H2                                                    Fluid Package: Basis-1                 </t>
  </si>
  <si>
    <t xml:space="preserve">Temperature: (C)                 40.00             40.00                                                                    </t>
  </si>
  <si>
    <t xml:space="preserve">Pressure: (kPa)                  2000              2000                                                                     </t>
  </si>
  <si>
    <t xml:space="preserve">Molar Flow (kgmole/h)            30.99             30.99                                                                    </t>
  </si>
  <si>
    <t xml:space="preserve">Mass Flow (kg/h)                 62.47             62.47                                                                    </t>
  </si>
  <si>
    <t xml:space="preserve">Std Ideal Liq Vol Flow (m3/h)    0.8942            0.8942                                                                   </t>
  </si>
  <si>
    <t xml:space="preserve">Molar Enthalpy (kJ/kgmole)       427.2             427.2                                                                    </t>
  </si>
  <si>
    <t xml:space="preserve">Molar Entropy (kJ/kgmole-C)      99.55             99.55                                                                    </t>
  </si>
  <si>
    <t xml:space="preserve">Heat Flow (kJ/h)                 1.324e+004        1.324e+004                                                               </t>
  </si>
  <si>
    <t xml:space="preserve">Molar Density (kgmole/m3)        0.7627            0.7627                                                                   </t>
  </si>
  <si>
    <t xml:space="preserve">Mass Density (kg/m3)             1.538             1.538                                                                    </t>
  </si>
  <si>
    <t xml:space="preserve">Act. Volume Flow (m3/h)          40.63             40.63                                                                    </t>
  </si>
  <si>
    <t xml:space="preserve">Mass Enthalpy (kJ/kg)            211.9             211.9                                                                    </t>
  </si>
  <si>
    <t xml:space="preserve">Mass Entropy (kJ/kg-C)           49.38             49.38                                                                    </t>
  </si>
  <si>
    <t xml:space="preserve">Act. Gas Flow (ACT_m3/h)         40.63             40.63                                                                    </t>
  </si>
  <si>
    <t xml:space="preserve">Std. Gas Flow (STD_m3/h)         732.7             732.7                                                                    </t>
  </si>
  <si>
    <t xml:space="preserve">Cp/Cv                            1.417             1.417                                                                    </t>
  </si>
  <si>
    <t xml:space="preserve">Kinematic Viscosity (cSt)        5.803             5.986                                                                    </t>
  </si>
  <si>
    <t xml:space="preserve">Molar Volume (m3/kgmole)         1.311             1.311                                                                    </t>
  </si>
  <si>
    <t xml:space="preserve">Thermal Conductivity (W/m-K)     0.1827            0.1829                                                                   </t>
  </si>
  <si>
    <t xml:space="preserve">Viscosity (cP)                   8.924e-003        9.205e-003                                                               </t>
  </si>
  <si>
    <t xml:space="preserve">Cv (Semi-Ideal) (kJ/kgmole-C)    20.28             20.28                                                                    </t>
  </si>
  <si>
    <t xml:space="preserve">Mass Cv (Semi-Ideal) (kJ/kg-C)   10.06             10.06                                                                    </t>
  </si>
  <si>
    <t xml:space="preserve">Cv (kJ/kgmole-C)                 20.17             20.17                                                                    </t>
  </si>
  <si>
    <t xml:space="preserve">Mass Cv (kJ/kg-C)                10.01             10.01                                                                    </t>
  </si>
  <si>
    <t xml:space="preserve">Cv (Ent. Method) (kJ/kgmole-C)   20.16             20.16                                                                    </t>
  </si>
  <si>
    <t xml:space="preserve">Mass Cv (Ent. Method) (kJ/kg-C)  10.00             10.00                                                                    </t>
  </si>
  <si>
    <t xml:space="preserve">Cp/Cv (Ent. Method)              1.418             1.418                                                                    </t>
  </si>
  <si>
    <t xml:space="preserve">Hydrogen              30.9870          1.0000           62.4698          1.0000           0.8942           1.0000           </t>
  </si>
  <si>
    <t xml:space="preserve">Total                 30.9870          1.0000           62.4698          1.0000           0.8942           1.0000           </t>
  </si>
  <si>
    <t xml:space="preserve">                                         Standard Sub-Flowsheet: Intercooled H2 Compressor                                          </t>
  </si>
  <si>
    <t>Cooled Burner Exhaust (Material Stream): Worksheet, Attachments</t>
  </si>
  <si>
    <t xml:space="preserve">Material Stream: Cooled Burner Exhaust                                               Fluid Package: Basis-1                 </t>
  </si>
  <si>
    <t xml:space="preserve">Temperature: (C)                 226.1             226.1                                                                    </t>
  </si>
  <si>
    <t xml:space="preserve">Molar Enthalpy (kJ/kgmole)       -8.427e+004       -8.427e+004                                                              </t>
  </si>
  <si>
    <t xml:space="preserve">Molar Entropy (kJ/kgmole-C)      182.5             182.5                                                                    </t>
  </si>
  <si>
    <t xml:space="preserve">Heat Flow (kJ/h)                 -8.822e+006       -8.822e+006                                                              </t>
  </si>
  <si>
    <t xml:space="preserve">Molar Density (kgmole/m3)        2.506e-002        2.506e-002                                                               </t>
  </si>
  <si>
    <t xml:space="preserve">Mass Density (kg/m3)             0.7065            0.7065                                                                   </t>
  </si>
  <si>
    <t xml:space="preserve">Act. Volume Flow (m3/h)          4177              4177                                                                     </t>
  </si>
  <si>
    <t xml:space="preserve">Mass Enthalpy (kJ/kg)            -2990             -2990                                                                    </t>
  </si>
  <si>
    <t xml:space="preserve">Mass Entropy (kJ/kg-C)           6.473             6.473                                                                    </t>
  </si>
  <si>
    <t xml:space="preserve">Heat Capacity (kJ/kgmole-C)      32.84             32.84                                                                    </t>
  </si>
  <si>
    <t xml:space="preserve">Mass Heat Capacity (kJ/kg-C)     1.165             1.165                                                                    </t>
  </si>
  <si>
    <t xml:space="preserve">Partial Pressure of CO2 (kPa)    11.49             ---                                                                      </t>
  </si>
  <si>
    <t xml:space="preserve">Act. Gas Flow (ACT_m3/h)         4177              4177                                                                     </t>
  </si>
  <si>
    <t xml:space="preserve">Specific Heat (kJ/kgmole-C)      32.84             32.84                                                                    </t>
  </si>
  <si>
    <t xml:space="preserve">Z Factor                         0.9997            0.9997                                                                   </t>
  </si>
  <si>
    <t xml:space="preserve">Cp/(Cp - R)                      1.339             1.339                                                                    </t>
  </si>
  <si>
    <t xml:space="preserve">Cp/Cv                            1.341             1.341                                                                    </t>
  </si>
  <si>
    <t xml:space="preserve">Heat of Vap. (kJ/kgmole)         2.965e+004        ---                                                                      </t>
  </si>
  <si>
    <t xml:space="preserve">Kinematic Viscosity (cSt)        34.38             34.38                                                                    </t>
  </si>
  <si>
    <t xml:space="preserve">Molar Volume (m3/kgmole)         39.90             39.90                                                                    </t>
  </si>
  <si>
    <t xml:space="preserve">Thermal Conductivity (W/m-K)     3.767e-002        3.767e-002                                                               </t>
  </si>
  <si>
    <t xml:space="preserve">Viscosity (cP)                   2.429e-002        2.429e-002                                                               </t>
  </si>
  <si>
    <t xml:space="preserve">Cv (Semi-Ideal) (kJ/kgmole-C)    24.53             24.53                                                                    </t>
  </si>
  <si>
    <t xml:space="preserve">Mass Cv (Semi-Ideal) (kJ/kg-C)   0.8701            0.8701                                                                   </t>
  </si>
  <si>
    <t xml:space="preserve">Cv (kJ/kgmole-C)                 24.49             24.49                                                                    </t>
  </si>
  <si>
    <t xml:space="preserve">Mass Cv (kJ/kg-C)                0.8689            0.8689                                                                   </t>
  </si>
  <si>
    <t xml:space="preserve">Cv (Ent. Method) (kJ/kgmole-C)   24.46             24.46                                                                    </t>
  </si>
  <si>
    <t xml:space="preserve">Mass Cv (Ent. Method) (kJ/kg-C)  0.8678            0.8678                                                                   </t>
  </si>
  <si>
    <t xml:space="preserve">Cp/Cv (Ent. Method)              1.343             1.343                                                                    </t>
  </si>
  <si>
    <t xml:space="preserve">Partial Pressure of H2S (kPa)    9.559e-005        ---                                                                      </t>
  </si>
  <si>
    <t xml:space="preserve">Heat Exchanger: Air Preheater            Heat Exchanger: Boiler                                                             </t>
  </si>
  <si>
    <t>Cooled Pure H2 - 3 (Material Stream): Worksheet, Attachments</t>
  </si>
  <si>
    <t xml:space="preserve">Material Stream: Cooled Pure H2 - 3                                                  Fluid Package: Basis-1                 </t>
  </si>
  <si>
    <t xml:space="preserve">Molar Enthalpy (kJ/kgmole)       426.6             426.6                                                                    </t>
  </si>
  <si>
    <t xml:space="preserve">Molar Entropy (kJ/kgmole-C)      124.4             124.4                                                                    </t>
  </si>
  <si>
    <t xml:space="preserve">Heat Flow (kJ/h)                 1.322e+004        1.322e+004                                                               </t>
  </si>
  <si>
    <t xml:space="preserve">Molar Density (kgmole/m3)        3.878e-002        3.878e-002                                                               </t>
  </si>
  <si>
    <t xml:space="preserve">Mass Density (kg/m3)             7.818e-002        7.818e-002                                                               </t>
  </si>
  <si>
    <t xml:space="preserve">Act. Volume Flow (m3/h)          799.1             799.1                                                                    </t>
  </si>
  <si>
    <t xml:space="preserve">Mass Enthalpy (kJ/kg)            211.6             211.6                                                                    </t>
  </si>
  <si>
    <t xml:space="preserve">Mass Entropy (kJ/kg-C)           61.72             61.72                                                                    </t>
  </si>
  <si>
    <t xml:space="preserve">Heat Capacity (kJ/kgmole-C)      28.46             28.46                                                                    </t>
  </si>
  <si>
    <t xml:space="preserve">Mass Heat Capacity (kJ/kg-C)     14.12             14.12                                                                    </t>
  </si>
  <si>
    <t xml:space="preserve">Act. Gas Flow (ACT_m3/h)         799.1             799.1                                                                    </t>
  </si>
  <si>
    <t xml:space="preserve">Specific Heat (kJ/kgmole-C)      28.46             28.46                                                                    </t>
  </si>
  <si>
    <t xml:space="preserve">Cp/(Cp - R)                      1.413             1.413                                                                    </t>
  </si>
  <si>
    <t xml:space="preserve">Cp/Cv                            1.413             1.413                                                                    </t>
  </si>
  <si>
    <t xml:space="preserve">Heat of Vap. (kJ/kgmole)         900.1             ---                                                                      </t>
  </si>
  <si>
    <t xml:space="preserve">Kinematic Viscosity (cSt)        113.3             117.3                                                                    </t>
  </si>
  <si>
    <t xml:space="preserve">Molar Volume (m3/kgmole)         25.79             25.79                                                                    </t>
  </si>
  <si>
    <t xml:space="preserve">Mass Heat of Vap. (kJ/kg)        446.5             ---                                                                      </t>
  </si>
  <si>
    <t xml:space="preserve">Thermal Conductivity (W/m-K)     0.1816            0.1817                                                                   </t>
  </si>
  <si>
    <t xml:space="preserve">Viscosity (cP)                   8.857e-003        9.169e-003                                                               </t>
  </si>
  <si>
    <t xml:space="preserve">Cv (Semi-Ideal) (kJ/kgmole-C)    20.15             20.15                                                                    </t>
  </si>
  <si>
    <t xml:space="preserve">Mass Cv (Semi-Ideal) (kJ/kg-C)   9.995             9.995                                                                    </t>
  </si>
  <si>
    <t xml:space="preserve">Cv (Ent. Method) (kJ/kgmole-C)   20.10             20.10                                                                    </t>
  </si>
  <si>
    <t xml:space="preserve">Mass Cv (Ent. Method) (kJ/kg-C)  9.972             9.972                                                                    </t>
  </si>
  <si>
    <t xml:space="preserve">Cp/Cv (Ent. Method)              1.416             1.416                                                                    </t>
  </si>
  <si>
    <t xml:space="preserve">Standard Sub-Flowsheet: Intercooled H2 Compressor Heat Exchanger: H2 Cooler                SpreadSheetCell: Efficiency@B3           </t>
  </si>
  <si>
    <t>DI water (Material Stream): Worksheet, Attachments</t>
  </si>
  <si>
    <t xml:space="preserve">Molar Flow (kgmole/h)            28.75             28.75                                                                    </t>
  </si>
  <si>
    <t xml:space="preserve">Mass Flow (kg/h)                 517.9             517.9                                                                    </t>
  </si>
  <si>
    <t xml:space="preserve">Std Ideal Liq Vol Flow (m3/h)    0.5190            0.5190                                                                   </t>
  </si>
  <si>
    <t xml:space="preserve">Heat Flow (kJ/h)                 -8.205e+006       -8.205e+006                                                              </t>
  </si>
  <si>
    <t xml:space="preserve">Liq Vol Flow @Std Cond (m3/h)    0.5104            0.5104                                                                   </t>
  </si>
  <si>
    <t xml:space="preserve">Act. Volume Flow (m3/h)          0.5142            0.5142                                                                   </t>
  </si>
  <si>
    <t xml:space="preserve">Std. Gas Flow (STD_m3/h)         679.8             679.8                                                                    </t>
  </si>
  <si>
    <t xml:space="preserve">Act. Liq. Flow (m3/s)            1.428e-004        1.428e-004                                                               </t>
  </si>
  <si>
    <t xml:space="preserve">Liq. Vol. Flow (Std. Cond) (m3/h) 0.5104            0.5104                                                                  </t>
  </si>
  <si>
    <t xml:space="preserve">Liq. Vol. Flow - Sum(Std. Cond) (m3/h) 0.5104            0.5104                                                                  </t>
  </si>
  <si>
    <t xml:space="preserve">H2O                   28.7500          1.0000           517.9341         1.0000           0.5190           1.0000           </t>
  </si>
  <si>
    <t xml:space="preserve">Total                 28.7500          1.0000           517.9341         1.0000           0.5190           1.0000           </t>
  </si>
  <si>
    <t xml:space="preserve">Pump: Water pump                                                                                                            </t>
  </si>
  <si>
    <t>Dummmy 7 (Material Stream): Worksheet, Attachments</t>
  </si>
  <si>
    <t>Dummy 1 (Material Stream): Worksheet, Attachments</t>
  </si>
  <si>
    <t>Dummy 2 (Material Stream): Worksheet, Attachments</t>
  </si>
  <si>
    <t>Dummy 3 (Material Stream): Worksheet, Attachments</t>
  </si>
  <si>
    <t>Dummy 4 (Material Stream): Worksheet, Attachments</t>
  </si>
  <si>
    <t>Dummy 5 (Material Stream): Worksheet, Attachments</t>
  </si>
  <si>
    <t xml:space="preserve">Kinematic Viscosity (cSt)        12.88             183.9             2.129             2.129                                </t>
  </si>
  <si>
    <t xml:space="preserve">Thermal Conductivity (W/m-K)     7.429e-002        8.499e-002        7.429e-002        7.429e-002                           </t>
  </si>
  <si>
    <t xml:space="preserve">Viscosity (cP)                   3.576e-003        5.107e-002        5.912e-004        5.912e-004                           </t>
  </si>
  <si>
    <t xml:space="preserve">Cv (Ent. Method) (kJ/kgmole-C)   ---               30.41             30.41             -10.19                               </t>
  </si>
  <si>
    <t xml:space="preserve">Mass Cv (Ent. Method) (kJ/kg-C)  ---               1.079             1.079             -0.3617                              </t>
  </si>
  <si>
    <t xml:space="preserve">Cp/Cv (Ent. Method)              ---               1.275             1.275             -3.802                               </t>
  </si>
  <si>
    <t xml:space="preserve">                                         Gibbs Reactor: Burner                                                              </t>
  </si>
  <si>
    <t>Dummy 12 (Material Stream): Worksheet, Attachments</t>
  </si>
  <si>
    <t>Exhaust to Boiler (Material Stream): Worksheet, Attachments</t>
  </si>
  <si>
    <t xml:space="preserve">Material Stream: Exhaust to Boiler                                                   Fluid Package: Basis-1                 </t>
  </si>
  <si>
    <t xml:space="preserve">Heat Exchanger: Boiler                   Heat Exchanger: Superheater (Not Used)                                             </t>
  </si>
  <si>
    <t>Heated burner air (Material Stream): Worksheet, Attachments</t>
  </si>
  <si>
    <t xml:space="preserve">Temperature: (C)                 120.0             120.0                                                                    </t>
  </si>
  <si>
    <t xml:space="preserve">Molar Enthalpy (kJ/kgmole)       2792              2792                                                                     </t>
  </si>
  <si>
    <t xml:space="preserve">Molar Entropy (kJ/kgmole-C)      163.2             163.2                                                                    </t>
  </si>
  <si>
    <t xml:space="preserve">Heat Flow (kJ/h)                 2.223e+005        2.223e+005                                                               </t>
  </si>
  <si>
    <t xml:space="preserve">Molar Density (kgmole/m3)        3.365e-002        3.365e-002                                                               </t>
  </si>
  <si>
    <t xml:space="preserve">Mass Density (kg/m3)             0.9708            0.9708                                                                   </t>
  </si>
  <si>
    <t xml:space="preserve">Act. Volume Flow (m3/h)          2366              2366                                                                     </t>
  </si>
  <si>
    <t xml:space="preserve">Mass Enthalpy (kJ/kg)            96.78             96.78                                                                    </t>
  </si>
  <si>
    <t xml:space="preserve">Mass Entropy (kJ/kg-C)           5.656             5.656                                                                    </t>
  </si>
  <si>
    <t xml:space="preserve">Heat Capacity (kJ/kgmole-C)      29.75             29.75                                                                    </t>
  </si>
  <si>
    <t xml:space="preserve">Mass Heat Capacity (kJ/kg-C)     1.031             1.031                                                                    </t>
  </si>
  <si>
    <t xml:space="preserve">Act. Gas Flow (ACT_m3/h)         2366              2366                                                                     </t>
  </si>
  <si>
    <t xml:space="preserve">Specific Heat (kJ/kgmole-C)      29.75             29.75                                                                    </t>
  </si>
  <si>
    <t xml:space="preserve">Cp/(Cp - R)                      1.388             1.388                                                                    </t>
  </si>
  <si>
    <t xml:space="preserve">Cp/Cv                            1.390             1.390                                                                    </t>
  </si>
  <si>
    <t xml:space="preserve">Kinematic Viscosity (cSt)        23.72             23.72                                                                    </t>
  </si>
  <si>
    <t xml:space="preserve">Molar Volume (m3/kgmole)         29.72             29.72                                                                    </t>
  </si>
  <si>
    <t xml:space="preserve">Thermal Conductivity (W/m-K)     3.242e-002        3.242e-002                                                               </t>
  </si>
  <si>
    <t xml:space="preserve">Viscosity (cP)                   2.303e-002        2.303e-002                                                               </t>
  </si>
  <si>
    <t xml:space="preserve">Cv (Semi-Ideal) (kJ/kgmole-C)    21.44             21.44                                                                    </t>
  </si>
  <si>
    <t xml:space="preserve">Mass Cv (Semi-Ideal) (kJ/kg-C)   0.7430            0.7430                                                                   </t>
  </si>
  <si>
    <t xml:space="preserve">Cv (kJ/kgmole-C)                 21.41             21.41                                                                    </t>
  </si>
  <si>
    <t xml:space="preserve">Mass Cv (kJ/kg-C)                0.7421            0.7421                                                                   </t>
  </si>
  <si>
    <t xml:space="preserve">Cv (Ent. Method) (kJ/kgmole-C)   21.37             21.37                                                                    </t>
  </si>
  <si>
    <t xml:space="preserve">Mass Cv (Ent. Method) (kJ/kg-C)  0.7408            0.7408                                                                   </t>
  </si>
  <si>
    <t xml:space="preserve">Cp/Cv (Ent. Method)              1.392             1.392                                                                    </t>
  </si>
  <si>
    <t xml:space="preserve">Mixer: Burner premixer                   Heat Exchanger: Air Preheater                                                      </t>
  </si>
  <si>
    <t>Pure H2 (Material Stream): Worksheet, Attachments</t>
  </si>
  <si>
    <t xml:space="preserve">Material Stream: Pure H2                                                             Fluid Package: Basis-1                 </t>
  </si>
  <si>
    <t xml:space="preserve">Temperature: (C)                 550.0             550.0                                                                    </t>
  </si>
  <si>
    <t xml:space="preserve">Molar Enthalpy (kJ/kgmole)       1.529e+004        1.529e+004                                                               </t>
  </si>
  <si>
    <t xml:space="preserve">Molar Entropy (kJ/kgmole-C)      152.3             152.3                                                                    </t>
  </si>
  <si>
    <t xml:space="preserve">Heat Flow (kJ/h)                 4.738e+005        4.738e+005                                                               </t>
  </si>
  <si>
    <t xml:space="preserve">Molar Density (kgmole/m3)        1.505e-002        1.505e-002                                                               </t>
  </si>
  <si>
    <t xml:space="preserve">Mass Density (kg/m3)             3.033e-002        3.033e-002                                                               </t>
  </si>
  <si>
    <t xml:space="preserve">Act. Volume Flow (m3/h)          2059              2059                                                                     </t>
  </si>
  <si>
    <t xml:space="preserve">Mass Enthalpy (kJ/kg)            7585              7585                                                                     </t>
  </si>
  <si>
    <t xml:space="preserve">Mass Entropy (kJ/kg-C)           75.56             75.56                                                                    </t>
  </si>
  <si>
    <t xml:space="preserve">Heat Capacity (kJ/kgmole-C)      29.91             29.91                                                                    </t>
  </si>
  <si>
    <t xml:space="preserve">Mass Heat Capacity (kJ/kg-C)     14.84             14.84                                                                    </t>
  </si>
  <si>
    <t xml:space="preserve">Act. Gas Flow (ACT_m3/h)         2059              2059                                                                     </t>
  </si>
  <si>
    <t xml:space="preserve">Specific Heat (kJ/kgmole-C)      29.91             29.91                                                                    </t>
  </si>
  <si>
    <t xml:space="preserve">Cp/(Cp - R)                      1.385             1.385                                                                    </t>
  </si>
  <si>
    <t xml:space="preserve">Cp/Cv                            1.385             1.385                                                                    </t>
  </si>
  <si>
    <t xml:space="preserve">Heat of Vap. (kJ/kgmole)         899.9             ---                                                                      </t>
  </si>
  <si>
    <t xml:space="preserve">Kinematic Viscosity (cSt)        656.1             633.0                                                                    </t>
  </si>
  <si>
    <t xml:space="preserve">Molar Volume (m3/kgmole)         66.46             66.46                                                                    </t>
  </si>
  <si>
    <t xml:space="preserve">Mass Heat of Vap. (kJ/kg)        446.4             ---                                                                      </t>
  </si>
  <si>
    <t xml:space="preserve">Thermal Conductivity (W/m-K)     0.3641            0.3641                                                                   </t>
  </si>
  <si>
    <t xml:space="preserve">Viscosity (cP)                   1.990e-002        1.920e-002                                                               </t>
  </si>
  <si>
    <t xml:space="preserve">Cv (Semi-Ideal) (kJ/kgmole-C)    21.60             21.60                                                                    </t>
  </si>
  <si>
    <t xml:space="preserve">Mass Cv (Semi-Ideal) (kJ/kg-C)   10.71             10.71                                                                    </t>
  </si>
  <si>
    <t xml:space="preserve">Cv (kJ/kgmole-C)                 21.59             21.59                                                                    </t>
  </si>
  <si>
    <t xml:space="preserve">Mass Cv (kJ/kg-C)                10.71             10.71                                                                    </t>
  </si>
  <si>
    <t xml:space="preserve">Cv (Ent. Method) (kJ/kgmole-C)   21.55             21.55                                                                    </t>
  </si>
  <si>
    <t xml:space="preserve">Mass Cv (Ent. Method) (kJ/kg-C)  10.69             10.69                                                                    </t>
  </si>
  <si>
    <t xml:space="preserve">Cp/Cv (Ent. Method)              1.388             1.388                                                                    </t>
  </si>
  <si>
    <t xml:space="preserve">Heat Exchanger: H2 Cooler                Component Splitter: H2 Separator                                                   </t>
  </si>
  <si>
    <t>Reformate (Material Stream): Worksheet, Attachments</t>
  </si>
  <si>
    <t xml:space="preserve">Temperature: (C)                 549.9             549.9             549.9                                                  </t>
  </si>
  <si>
    <t xml:space="preserve">Pressure: (kPa)                  2178              2178              2178                                                   </t>
  </si>
  <si>
    <t xml:space="preserve">Molar Flow (kgmole/h)            55.43             55.43             0.0000                                                 </t>
  </si>
  <si>
    <t xml:space="preserve">Mass Flow (kg/h)                 677.9             677.9             0.0000                                                 </t>
  </si>
  <si>
    <t xml:space="preserve">Std Ideal Liq Vol Flow (m3/h)    1.697             1.697             0.0000                                                 </t>
  </si>
  <si>
    <t xml:space="preserve">Molar Enthalpy (kJ/kgmole)       -9.554e+004       -9.554e+004       -9.554e+004                                            </t>
  </si>
  <si>
    <t xml:space="preserve">Molar Entropy (kJ/kgmole-C)      158.0             158.0             158.0                                                  </t>
  </si>
  <si>
    <t xml:space="preserve">Heat Flow (kJ/h)                 -5.296e+006       -5.296e+006       0.0000                                                 </t>
  </si>
  <si>
    <t xml:space="preserve">Molecular Weight                 12.23             12.23             12.23                                                  </t>
  </si>
  <si>
    <t xml:space="preserve">Molar Density (kgmole/m3)        0.3174            0.3174            0.3174                                                 </t>
  </si>
  <si>
    <t xml:space="preserve">Mass Density (kg/m3)             3.882             3.882             3.882                                                  </t>
  </si>
  <si>
    <t xml:space="preserve">Act. Volume Flow (m3/h)          174.6             174.6             0.0000                                                 </t>
  </si>
  <si>
    <t xml:space="preserve">Mass Enthalpy (kJ/kg)            -7812             -7812             -7812                                                  </t>
  </si>
  <si>
    <t xml:space="preserve">Mass Entropy (kJ/kg-C)           12.92             12.92             12.92                                                  </t>
  </si>
  <si>
    <t xml:space="preserve">Heat Capacity (kJ/kgmole-C)      35.55             35.55             35.55                                                  </t>
  </si>
  <si>
    <t xml:space="preserve">Mass Heat Capacity (kJ/kg-C)     2.906             2.906             2.906                                                  </t>
  </si>
  <si>
    <t xml:space="preserve">Partial Pressure of CO2 (kPa)    342.5             ---               ---                                                    </t>
  </si>
  <si>
    <t xml:space="preserve">Act. Gas Flow (ACT_m3/h)         174.6             174.6             ---                                                    </t>
  </si>
  <si>
    <t xml:space="preserve">Avg. Liq. Density (kgmole/m3)    32.67             32.67             32.67                                                  </t>
  </si>
  <si>
    <t xml:space="preserve">Specific Heat (kJ/kgmole-C)      35.55             35.55             35.55                                                  </t>
  </si>
  <si>
    <t xml:space="preserve">Std. Gas Flow (STD_m3/h)         1311              1311              0.0000                                                 </t>
  </si>
  <si>
    <t xml:space="preserve">Std. Ideal Liq. Mass Density (kg/m3) 399.6             399.6             399.6                                                 </t>
  </si>
  <si>
    <t xml:space="preserve">Watson K                         14.56             14.56             14.56                                                  </t>
  </si>
  <si>
    <t xml:space="preserve">Cp/(Cp - R)                      1.305             1.305             1.305                                                  </t>
  </si>
  <si>
    <t xml:space="preserve">Cp/Cv                            1.311             1.311             1.311                                                  </t>
  </si>
  <si>
    <t xml:space="preserve">Heat of Vap. (kJ/kgmole)         3.045e+004        ---               ---                                                    </t>
  </si>
  <si>
    <t xml:space="preserve">Kinematic Viscosity (cSt)        5.605             6.127             0.5874                                                 </t>
  </si>
  <si>
    <t xml:space="preserve">Molar Volume (m3/kgmole)         3.151             3.151             3.151                                                  </t>
  </si>
  <si>
    <t xml:space="preserve">Mass Heat of Vap. (kJ/kg)        2490              ---               ---                                                    </t>
  </si>
  <si>
    <t xml:space="preserve">Thermal Conductivity (W/m-K)     0.1871            0.1871            5.408e-002                                             </t>
  </si>
  <si>
    <t xml:space="preserve">Viscosity (cP)                   2.176e-002        2.378e-002        2.280e-003                                             </t>
  </si>
  <si>
    <t xml:space="preserve">Cv (Semi-Ideal) (kJ/kgmole-C)    27.23             27.23             27.23                                                  </t>
  </si>
  <si>
    <t xml:space="preserve">Mass Cv (Semi-Ideal) (kJ/kg-C)   2.227             2.227             2.227                                                  </t>
  </si>
  <si>
    <t xml:space="preserve">Cv (kJ/kgmole-C)                 27.12             27.12             27.12                                                  </t>
  </si>
  <si>
    <t xml:space="preserve">Mass Cv (kJ/kg-C)                2.218             2.218             2.218                                                  </t>
  </si>
  <si>
    <t xml:space="preserve">Cv (Ent. Method) (kJ/kgmole-C)   27.12             27.12             27.89                                                  </t>
  </si>
  <si>
    <t xml:space="preserve">Mass Cv (Ent. Method) (kJ/kg-C)  2.217             2.217             2.280                                                  </t>
  </si>
  <si>
    <t xml:space="preserve">Cp/Cv (Ent. Method)              1.311             1.311             1.275                                                  </t>
  </si>
  <si>
    <t xml:space="preserve">Partial Pressure of H2S (kPa)    1.512e-003        ---               ---                                                    </t>
  </si>
  <si>
    <t xml:space="preserve">Methane               0.3040           0.0055           4.8777           0.0072           0.0163           0.0096           </t>
  </si>
  <si>
    <t xml:space="preserve">Oxygen                0.0962           0.0017           3.0782           0.0045           0.0027           0.0016           </t>
  </si>
  <si>
    <t xml:space="preserve">Hydrogen              34.4300          0.6212           69.4109          0.1024           0.9936           0.5856           </t>
  </si>
  <si>
    <t xml:space="preserve">H2O                   11.5925          0.2091           208.8398         0.3081           0.2093           0.1233           </t>
  </si>
  <si>
    <t xml:space="preserve">CO                    0.1157           0.0021           3.2417           0.0048           0.0041           0.0024           </t>
  </si>
  <si>
    <t xml:space="preserve">CO2                   8.7168           0.1573           383.6242         0.5659           0.4648           0.2739           </t>
  </si>
  <si>
    <t xml:space="preserve">Nitrogen              0.1732           0.0031           4.8519           0.0072           0.0060           0.0035           </t>
  </si>
  <si>
    <t xml:space="preserve">Total                 55.4286          1.0000           677.9293         1.0000           1.6967           1.0000           </t>
  </si>
  <si>
    <t xml:space="preserve">Methane               0.0000           0.0055           0.0000           0.0072           0.0000           0.0096           </t>
  </si>
  <si>
    <t xml:space="preserve">Oxygen                0.0000           0.0017           0.0000           0.0045           0.0000           0.0016           </t>
  </si>
  <si>
    <t xml:space="preserve">Hydrogen              0.0000           0.6212           0.0000           0.1024           0.0000           0.5856           </t>
  </si>
  <si>
    <t xml:space="preserve">H2O                   0.0000           0.2091           0.0000           0.3081           0.0000           0.1233           </t>
  </si>
  <si>
    <t xml:space="preserve">CO                    0.0000           0.0021           0.0000           0.0048           0.0000           0.0024           </t>
  </si>
  <si>
    <t xml:space="preserve">CO2                   0.0000           0.1573           0.0000           0.5659           0.0000           0.2739           </t>
  </si>
  <si>
    <t xml:space="preserve">Nitrogen              0.0000           0.0031           0.0000           0.0072           0.0000           0.0035           </t>
  </si>
  <si>
    <t xml:space="preserve">Methane                                 1.000                       ---                         1.000                       </t>
  </si>
  <si>
    <t xml:space="preserve">Oxygen                                  1.000                       ---                         1.000                       </t>
  </si>
  <si>
    <t xml:space="preserve">Hydrogen                                1.000                       ---                         1.000                       </t>
  </si>
  <si>
    <t xml:space="preserve">H2O                                     1.000                       ---                         1.000                       </t>
  </si>
  <si>
    <t xml:space="preserve">H2S                                     1.000                       ---                         1.000                       </t>
  </si>
  <si>
    <t xml:space="preserve">E-Mercaptan                             1.000                       ---                         1.000                       </t>
  </si>
  <si>
    <t xml:space="preserve">CO                                      1.000                       ---                         1.000                       </t>
  </si>
  <si>
    <t xml:space="preserve">CO2                                     1.000                       ---                         1.000                       </t>
  </si>
  <si>
    <t xml:space="preserve">Nitrogen                                1.000                       ---                         1.000                       </t>
  </si>
  <si>
    <t xml:space="preserve">Component Splitter: H2 Separator         Conversion Reactor: Integrated Reactor   Adjust: ADJ-1                             </t>
  </si>
  <si>
    <t>Reformate 2 (Material Stream): Worksheet, Attachments</t>
  </si>
  <si>
    <t xml:space="preserve">Material Stream: Reformate 2                                                         Fluid Package: Basis-1                 </t>
  </si>
  <si>
    <t xml:space="preserve">Temperature: (C)                 552.4             552.4                                                                    </t>
  </si>
  <si>
    <t xml:space="preserve">Pressure: (kPa)                  2169              2169                                                                     </t>
  </si>
  <si>
    <t xml:space="preserve">Molar Flow (kgmole/h)            24.44             24.44                                                                    </t>
  </si>
  <si>
    <t xml:space="preserve">Mass Flow (kg/h)                 615.5             615.5                                                                    </t>
  </si>
  <si>
    <t xml:space="preserve">Std Ideal Liq Vol Flow (m3/h)    0.8025            0.8025                                                                   </t>
  </si>
  <si>
    <t xml:space="preserve">Molar Enthalpy (kJ/kgmole)       -2.361e+005       -2.361e+005                                                              </t>
  </si>
  <si>
    <t xml:space="preserve">Molar Entropy (kJ/kgmole-C)      188.3             188.3                                                                    </t>
  </si>
  <si>
    <t xml:space="preserve">Heat Flow (kJ/h)                 -5.770e+006       -5.770e+006                                                              </t>
  </si>
  <si>
    <t xml:space="preserve">Liq Vol Flow @Std Cond (m3/h)    0.7718            0.7718                                                                   </t>
  </si>
  <si>
    <t xml:space="preserve">Molecular Weight                 25.18             25.18                                                                    </t>
  </si>
  <si>
    <t xml:space="preserve">Molar Density (kgmole/m3)        0.3168            0.3168                                                                   </t>
  </si>
  <si>
    <t xml:space="preserve">Mass Density (kg/m3)             7.977             7.977                                                                    </t>
  </si>
  <si>
    <t xml:space="preserve">Act. Volume Flow (m3/h)          77.16             77.16                                                                    </t>
  </si>
  <si>
    <t xml:space="preserve">Mass Enthalpy (kJ/kg)            -9375             -9375                                                                    </t>
  </si>
  <si>
    <t xml:space="preserve">Mass Entropy (kJ/kg-C)           7.477             7.477                                                                    </t>
  </si>
  <si>
    <t xml:space="preserve">Heat Capacity (kJ/kgmole-C)      42.89             42.89                                                                    </t>
  </si>
  <si>
    <t xml:space="preserve">Mass Heat Capacity (kJ/kg-C)     1.703             1.703                                                                    </t>
  </si>
  <si>
    <t xml:space="preserve">Partial Pressure of CO2 (kPa)    773.5             ---                                                                      </t>
  </si>
  <si>
    <t xml:space="preserve">Act. Gas Flow (ACT_m3/h)         77.16             77.16                                                                    </t>
  </si>
  <si>
    <t xml:space="preserve">Avg. Liq. Density (kgmole/m3)    30.46             30.46                                                                    </t>
  </si>
  <si>
    <t xml:space="preserve">Specific Heat (kJ/kgmole-C)      42.89             42.89                                                                    </t>
  </si>
  <si>
    <t xml:space="preserve">Std. Gas Flow (STD_m3/h)         577.9             577.9                                                                    </t>
  </si>
  <si>
    <t xml:space="preserve">Std. Ideal Liq. Mass Density (kg/m3) 766.9             766.9                                                                   </t>
  </si>
  <si>
    <t xml:space="preserve">Watson K                         9.254             9.254                                                                    </t>
  </si>
  <si>
    <t xml:space="preserve">Cp/(Cp - R)                      1.240             1.240                                                                    </t>
  </si>
  <si>
    <t xml:space="preserve">Cp/Cv                            1.254             1.254                                                                    </t>
  </si>
  <si>
    <t xml:space="preserve">Heat of Vap. (kJ/kgmole)         4.920e+004        ---                                                                      </t>
  </si>
  <si>
    <t xml:space="preserve">Kinematic Viscosity (cSt)        3.771             3.847                                                                    </t>
  </si>
  <si>
    <t xml:space="preserve">Liq. Mass Density (Std. Cond) (kg/m3) 790.8             797.5                                                                   </t>
  </si>
  <si>
    <t xml:space="preserve">Liq. Vol. Flow (Std. Cond) (m3/h) 0.7718            0.7718                                                                  </t>
  </si>
  <si>
    <t xml:space="preserve">Molar Volume (m3/kgmole)         3.157             3.157                                                                    </t>
  </si>
  <si>
    <t xml:space="preserve">Mass Heat of Vap. (kJ/kg)        1954              ---                                                                      </t>
  </si>
  <si>
    <t xml:space="preserve">Thermal Conductivity (W/m-K)     8.459e-002        8.460e-002                                                               </t>
  </si>
  <si>
    <t xml:space="preserve">Viscosity (cP)                   3.008e-002        3.069e-002                                                               </t>
  </si>
  <si>
    <t xml:space="preserve">Cv (Semi-Ideal) (kJ/kgmole-C)    34.57             34.57                                                                    </t>
  </si>
  <si>
    <t xml:space="preserve">Mass Cv (Semi-Ideal) (kJ/kg-C)   1.373             1.373                                                                    </t>
  </si>
  <si>
    <t xml:space="preserve">Cv (kJ/kgmole-C)                 34.21             34.21                                                                    </t>
  </si>
  <si>
    <t xml:space="preserve">Mass Cv (kJ/kg-C)                1.359             1.359                                                                    </t>
  </si>
  <si>
    <t xml:space="preserve">Cv (Ent. Method) (kJ/kgmole-C)   34.19             34.19                                                                    </t>
  </si>
  <si>
    <t xml:space="preserve">Mass Cv (Ent. Method) (kJ/kg-C)  1.358             1.358                                                                    </t>
  </si>
  <si>
    <t xml:space="preserve">Cp/Cv (Ent. Method)              1.254             1.254                                                                    </t>
  </si>
  <si>
    <t xml:space="preserve">True VP at 37.8 C (kPa)          2.784e+004        2.784e+004                                                               </t>
  </si>
  <si>
    <t xml:space="preserve">Liq. Vol. Flow - Sum(Std. Cond) (m3/h) 0.7725            0.7725                                                                  </t>
  </si>
  <si>
    <t xml:space="preserve">Partial Pressure of H2S (kPa)    3.416e-003        ---                                                                      </t>
  </si>
  <si>
    <t xml:space="preserve">Methane               0.3040           0.0124           4.8777           0.0079           0.0163           0.0203           </t>
  </si>
  <si>
    <t xml:space="preserve">Oxygen                0.0962           0.0039           3.0782           0.0050           0.0027           0.0034           </t>
  </si>
  <si>
    <t xml:space="preserve">Hydrogen              3.4430           0.1409           6.9411           0.0113           0.0994           0.1238           </t>
  </si>
  <si>
    <t xml:space="preserve">H2O                   11.5925          0.4743           208.8398         0.3393           0.2093           0.2608           </t>
  </si>
  <si>
    <t xml:space="preserve">CO                    0.1157           0.0047           3.2417           0.0053           0.0041           0.0051           </t>
  </si>
  <si>
    <t xml:space="preserve">CO2                   8.7168           0.3566           383.6242         0.6233           0.4648           0.5792           </t>
  </si>
  <si>
    <t xml:space="preserve">Nitrogen              0.1732           0.0071           4.8519           0.0079           0.0060           0.0075           </t>
  </si>
  <si>
    <t xml:space="preserve">Total                 24.4416          1.0000           615.4595         1.0000           0.8025           1.0000           </t>
  </si>
  <si>
    <t xml:space="preserve">Mixer: Burner premixer                   Component Splitter: H2 Separator                                                   </t>
  </si>
  <si>
    <t>Reformer Feed (Material Stream): Worksheet, Attachments</t>
  </si>
  <si>
    <t xml:space="preserve">Temperature: (C)                 246.2             246.2                                                                    </t>
  </si>
  <si>
    <t xml:space="preserve">Pressure: (kPa)                  2178              2178                                                                     </t>
  </si>
  <si>
    <t xml:space="preserve">Molar Flow (kgmole/h)            38.33             38.33                                                                    </t>
  </si>
  <si>
    <t xml:space="preserve">Mass Flow (kg/h)                 677.9             677.9                                                                    </t>
  </si>
  <si>
    <t xml:space="preserve">Std Ideal Liq Vol Flow (m3/h)    1.027             1.027                                                                    </t>
  </si>
  <si>
    <t xml:space="preserve">Molar Enthalpy (kJ/kgmole)       -1.924e+005       -1.924e+005                                                              </t>
  </si>
  <si>
    <t xml:space="preserve">Molar Entropy (kJ/kgmole-C)      174.6             174.6                                                                    </t>
  </si>
  <si>
    <t xml:space="preserve">Heat Flow (kJ/h)                 -7.374e+006       -7.374e+006                                                              </t>
  </si>
  <si>
    <t xml:space="preserve">Liq Vol Flow @Std Cond (m3/h)    0.9351            0.9351                                                                   </t>
  </si>
  <si>
    <t xml:space="preserve">Molecular Weight                 17.69             17.69                                                                    </t>
  </si>
  <si>
    <t xml:space="preserve">Molar Density (kgmole/m3)        0.5283            0.5283                                                                   </t>
  </si>
  <si>
    <t xml:space="preserve">Mass Density (kg/m3)             9.344             9.344                                                                    </t>
  </si>
  <si>
    <t xml:space="preserve">Act. Volume Flow (m3/h)          72.55             72.55                                                                    </t>
  </si>
  <si>
    <t xml:space="preserve">Mass Enthalpy (kJ/kg)            -1.088e+004       -1.088e+004                                                              </t>
  </si>
  <si>
    <t xml:space="preserve">Mass Entropy (kJ/kg-C)           9.872             9.872                                                                    </t>
  </si>
  <si>
    <t xml:space="preserve">Heat Capacity (kJ/kgmole-C)      40.42             40.42                                                                    </t>
  </si>
  <si>
    <t xml:space="preserve">Mass Heat Capacity (kJ/kg-C)     2.285             2.285                                                                    </t>
  </si>
  <si>
    <t xml:space="preserve">Partial Pressure of CO2 (kPa)    5.468             ---                                                                      </t>
  </si>
  <si>
    <t xml:space="preserve">Act. Gas Flow (ACT_m3/h)         72.55             72.55                                                                    </t>
  </si>
  <si>
    <t xml:space="preserve">Avg. Liq. Density (kgmole/m3)    37.34             37.34                                                                    </t>
  </si>
  <si>
    <t xml:space="preserve">Specific Heat (kJ/kgmole-C)      40.42             40.42                                                                    </t>
  </si>
  <si>
    <t xml:space="preserve">Std. Gas Flow (STD_m3/h)         906.3             906.3                                                                    </t>
  </si>
  <si>
    <t xml:space="preserve">Std. Ideal Liq. Mass Density (kg/m3) 660.4             660.4                                                                   </t>
  </si>
  <si>
    <t xml:space="preserve">Z Factor                         0.9546            0.9546                                                                   </t>
  </si>
  <si>
    <t xml:space="preserve">Cp/(Cp - R)                      1.259             1.259                                                                    </t>
  </si>
  <si>
    <t xml:space="preserve">Heat of Vap. (kJ/kgmole)         4.948e+004        ---                                                                      </t>
  </si>
  <si>
    <t xml:space="preserve">Kinematic Viscosity (cSt)        1.614             1.614                                                                    </t>
  </si>
  <si>
    <t xml:space="preserve">Liq. Mass Density (Std. Cond) (kg/m3) 724.9             724.9                                                                   </t>
  </si>
  <si>
    <t xml:space="preserve">Liq. Vol. Flow (Std. Cond) (m3/h) 0.9351            0.9351                                                                  </t>
  </si>
  <si>
    <t xml:space="preserve">Molar Volume (m3/kgmole)         1.893             1.893                                                                    </t>
  </si>
  <si>
    <t xml:space="preserve">Mass Heat of Vap. (kJ/kg)        2798              ---                                                                      </t>
  </si>
  <si>
    <t xml:space="preserve">Thermal Conductivity (W/m-K)     4.758e-002        4.758e-002                                                               </t>
  </si>
  <si>
    <t xml:space="preserve">Viscosity (cP)                   1.508e-002        1.508e-002                                                               </t>
  </si>
  <si>
    <t xml:space="preserve">Cv (Semi-Ideal) (kJ/kgmole-C)    32.11             32.11                                                                    </t>
  </si>
  <si>
    <t xml:space="preserve">Mass Cv (Semi-Ideal) (kJ/kg-C)   1.815             1.815                                                                    </t>
  </si>
  <si>
    <t xml:space="preserve">Cv (kJ/kgmole-C)                 30.35             30.35                                                                    </t>
  </si>
  <si>
    <t xml:space="preserve">Mass Cv (kJ/kg-C)                1.716             1.716                                                                    </t>
  </si>
  <si>
    <t xml:space="preserve">Cv (Ent. Method) (kJ/kgmole-C)   28.70             28.70                                                                    </t>
  </si>
  <si>
    <t xml:space="preserve">Mass Cv (Ent. Method) (kJ/kg-C)  1.622             1.622                                                                    </t>
  </si>
  <si>
    <t xml:space="preserve">Cp/Cv (Ent. Method)              1.409             1.409                                                                    </t>
  </si>
  <si>
    <t xml:space="preserve">Liq. Vol. Flow - Sum(Std. Cond) (m3/h) 0.9351            0.9351                                                                  </t>
  </si>
  <si>
    <t xml:space="preserve">Partial Pressure of H2S (kPa)    2.187e-003        ---                                                                      </t>
  </si>
  <si>
    <t xml:space="preserve">Methane               9.2133           0.2404           147.8084         0.2180           0.4937           0.4809           </t>
  </si>
  <si>
    <t xml:space="preserve">Oxygen                0.0962           0.0025           3.0782           0.0045           0.0027           0.0026           </t>
  </si>
  <si>
    <t xml:space="preserve">H2O                   28.7510          0.7501           517.9515         0.7640           0.5190           0.5056           </t>
  </si>
  <si>
    <t xml:space="preserve">CO2                   0.0962           0.0025           4.2348           0.0062           0.0051           0.0050           </t>
  </si>
  <si>
    <t xml:space="preserve">Nitrogen              0.1732           0.0045           4.8519           0.0072           0.0060           0.0059           </t>
  </si>
  <si>
    <t xml:space="preserve">Total                 38.3300          1.0000           677.9297         1.0000           1.0265           1.0000           </t>
  </si>
  <si>
    <t xml:space="preserve">Conversion Reactor: Integrated Reactor   Mixer: Reformer Premixer                                                           </t>
  </si>
  <si>
    <t>Reformer Liquid Out (Material Stream): Worksheet, Attachments</t>
  </si>
  <si>
    <t xml:space="preserve">Material Stream: Reformer Liquid Out                                                 Fluid Package: Basis-1                 </t>
  </si>
  <si>
    <t xml:space="preserve">Kinematic Viscosity (cSt)        0.6238            6.127             0.5874                                                 </t>
  </si>
  <si>
    <t xml:space="preserve">Thermal Conductivity (W/m-K)     0.1115            0.1871            5.408e-002                                             </t>
  </si>
  <si>
    <t xml:space="preserve">Viscosity (cP)                   2.421e-003        2.378e-002        2.280e-003                                             </t>
  </si>
  <si>
    <t xml:space="preserve">Cv (Ent. Method) (kJ/kgmole-C)   ---               27.12             27.89                                                  </t>
  </si>
  <si>
    <t xml:space="preserve">Mass Cv (Ent. Method) (kJ/kg-C)  ---               2.217             2.280                                                  </t>
  </si>
  <si>
    <t xml:space="preserve">Cp/Cv (Ent. Method)              ---               1.311             1.275                                                  </t>
  </si>
  <si>
    <t xml:space="preserve">                                         Conversion Reactor: Integrated Reactor                                             </t>
  </si>
  <si>
    <t>Superheated Steam (Material Stream): Worksheet, Attachments</t>
  </si>
  <si>
    <t xml:space="preserve">Material Stream: Superheated Steam                                                   Fluid Package: Basis-1                 </t>
  </si>
  <si>
    <t xml:space="preserve">Temperature: (C)                 220.0             220.0                                                                    </t>
  </si>
  <si>
    <t xml:space="preserve">Molar Enthalpy (kJ/kgmole)       -2.354e+005       -2.354e+005                                                              </t>
  </si>
  <si>
    <t xml:space="preserve">Molar Entropy (kJ/kgmole-C)      164.0             164.0                                                                    </t>
  </si>
  <si>
    <t xml:space="preserve">Heat Flow (kJ/h)                 -6.768e+006       -6.768e+006                                                              </t>
  </si>
  <si>
    <t xml:space="preserve">Molar Density (kgmole/m3)        0.5853            0.5853                                                                   </t>
  </si>
  <si>
    <t xml:space="preserve">Mass Density (kg/m3)             10.54             10.54                                                                    </t>
  </si>
  <si>
    <t xml:space="preserve">Act. Volume Flow (m3/h)          49.12             49.12                                                                    </t>
  </si>
  <si>
    <t xml:space="preserve">Mass Enthalpy (kJ/kg)            -1.307e+004       -1.307e+004                                                              </t>
  </si>
  <si>
    <t xml:space="preserve">Mass Entropy (kJ/kg-C)           9.101             9.101                                                                    </t>
  </si>
  <si>
    <t xml:space="preserve">Heat Capacity (kJ/kgmole-C)      39.21             39.21                                                                    </t>
  </si>
  <si>
    <t xml:space="preserve">Mass Heat Capacity (kJ/kg-C)     2.177             2.177                                                                    </t>
  </si>
  <si>
    <t xml:space="preserve">Act. Gas Flow (ACT_m3/h)         49.12             49.12                                                                    </t>
  </si>
  <si>
    <t xml:space="preserve">Specific Heat (kJ/kgmole-C)      39.21             39.21                                                                    </t>
  </si>
  <si>
    <t xml:space="preserve">Z Factor                         0.9076            0.9076                                                                   </t>
  </si>
  <si>
    <t xml:space="preserve">Cp/(Cp - R)                      1.269             1.269                                                                    </t>
  </si>
  <si>
    <t xml:space="preserve">Cp/Cv                            1.431             1.431                                                                    </t>
  </si>
  <si>
    <t xml:space="preserve">Kinematic Viscosity (cSt)        1.554             1.554                                                                    </t>
  </si>
  <si>
    <t xml:space="preserve">Molar Volume (m3/kgmole)         1.709             1.709                                                                    </t>
  </si>
  <si>
    <t xml:space="preserve">Thermal Conductivity (W/m-K)     4.081e-002        4.081e-002                                                               </t>
  </si>
  <si>
    <t xml:space="preserve">Viscosity (cP)                   1.639e-002        1.639e-002                                                               </t>
  </si>
  <si>
    <t xml:space="preserve">Cv (Semi-Ideal) (kJ/kgmole-C)    30.90             30.90                                                                    </t>
  </si>
  <si>
    <t xml:space="preserve">Mass Cv (Semi-Ideal) (kJ/kg-C)   1.715             1.715                                                                    </t>
  </si>
  <si>
    <t xml:space="preserve">Cv (kJ/kgmole-C)                 27.40             27.40                                                                    </t>
  </si>
  <si>
    <t xml:space="preserve">Mass Cv (kJ/kg-C)                1.521             1.521                                                                    </t>
  </si>
  <si>
    <t xml:space="preserve">Cv (Ent. Method) (kJ/kgmole-C)   26.47             26.47                                                                    </t>
  </si>
  <si>
    <t xml:space="preserve">Mass Cv (Ent. Method) (kJ/kg-C)  1.469             1.469                                                                    </t>
  </si>
  <si>
    <t xml:space="preserve">Cp/Cv (Ent. Method)              1.482             1.482                                                                    </t>
  </si>
  <si>
    <t xml:space="preserve">Mixer: Reformer Premixer                 Heat Exchanger: Superheater (Not Used)                                             </t>
  </si>
  <si>
    <t>Supplemental NG (Material Stream): Worksheet, Attachments</t>
  </si>
  <si>
    <t xml:space="preserve">Material Stream: Supplemental NG                                                     Fluid Package: Basis-1                 </t>
  </si>
  <si>
    <t xml:space="preserve">Pressure: (kPa)                  115.0             115.0                                                                    </t>
  </si>
  <si>
    <t xml:space="preserve">Molar Flow (kgmole/h)            2.426             2.426                                                                    </t>
  </si>
  <si>
    <t xml:space="preserve">Mass Flow (kg/h)                 38.91             38.91                                                                    </t>
  </si>
  <si>
    <t xml:space="preserve">Std Ideal Liq Vol Flow (m3/h)    0.1300            0.1300                                                                   </t>
  </si>
  <si>
    <t xml:space="preserve">Molar Enthalpy (kJ/kgmole)       -7.492e+004       -7.492e+004                                                              </t>
  </si>
  <si>
    <t xml:space="preserve">Molar Entropy (kJ/kgmole-C)      182.4             182.4                                                                    </t>
  </si>
  <si>
    <t xml:space="preserve">Heat Flow (kJ/h)                 -1.817e+005       -1.817e+005                                                              </t>
  </si>
  <si>
    <t xml:space="preserve">Molecular Weight                 16.04             16.04                                                                    </t>
  </si>
  <si>
    <t xml:space="preserve">Molar Density (kgmole/m3)        4.651e-002        4.651e-002                                                               </t>
  </si>
  <si>
    <t xml:space="preserve">Mass Density (kg/m3)             0.7461            0.7461                                                                   </t>
  </si>
  <si>
    <t xml:space="preserve">Act. Volume Flow (m3/h)          52.15             52.15                                                                    </t>
  </si>
  <si>
    <t xml:space="preserve">Mass Enthalpy (kJ/kg)            -4670             -4670                                                                    </t>
  </si>
  <si>
    <t xml:space="preserve">Mass Entropy (kJ/kg-C)           11.37             11.37                                                                    </t>
  </si>
  <si>
    <t xml:space="preserve">Heat Capacity (kJ/kgmole-C)      36.08             36.08                                                                    </t>
  </si>
  <si>
    <t xml:space="preserve">Mass Heat Capacity (kJ/kg-C)     2.249             2.249                                                                    </t>
  </si>
  <si>
    <t xml:space="preserve">Lower Heating Value (kJ/kgmole)  8.027e+005        8.027e+005                                                               </t>
  </si>
  <si>
    <t xml:space="preserve">Mass Lower Heating Value (kJ/kg) 5.003e+004        5.003e+004                                                               </t>
  </si>
  <si>
    <t xml:space="preserve">Act. Gas Flow (ACT_m3/h)         52.15             52.15                                                                    </t>
  </si>
  <si>
    <t xml:space="preserve">Avg. Liq. Density (kgmole/m3)    18.66             18.66                                                                    </t>
  </si>
  <si>
    <t xml:space="preserve">Specific Heat (kJ/kgmole-C)      36.08             36.08                                                                    </t>
  </si>
  <si>
    <t xml:space="preserve">Std. Gas Flow (STD_m3/h)         57.35             57.35                                                                    </t>
  </si>
  <si>
    <t xml:space="preserve">Std. Ideal Liq. Mass Density (kg/m3) 299.4             299.4                                                                   </t>
  </si>
  <si>
    <t xml:space="preserve">Z Factor                         0.9975            0.9975                                                                   </t>
  </si>
  <si>
    <t xml:space="preserve">Watson K                         19.52             19.52                                                                    </t>
  </si>
  <si>
    <t xml:space="preserve">Cp/(Cp - R)                      1.299             1.299                                                                    </t>
  </si>
  <si>
    <t xml:space="preserve">Cp/Cv                            1.304             1.304                                                                    </t>
  </si>
  <si>
    <t xml:space="preserve">Heat of Vap. (kJ/kgmole)         8174              ---                                                                      </t>
  </si>
  <si>
    <t xml:space="preserve">Kinematic Viscosity (cSt)        15.11             15.11                                                                    </t>
  </si>
  <si>
    <t xml:space="preserve">Molar Volume (m3/kgmole)         21.50             21.50                                                                    </t>
  </si>
  <si>
    <t xml:space="preserve">Mass Heat of Vap. (kJ/kg)        509.5             ---                                                                      </t>
  </si>
  <si>
    <t xml:space="preserve">Thermal Conductivity (W/m-K)     3.376e-002        3.376e-002                                                               </t>
  </si>
  <si>
    <t xml:space="preserve">Viscosity (cP)                   1.128e-002        1.128e-002                                                               </t>
  </si>
  <si>
    <t xml:space="preserve">Cv (Semi-Ideal) (kJ/kgmole-C)    27.76             27.76                                                                    </t>
  </si>
  <si>
    <t xml:space="preserve">Mass Cv (Semi-Ideal) (kJ/kg-C)   1.731             1.731                                                                    </t>
  </si>
  <si>
    <t xml:space="preserve">Cv (kJ/kgmole-C)                 27.67             27.67                                                                    </t>
  </si>
  <si>
    <t xml:space="preserve">Mass Cv (kJ/kg-C)                1.725             1.725                                                                    </t>
  </si>
  <si>
    <t xml:space="preserve">Cv (Ent. Method) (kJ/kgmole-C)   27.63             27.63                                                                    </t>
  </si>
  <si>
    <t xml:space="preserve">Mass Cv (Ent. Method) (kJ/kg-C)  1.722             1.722                                                                    </t>
  </si>
  <si>
    <t xml:space="preserve">Cp/Cv (Ent. Method)              1.306             1.306                                                                    </t>
  </si>
  <si>
    <t xml:space="preserve">Methane               2.4255           1.0000           38.9121          1.0000           0.1300           1.0000           </t>
  </si>
  <si>
    <t xml:space="preserve">Total                 2.4255           1.0000           38.9121          1.0000           0.1300           1.0000           </t>
  </si>
  <si>
    <t xml:space="preserve">Mixer: Burner premixer                                                            SpreadSheetCell: Efficiency@B2            </t>
  </si>
  <si>
    <t xml:space="preserve">                                                                                  Adjust: ADJ-2                             </t>
  </si>
  <si>
    <t>Water to Boiler (Material Stream): Worksheet, Attachments</t>
  </si>
  <si>
    <t xml:space="preserve">Material Stream: Water to Boiler                                                     Fluid Package: Basis-1                 </t>
  </si>
  <si>
    <t xml:space="preserve">Vapour / Phase Fraction          0.0106            0.0106            0.9894                                                 </t>
  </si>
  <si>
    <t xml:space="preserve">Temperature: (C)                 217.3             217.3             217.3                                                  </t>
  </si>
  <si>
    <t xml:space="preserve">Pressure: (kPa)                  2180              2180              2180                                                   </t>
  </si>
  <si>
    <t xml:space="preserve">Molar Flow (kgmole/h)            28.75             0.3053            28.44                                                  </t>
  </si>
  <si>
    <t xml:space="preserve">Mass Flow (kg/h)                 517.9             5.501             512.4                                                  </t>
  </si>
  <si>
    <t xml:space="preserve">Std Ideal Liq Vol Flow (m3/h)    0.5190            5.512e-003        0.5135                                                 </t>
  </si>
  <si>
    <t xml:space="preserve">Molar Enthalpy (kJ/kgmole)       -2.693e+005       -2.355e+005       -2.697e+005                                            </t>
  </si>
  <si>
    <t xml:space="preserve">Molar Entropy (kJ/kgmole-C)      94.73             163.7             93.99                                                  </t>
  </si>
  <si>
    <t xml:space="preserve">Heat Flow (kJ/h)                 -7.743e+006       -7.191e+004       -7.672e+006                                            </t>
  </si>
  <si>
    <t xml:space="preserve">Liq Vol Flow @Std Cond (m3/h)    0.5104            5.421e-003        0.5050                                                 </t>
  </si>
  <si>
    <t xml:space="preserve">Molecular Weight                 18.02             18.02             18.02                                                  </t>
  </si>
  <si>
    <t xml:space="preserve">Molar Density (kgmole/m3)        25.41             0.5902            46.34                                                  </t>
  </si>
  <si>
    <t xml:space="preserve">Mass Density (kg/m3)             457.8             10.63             834.8                                                  </t>
  </si>
  <si>
    <t xml:space="preserve">Act. Volume Flow (m3/h)          1.131             0.5174            0.6138                                                 </t>
  </si>
  <si>
    <t xml:space="preserve">Mass Enthalpy (kJ/kg)            -1.495e+004       -1.307e+004       -1.497e+004                                            </t>
  </si>
  <si>
    <t xml:space="preserve">Mass Entropy (kJ/kg-C)           5.259             9.088             5.218                                                  </t>
  </si>
  <si>
    <t xml:space="preserve">Heat Capacity (kJ/kgmole-C)      90.53             39.26             91.08                                                  </t>
  </si>
  <si>
    <t xml:space="preserve">Mass Heat Capacity (kJ/kg-C)     5.025             2.179             5.056                                                  </t>
  </si>
  <si>
    <t xml:space="preserve">Lower Heating Value (kJ/kgmole)  0.0000            0.0000            0.0000                                                 </t>
  </si>
  <si>
    <t xml:space="preserve">Phase Fraction [Vol. Basis]      1.062e-002        1.062e-002        0.9894                                                 </t>
  </si>
  <si>
    <t xml:space="preserve">Phase Fraction [Mass Basis]      1.062e-002        1.062e-002        0.9894                                                 </t>
  </si>
  <si>
    <t xml:space="preserve">Act. Gas Flow (ACT_m3/h)         ---               0.5174            ---                                                    </t>
  </si>
  <si>
    <t xml:space="preserve">Avg. Liq. Density (kgmole/m3)    55.40             55.40             55.40                                                  </t>
  </si>
  <si>
    <t xml:space="preserve">Specific Heat (kJ/kgmole-C)      90.53             39.26             91.08                                                  </t>
  </si>
  <si>
    <t xml:space="preserve">Std. Gas Flow (STD_m3/h)         679.8             7.220             672.6                                                  </t>
  </si>
  <si>
    <t xml:space="preserve">Std. Ideal Liq. Mass Density (kg/m3) 998.0             998.0             998.0                                                 </t>
  </si>
  <si>
    <t xml:space="preserve">Act. Liq. Flow (m3/s)            1.705e-004        ---               1.705e-004                                             </t>
  </si>
  <si>
    <t xml:space="preserve">Z Factor                         ---               0.9059            1.154e-002                                             </t>
  </si>
  <si>
    <t xml:space="preserve">Watson K                         ---               ---               ---                                                    </t>
  </si>
  <si>
    <t xml:space="preserve">Cp/(Cp - R)                      1.101             1.269             1.100                                                  </t>
  </si>
  <si>
    <t xml:space="preserve">Cp/Cv                            1.004             1.434             1.100                                                  </t>
  </si>
  <si>
    <t xml:space="preserve">Heat of Vap. (kJ/kgmole)         3.420e+004        ---               ---                                                    </t>
  </si>
  <si>
    <t xml:space="preserve">Kinematic Viscosity (cSt)        ---               1.529             0.1473                                                 </t>
  </si>
  <si>
    <t xml:space="preserve">Liq. Mass Density (Std. Cond) (kg/m3) 1015              1015              1015                                                  </t>
  </si>
  <si>
    <t xml:space="preserve">Liq. Vol. Flow (Std. Cond) (m3/h) 0.5104            5.421e-003        0.5050                                                </t>
  </si>
  <si>
    <t xml:space="preserve">Liquid Fraction                  0.9894            0.0000            1.000                                                  </t>
  </si>
  <si>
    <t xml:space="preserve">Molar Volume (m3/kgmole)         3.935e-002        1.694             2.158e-002                                             </t>
  </si>
  <si>
    <t xml:space="preserve">Mass Heat of Vap. (kJ/kg)        1898              ---               ---                                                    </t>
  </si>
  <si>
    <t xml:space="preserve">Phase Fraction [Molar Basis]     0.0106            0.0106            0.9894                                                 </t>
  </si>
  <si>
    <t xml:space="preserve">Surface Tension (dyne/cm)        33.85             ---               33.85                                                  </t>
  </si>
  <si>
    <t xml:space="preserve">Thermal Conductivity (W/m-K)     ---               4.083e-002        0.6508                                                 </t>
  </si>
  <si>
    <t xml:space="preserve">Viscosity (cP)                   ---               1.625e-002        0.1230                                                 </t>
  </si>
  <si>
    <t xml:space="preserve">Cv (Semi-Ideal) (kJ/kgmole-C)    82.21             30.94             82.76                                                  </t>
  </si>
  <si>
    <t xml:space="preserve">Mass Cv (Semi-Ideal) (kJ/kg-C)   4.563             1.718             4.594                                                  </t>
  </si>
  <si>
    <t xml:space="preserve">Cv (kJ/kgmole-C)                 90.20             27.37             82.76                                                  </t>
  </si>
  <si>
    <t xml:space="preserve">Mass Cv (kJ/kg-C)                5.007             1.519             4.594                                                  </t>
  </si>
  <si>
    <t xml:space="preserve">Cv (Ent. Method) (kJ/kgmole-C)   ---               26.44             ---                                                    </t>
  </si>
  <si>
    <t xml:space="preserve">Mass Cv (Ent. Method) (kJ/kg-C)  ---               1.468             ---                                                    </t>
  </si>
  <si>
    <t xml:space="preserve">Cp/Cv (Ent. Method)              ---               1.485             ---                                                    </t>
  </si>
  <si>
    <t xml:space="preserve">True VP at 37.8 C (kPa)          6.467             6.467             6.467                                                  </t>
  </si>
  <si>
    <t xml:space="preserve">Liq. Vol. Flow - Sum(Std. Cond) (m3/h) 0.5104            5.421e-003        0.5050                                                </t>
  </si>
  <si>
    <t xml:space="preserve">Overall Phase                                                                                     Vapour Fraction 0.0106    </t>
  </si>
  <si>
    <t xml:space="preserve">Vapour Phase                                                                                      Phase Fraction 1.062e-002 </t>
  </si>
  <si>
    <t xml:space="preserve">H2O                   0.3053           1.0000           5.5008           1.0000           0.0055           1.0000           </t>
  </si>
  <si>
    <t xml:space="preserve">Total                 0.3053           1.0000           5.5008           1.0000           0.0055           1.0000           </t>
  </si>
  <si>
    <t xml:space="preserve">Aqueous Phase                                                                                     Phase Fraction 0.9894     </t>
  </si>
  <si>
    <t xml:space="preserve">H2O                   28.4447          1.0000           512.4334         1.0000           0.5135           1.0000           </t>
  </si>
  <si>
    <t xml:space="preserve">Total                 28.4447          1.0000           512.4334         1.0000           0.5135           1.0000           </t>
  </si>
  <si>
    <t xml:space="preserve">Heat Exchanger: Boiler                   Heat Exchanger: H2 Cooler                                                          </t>
  </si>
  <si>
    <t>Water to H2 Cooler (Material Stream): Worksheet, Attachments</t>
  </si>
  <si>
    <t xml:space="preserve">Material Stream: Water to H2 Cooler                                                  Fluid Package: Basis-1                 </t>
  </si>
  <si>
    <t xml:space="preserve">Heat Flow (kJ/h)                 -8.204e+006       -8.204e+006                                                              </t>
  </si>
  <si>
    <t xml:space="preserve">Act. Volume Flow (m3/h)          0.5139            0.5139                                                                   </t>
  </si>
  <si>
    <t xml:space="preserve">Heat Exchanger: H2 Cooler                Pump: Water pump                                                                   </t>
  </si>
  <si>
    <t>Water to Superheater (Material Stream): Worksheet, Attachments</t>
  </si>
  <si>
    <t xml:space="preserve">Material Stream: Water to Superheater                                                Fluid Package: Basis-1                 </t>
  </si>
  <si>
    <t xml:space="preserve">Heat Exchanger: Superheater (Not Used)   Heat Exchanger: Boiler                                                             </t>
  </si>
  <si>
    <t>Distributed Hydrogen Production from Natural Gas - Future Timeframe</t>
  </si>
  <si>
    <t>Primary Feed System: Natural Gas</t>
  </si>
  <si>
    <t>Burner Feed System: Natural Gas</t>
  </si>
  <si>
    <t>Annular Ref-WGS-MS</t>
  </si>
  <si>
    <t>H2 Cooler</t>
  </si>
  <si>
    <t>H2 Compressor</t>
  </si>
  <si>
    <t>Natural gas is the sole feedstock and is also used as a supplemental fuel to the burner.    Flue gas is exhaused at 160C as excessive waste heat is generated that can't be used for recuperation.  The unit is assumed to be factory built (as opposed to on-site construction) and is skid-mounted for easy and rapid installation.   A single 1500kg/day unit is assumed (as opposed to the previous H2A assumption of parallel 750kg/day units.)  The system is assumed to be air cooled (and thus requires no cooling water flow).  The product hydrogen exits the reactor at 15psi and, after cooling, is compressed to 300psi.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</si>
</sst>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 numFmtId="189" formatCode="_(* #,##0.0000_);_(* \(#,##0.0000\);_(* &quot;-&quot;??_);_(@_)"/>
    <numFmt numFmtId="190" formatCode="_(* #,##0.00000_);_(* \(#,##0.00000\);_(* &quot;-&quot;??_);_(@_)"/>
    <numFmt numFmtId="191" formatCode="0.00000000"/>
  </numFmts>
  <fonts count="71" x14ac:knownFonts="1">
    <font>
      <sz val="10"/>
      <name val="Arial"/>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sz val="12"/>
      <name val="Arial"/>
      <family val="2"/>
    </font>
    <font>
      <b/>
      <u/>
      <sz val="11"/>
      <name val="Arial"/>
      <family val="2"/>
    </font>
    <font>
      <sz val="10"/>
      <color indexed="9"/>
      <name val="Arial"/>
      <family val="2"/>
    </font>
    <font>
      <sz val="14"/>
      <name val="Arial Black"/>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u/>
      <sz val="10"/>
      <name val="Arial"/>
      <family val="2"/>
    </font>
    <font>
      <sz val="11"/>
      <name val="Arial"/>
      <family val="2"/>
    </font>
    <font>
      <b/>
      <sz val="14"/>
      <color indexed="12"/>
      <name val="Arial Black"/>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1"/>
      <color indexed="8"/>
      <name val="Calibri"/>
      <family val="2"/>
      <scheme val="minor"/>
    </font>
    <font>
      <sz val="11"/>
      <color rgb="FFFF0000"/>
      <name val="Arial"/>
      <family val="2"/>
    </font>
    <font>
      <sz val="10"/>
      <color theme="9" tint="-0.249977111117893"/>
      <name val="Arial"/>
      <family val="2"/>
    </font>
    <font>
      <sz val="8"/>
      <color rgb="FF000000"/>
      <name val="Segoe UI"/>
      <family val="2"/>
    </font>
    <font>
      <b/>
      <sz val="10"/>
      <color rgb="FF0000FF"/>
      <name val="Arial"/>
      <family val="2"/>
    </font>
    <font>
      <b/>
      <i/>
      <sz val="10"/>
      <color rgb="FF0000FF"/>
      <name val="Arial"/>
      <family val="2"/>
    </font>
    <font>
      <b/>
      <sz val="11"/>
      <color rgb="FF0000FF"/>
      <name val="Calibri"/>
      <family val="2"/>
      <scheme val="minor"/>
    </font>
    <font>
      <b/>
      <sz val="10"/>
      <name val="Calibri"/>
      <family val="2"/>
    </font>
    <font>
      <sz val="11"/>
      <name val="Calibri"/>
      <family val="2"/>
    </font>
    <font>
      <b/>
      <sz val="14"/>
      <name val="Arial Black"/>
      <family val="2"/>
    </font>
    <font>
      <sz val="10"/>
      <color theme="0" tint="-0.14999847407452621"/>
      <name val="Arial"/>
      <family val="2"/>
    </font>
    <font>
      <sz val="10"/>
      <color theme="0"/>
      <name val="Arial"/>
      <family val="2"/>
    </font>
  </fonts>
  <fills count="26">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8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top style="thin">
        <color indexed="64"/>
      </top>
      <bottom/>
      <diagonal/>
    </border>
    <border>
      <left style="thick">
        <color indexed="64"/>
      </left>
      <right/>
      <top style="double">
        <color indexed="64"/>
      </top>
      <bottom style="thick">
        <color indexed="64"/>
      </bottom>
      <diagonal/>
    </border>
    <border>
      <left/>
      <right/>
      <top style="double">
        <color indexed="64"/>
      </top>
      <bottom style="thick">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medium">
        <color indexed="64"/>
      </top>
      <bottom/>
      <diagonal/>
    </border>
  </borders>
  <cellStyleXfs count="22">
    <xf numFmtId="0" fontId="0" fillId="0" borderId="0"/>
    <xf numFmtId="43" fontId="2" fillId="0" borderId="0" applyFont="0" applyFill="0" applyBorder="0" applyAlignment="0" applyProtection="0"/>
    <xf numFmtId="43" fontId="50" fillId="0" borderId="0" applyFont="0" applyFill="0" applyBorder="0" applyAlignment="0" applyProtection="0"/>
    <xf numFmtId="44" fontId="2" fillId="0" borderId="0" applyFont="0" applyFill="0" applyBorder="0" applyAlignment="0" applyProtection="0"/>
    <xf numFmtId="44" fontId="50"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2" fillId="0" borderId="0"/>
    <xf numFmtId="0" fontId="51" fillId="0" borderId="0"/>
    <xf numFmtId="0" fontId="51" fillId="0" borderId="0"/>
    <xf numFmtId="0" fontId="48" fillId="0" borderId="0"/>
    <xf numFmtId="0" fontId="51" fillId="0" borderId="0"/>
    <xf numFmtId="173" fontId="42" fillId="0" borderId="0"/>
    <xf numFmtId="173" fontId="42" fillId="0" borderId="0"/>
    <xf numFmtId="0" fontId="12" fillId="0" borderId="0"/>
    <xf numFmtId="0" fontId="12" fillId="0" borderId="0"/>
    <xf numFmtId="173" fontId="16" fillId="0" borderId="0"/>
    <xf numFmtId="9" fontId="2" fillId="0" borderId="0" applyFont="0" applyFill="0" applyBorder="0" applyAlignment="0" applyProtection="0"/>
    <xf numFmtId="9" fontId="12" fillId="0" borderId="0" applyFont="0" applyFill="0" applyBorder="0" applyAlignment="0" applyProtection="0"/>
    <xf numFmtId="9" fontId="50" fillId="0" borderId="0" applyFont="0" applyFill="0" applyBorder="0" applyAlignment="0" applyProtection="0"/>
    <xf numFmtId="0" fontId="59" fillId="0" borderId="0"/>
    <xf numFmtId="0" fontId="1" fillId="0" borderId="0"/>
  </cellStyleXfs>
  <cellXfs count="1717">
    <xf numFmtId="0" fontId="0" fillId="0" borderId="0" xfId="0"/>
    <xf numFmtId="0" fontId="4" fillId="0" borderId="0" xfId="0" applyFont="1"/>
    <xf numFmtId="0" fontId="6" fillId="0" borderId="0" xfId="0" applyFont="1"/>
    <xf numFmtId="0" fontId="9" fillId="2" borderId="1" xfId="0" applyFont="1" applyFill="1" applyBorder="1" applyAlignment="1">
      <alignment wrapText="1"/>
    </xf>
    <xf numFmtId="0" fontId="9" fillId="2" borderId="2" xfId="0" applyFont="1" applyFill="1" applyBorder="1" applyAlignment="1">
      <alignment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0" xfId="0" applyFont="1" applyFill="1" applyBorder="1" applyAlignment="1">
      <alignment vertical="center" wrapText="1"/>
    </xf>
    <xf numFmtId="0" fontId="9" fillId="3" borderId="0"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8" fillId="2" borderId="4" xfId="0" applyFont="1" applyFill="1" applyBorder="1" applyAlignment="1">
      <alignment horizontal="left" vertical="center" wrapText="1"/>
    </xf>
    <xf numFmtId="0" fontId="9" fillId="2" borderId="0" xfId="0" applyFont="1" applyFill="1" applyBorder="1" applyAlignment="1">
      <alignment horizontal="left" vertical="center" wrapText="1"/>
    </xf>
    <xf numFmtId="1" fontId="8" fillId="2"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0" fontId="8" fillId="2" borderId="4" xfId="0" applyFont="1" applyFill="1" applyBorder="1" applyAlignment="1">
      <alignment vertical="center" wrapText="1"/>
    </xf>
    <xf numFmtId="0" fontId="9" fillId="2" borderId="0" xfId="0" applyFont="1" applyFill="1" applyBorder="1" applyAlignment="1">
      <alignment vertical="center" wrapText="1"/>
    </xf>
    <xf numFmtId="3" fontId="8" fillId="2" borderId="0" xfId="0" applyNumberFormat="1" applyFont="1" applyFill="1" applyBorder="1" applyAlignment="1">
      <alignment horizontal="center" vertical="center"/>
    </xf>
    <xf numFmtId="166" fontId="8" fillId="2" borderId="0" xfId="0" applyNumberFormat="1" applyFont="1" applyFill="1" applyBorder="1" applyAlignment="1">
      <alignment horizontal="center" vertical="center"/>
    </xf>
    <xf numFmtId="3" fontId="8" fillId="2" borderId="0" xfId="0" applyNumberFormat="1" applyFont="1" applyFill="1" applyBorder="1" applyAlignment="1">
      <alignment horizontal="center" vertical="center" wrapText="1"/>
    </xf>
    <xf numFmtId="166" fontId="8" fillId="2" borderId="5" xfId="0" applyNumberFormat="1" applyFont="1" applyFill="1" applyBorder="1" applyAlignment="1">
      <alignment horizontal="center" vertical="center" wrapText="1"/>
    </xf>
    <xf numFmtId="3" fontId="8" fillId="2" borderId="5" xfId="0" applyNumberFormat="1" applyFont="1" applyFill="1" applyBorder="1" applyAlignment="1">
      <alignment horizontal="center" vertical="center" wrapText="1"/>
    </xf>
    <xf numFmtId="3" fontId="8" fillId="2" borderId="5" xfId="0" quotePrefix="1" applyNumberFormat="1" applyFont="1" applyFill="1" applyBorder="1" applyAlignment="1">
      <alignment horizontal="center" vertical="center" wrapText="1"/>
    </xf>
    <xf numFmtId="0" fontId="9" fillId="2" borderId="0" xfId="0" applyFont="1" applyFill="1" applyBorder="1" applyAlignment="1">
      <alignment vertical="center"/>
    </xf>
    <xf numFmtId="3" fontId="8" fillId="2" borderId="0" xfId="0" quotePrefix="1" applyNumberFormat="1" applyFont="1" applyFill="1" applyBorder="1" applyAlignment="1">
      <alignment horizontal="center" vertical="center" wrapText="1"/>
    </xf>
    <xf numFmtId="0" fontId="8" fillId="2" borderId="4" xfId="0" applyFont="1" applyFill="1" applyBorder="1" applyAlignment="1">
      <alignment horizontal="left" wrapText="1"/>
    </xf>
    <xf numFmtId="0" fontId="8" fillId="2" borderId="0" xfId="0" applyFont="1" applyFill="1" applyBorder="1" applyAlignment="1">
      <alignment horizontal="left" wrapText="1"/>
    </xf>
    <xf numFmtId="0" fontId="8"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6" fillId="0" borderId="6" xfId="0" applyFont="1" applyBorder="1" applyAlignment="1">
      <alignment horizontal="center"/>
    </xf>
    <xf numFmtId="0" fontId="6" fillId="0" borderId="7" xfId="0" applyFont="1" applyBorder="1" applyAlignment="1">
      <alignment horizontal="center"/>
    </xf>
    <xf numFmtId="0" fontId="0" fillId="0" borderId="0" xfId="0" applyFill="1"/>
    <xf numFmtId="0" fontId="12" fillId="0" borderId="0" xfId="0" applyFont="1" applyAlignment="1">
      <alignment vertical="top" wrapText="1"/>
    </xf>
    <xf numFmtId="0" fontId="12" fillId="3" borderId="8" xfId="0" applyFont="1" applyFill="1" applyBorder="1" applyAlignment="1" applyProtection="1">
      <alignment horizontal="left" vertical="center" wrapText="1"/>
    </xf>
    <xf numFmtId="0" fontId="17" fillId="0" borderId="0" xfId="0" applyFont="1" applyProtection="1"/>
    <xf numFmtId="0" fontId="0" fillId="0" borderId="0" xfId="0" applyProtection="1"/>
    <xf numFmtId="0" fontId="0" fillId="0" borderId="0" xfId="0" applyFill="1" applyProtection="1"/>
    <xf numFmtId="0" fontId="12" fillId="0" borderId="0" xfId="0" applyFont="1" applyFill="1" applyBorder="1" applyAlignment="1" applyProtection="1">
      <alignment horizontal="left" vertical="center" wrapText="1"/>
    </xf>
    <xf numFmtId="0" fontId="4" fillId="0" borderId="0" xfId="0" quotePrefix="1" applyFont="1" applyFill="1" applyBorder="1" applyAlignment="1" applyProtection="1">
      <alignment horizontal="left" vertical="center"/>
    </xf>
    <xf numFmtId="0" fontId="13" fillId="4" borderId="0" xfId="0" applyFont="1" applyFill="1" applyProtection="1"/>
    <xf numFmtId="0" fontId="12" fillId="4" borderId="0" xfId="0" applyFont="1" applyFill="1" applyProtection="1"/>
    <xf numFmtId="0" fontId="12" fillId="0" borderId="0" xfId="0" applyFont="1" applyFill="1" applyProtection="1"/>
    <xf numFmtId="0" fontId="0" fillId="0" borderId="0" xfId="0" applyFill="1" applyBorder="1" applyProtection="1"/>
    <xf numFmtId="0" fontId="12" fillId="5" borderId="8" xfId="0" applyFont="1" applyFill="1" applyBorder="1" applyAlignment="1" applyProtection="1">
      <alignment horizontal="left" vertical="center" wrapText="1"/>
    </xf>
    <xf numFmtId="0" fontId="12" fillId="6" borderId="8" xfId="0" applyFont="1" applyFill="1" applyBorder="1" applyAlignment="1" applyProtection="1">
      <alignment horizontal="left" vertical="center" wrapText="1"/>
    </xf>
    <xf numFmtId="0" fontId="0" fillId="4" borderId="8" xfId="0" applyFill="1" applyBorder="1" applyProtection="1"/>
    <xf numFmtId="173" fontId="18" fillId="0" borderId="9" xfId="16" applyFont="1" applyBorder="1" applyAlignment="1" applyProtection="1"/>
    <xf numFmtId="173" fontId="18"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2" fillId="0" borderId="0" xfId="16" applyFont="1" applyProtection="1"/>
    <xf numFmtId="173" fontId="4" fillId="0" borderId="13" xfId="16" applyFont="1" applyBorder="1" applyAlignment="1" applyProtection="1">
      <alignment horizontal="center"/>
    </xf>
    <xf numFmtId="173" fontId="4" fillId="0" borderId="14" xfId="16" applyFont="1" applyBorder="1" applyAlignment="1" applyProtection="1">
      <alignment horizontal="center"/>
    </xf>
    <xf numFmtId="173" fontId="4" fillId="0" borderId="15" xfId="16" applyFont="1" applyBorder="1" applyAlignment="1" applyProtection="1">
      <alignment horizontal="center"/>
    </xf>
    <xf numFmtId="173" fontId="4" fillId="0" borderId="16" xfId="16" applyFont="1" applyBorder="1" applyAlignment="1" applyProtection="1">
      <alignment horizontal="center"/>
    </xf>
    <xf numFmtId="173" fontId="12" fillId="3" borderId="17" xfId="16" applyFont="1" applyFill="1" applyBorder="1" applyProtection="1"/>
    <xf numFmtId="170" fontId="12" fillId="3" borderId="8" xfId="16" applyNumberFormat="1" applyFont="1" applyFill="1" applyBorder="1" applyProtection="1"/>
    <xf numFmtId="170" fontId="12" fillId="3" borderId="19" xfId="16" applyNumberFormat="1" applyFont="1" applyFill="1" applyBorder="1" applyProtection="1"/>
    <xf numFmtId="173" fontId="12" fillId="3" borderId="20" xfId="16" applyFont="1" applyFill="1" applyBorder="1" applyProtection="1"/>
    <xf numFmtId="170" fontId="12" fillId="3" borderId="23" xfId="16" applyNumberFormat="1" applyFont="1" applyFill="1" applyBorder="1" applyProtection="1"/>
    <xf numFmtId="0" fontId="18"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8"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8"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4" fillId="3" borderId="13" xfId="0" applyFont="1" applyFill="1" applyBorder="1" applyProtection="1"/>
    <xf numFmtId="0" fontId="4" fillId="3" borderId="15" xfId="0" applyFont="1" applyFill="1" applyBorder="1" applyProtection="1"/>
    <xf numFmtId="0" fontId="4" fillId="3" borderId="16" xfId="0" applyFont="1" applyFill="1" applyBorder="1" applyAlignment="1" applyProtection="1">
      <alignment wrapText="1"/>
    </xf>
    <xf numFmtId="5" fontId="2"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2" fillId="3" borderId="38" xfId="3" applyNumberFormat="1" applyFill="1" applyBorder="1" applyProtection="1"/>
    <xf numFmtId="0" fontId="4" fillId="3" borderId="25" xfId="0" applyFont="1" applyFill="1" applyBorder="1" applyProtection="1"/>
    <xf numFmtId="170" fontId="4" fillId="3" borderId="26" xfId="0" applyNumberFormat="1" applyFont="1" applyFill="1" applyBorder="1" applyProtection="1"/>
    <xf numFmtId="5" fontId="4" fillId="3" borderId="27" xfId="3" applyNumberFormat="1" applyFont="1" applyFill="1" applyBorder="1" applyProtection="1"/>
    <xf numFmtId="0" fontId="4" fillId="0" borderId="0" xfId="0" applyFont="1" applyFill="1" applyBorder="1" applyProtection="1"/>
    <xf numFmtId="170" fontId="4" fillId="0" borderId="0" xfId="0" applyNumberFormat="1" applyFont="1" applyFill="1" applyBorder="1" applyProtection="1"/>
    <xf numFmtId="5" fontId="4" fillId="0" borderId="0" xfId="3" applyNumberFormat="1" applyFont="1" applyFill="1" applyBorder="1" applyProtection="1"/>
    <xf numFmtId="0" fontId="4" fillId="3" borderId="20" xfId="0" applyFont="1" applyFill="1" applyBorder="1" applyAlignment="1" applyProtection="1">
      <alignment wrapText="1"/>
    </xf>
    <xf numFmtId="0" fontId="4" fillId="3" borderId="23" xfId="0" applyFont="1" applyFill="1" applyBorder="1" applyAlignment="1" applyProtection="1">
      <alignment wrapText="1"/>
    </xf>
    <xf numFmtId="0" fontId="0" fillId="3" borderId="39" xfId="0" applyFill="1" applyBorder="1" applyProtection="1"/>
    <xf numFmtId="170" fontId="4" fillId="3" borderId="27" xfId="0" applyNumberFormat="1" applyFont="1" applyFill="1" applyBorder="1" applyProtection="1"/>
    <xf numFmtId="173" fontId="17" fillId="0" borderId="0" xfId="16" applyFont="1" applyAlignment="1" applyProtection="1">
      <alignment horizontal="left"/>
    </xf>
    <xf numFmtId="173" fontId="12" fillId="0" borderId="0" xfId="16" applyFont="1" applyFill="1" applyBorder="1" applyProtection="1"/>
    <xf numFmtId="173" fontId="8" fillId="0" borderId="0" xfId="16" applyFont="1" applyFill="1" applyProtection="1"/>
    <xf numFmtId="173" fontId="20" fillId="0" borderId="0" xfId="16" applyFont="1" applyProtection="1"/>
    <xf numFmtId="173" fontId="21" fillId="0" borderId="0" xfId="16" applyFont="1" applyAlignment="1" applyProtection="1">
      <alignment horizontal="left"/>
    </xf>
    <xf numFmtId="173" fontId="12" fillId="0" borderId="17" xfId="16" applyFont="1" applyBorder="1" applyAlignment="1" applyProtection="1">
      <alignment wrapText="1"/>
    </xf>
    <xf numFmtId="173" fontId="12" fillId="0" borderId="17" xfId="16" applyFont="1" applyBorder="1" applyProtection="1"/>
    <xf numFmtId="164" fontId="12" fillId="3" borderId="19" xfId="16" applyNumberFormat="1" applyFont="1" applyFill="1" applyBorder="1" applyAlignment="1" applyProtection="1">
      <alignment horizontal="center"/>
    </xf>
    <xf numFmtId="173" fontId="12" fillId="0" borderId="36" xfId="16" applyFont="1" applyBorder="1" applyProtection="1"/>
    <xf numFmtId="164" fontId="12" fillId="3" borderId="38" xfId="16" applyNumberFormat="1" applyFont="1" applyFill="1" applyBorder="1" applyAlignment="1" applyProtection="1">
      <alignment horizontal="center"/>
    </xf>
    <xf numFmtId="0" fontId="20" fillId="0" borderId="0" xfId="0" applyFont="1" applyFill="1" applyBorder="1" applyAlignment="1" applyProtection="1">
      <alignment horizontal="left" vertical="center"/>
    </xf>
    <xf numFmtId="173" fontId="12" fillId="0" borderId="36" xfId="16" applyFont="1" applyBorder="1" applyAlignment="1" applyProtection="1">
      <alignment wrapText="1"/>
    </xf>
    <xf numFmtId="165" fontId="12" fillId="3" borderId="38" xfId="16" applyNumberFormat="1" applyFont="1" applyFill="1" applyBorder="1" applyAlignment="1" applyProtection="1">
      <alignment horizontal="center"/>
    </xf>
    <xf numFmtId="173" fontId="12" fillId="0" borderId="20" xfId="16" applyFont="1" applyBorder="1" applyProtection="1"/>
    <xf numFmtId="173" fontId="12" fillId="0" borderId="0" xfId="16" applyFont="1" applyBorder="1" applyProtection="1"/>
    <xf numFmtId="173" fontId="12" fillId="0" borderId="0" xfId="16" applyFont="1" applyFill="1" applyProtection="1"/>
    <xf numFmtId="0" fontId="18" fillId="0" borderId="10" xfId="0" applyFont="1" applyBorder="1" applyAlignment="1" applyProtection="1">
      <alignment wrapText="1"/>
    </xf>
    <xf numFmtId="173" fontId="12" fillId="0" borderId="11" xfId="16" applyFont="1" applyBorder="1" applyProtection="1"/>
    <xf numFmtId="10" fontId="12" fillId="0" borderId="0" xfId="17" applyNumberFormat="1" applyFont="1" applyFill="1" applyBorder="1" applyProtection="1"/>
    <xf numFmtId="173" fontId="4" fillId="0" borderId="40" xfId="16" applyFont="1" applyBorder="1" applyAlignment="1" applyProtection="1">
      <alignment horizontal="center"/>
    </xf>
    <xf numFmtId="164" fontId="12" fillId="3" borderId="31" xfId="16" applyNumberFormat="1" applyFont="1" applyFill="1" applyBorder="1" applyProtection="1"/>
    <xf numFmtId="164" fontId="12" fillId="3" borderId="19" xfId="16" applyNumberFormat="1" applyFont="1" applyFill="1" applyBorder="1" applyProtection="1"/>
    <xf numFmtId="173" fontId="18" fillId="0" borderId="9" xfId="16" applyFont="1" applyBorder="1" applyAlignment="1" applyProtection="1">
      <alignment horizontal="left"/>
    </xf>
    <xf numFmtId="173" fontId="22" fillId="0" borderId="17" xfId="16" applyFont="1" applyBorder="1" applyAlignment="1" applyProtection="1">
      <alignment horizontal="left"/>
    </xf>
    <xf numFmtId="173" fontId="12" fillId="0" borderId="19" xfId="16" applyFont="1" applyBorder="1" applyProtection="1"/>
    <xf numFmtId="173" fontId="12" fillId="0" borderId="17" xfId="16" applyFont="1" applyBorder="1" applyAlignment="1" applyProtection="1">
      <alignment horizontal="left" wrapText="1"/>
    </xf>
    <xf numFmtId="3" fontId="12" fillId="3" borderId="19" xfId="16" applyNumberFormat="1" applyFont="1" applyFill="1" applyBorder="1" applyProtection="1"/>
    <xf numFmtId="173" fontId="12" fillId="0" borderId="17" xfId="16" applyFont="1" applyBorder="1" applyAlignment="1" applyProtection="1">
      <alignment horizontal="left"/>
    </xf>
    <xf numFmtId="0" fontId="12" fillId="0" borderId="17" xfId="0" applyFont="1" applyFill="1" applyBorder="1" applyAlignment="1" applyProtection="1">
      <alignment horizontal="left" vertical="center"/>
    </xf>
    <xf numFmtId="2" fontId="12" fillId="3" borderId="19" xfId="16" applyNumberFormat="1" applyFont="1" applyFill="1" applyBorder="1" applyProtection="1"/>
    <xf numFmtId="173" fontId="12" fillId="0" borderId="19" xfId="16" applyFont="1" applyFill="1" applyBorder="1" applyProtection="1"/>
    <xf numFmtId="1" fontId="12" fillId="3" borderId="19" xfId="16" applyNumberFormat="1" applyFont="1" applyFill="1" applyBorder="1" applyProtection="1"/>
    <xf numFmtId="173" fontId="23" fillId="0" borderId="0" xfId="16" applyFont="1" applyFill="1" applyProtection="1"/>
    <xf numFmtId="0" fontId="0" fillId="0" borderId="0" xfId="0" applyBorder="1" applyProtection="1"/>
    <xf numFmtId="9" fontId="12" fillId="3" borderId="19" xfId="16" applyNumberFormat="1" applyFont="1" applyFill="1" applyBorder="1" applyProtection="1"/>
    <xf numFmtId="9" fontId="12" fillId="3" borderId="7" xfId="16" applyNumberFormat="1" applyFont="1" applyFill="1" applyBorder="1" applyProtection="1"/>
    <xf numFmtId="164" fontId="12" fillId="0" borderId="19" xfId="16" applyNumberFormat="1" applyFont="1" applyFill="1" applyBorder="1" applyProtection="1"/>
    <xf numFmtId="173" fontId="22" fillId="0" borderId="17" xfId="16" applyFont="1" applyBorder="1" applyProtection="1"/>
    <xf numFmtId="9" fontId="12" fillId="0" borderId="19" xfId="16" applyNumberFormat="1" applyFont="1" applyFill="1" applyBorder="1" applyProtection="1"/>
    <xf numFmtId="10" fontId="12" fillId="3" borderId="19" xfId="16" applyNumberFormat="1" applyFont="1" applyFill="1" applyBorder="1" applyProtection="1"/>
    <xf numFmtId="7" fontId="12" fillId="0" borderId="0" xfId="3" applyNumberFormat="1" applyFont="1" applyFill="1" applyBorder="1" applyProtection="1"/>
    <xf numFmtId="1" fontId="12" fillId="3" borderId="19" xfId="16" applyNumberFormat="1" applyFont="1" applyFill="1" applyBorder="1" applyAlignment="1" applyProtection="1">
      <alignment horizontal="right"/>
    </xf>
    <xf numFmtId="170" fontId="12" fillId="3" borderId="19" xfId="16" applyNumberFormat="1" applyFont="1" applyFill="1" applyBorder="1" applyAlignment="1" applyProtection="1">
      <alignment horizontal="right"/>
    </xf>
    <xf numFmtId="173" fontId="12" fillId="0" borderId="20" xfId="16" applyFont="1" applyBorder="1" applyAlignment="1" applyProtection="1">
      <alignment wrapText="1"/>
    </xf>
    <xf numFmtId="0" fontId="0" fillId="0" borderId="10" xfId="0" applyBorder="1" applyAlignment="1" applyProtection="1">
      <alignment wrapText="1"/>
    </xf>
    <xf numFmtId="173" fontId="4" fillId="0" borderId="0" xfId="16" applyFont="1" applyFill="1" applyBorder="1" applyAlignment="1" applyProtection="1">
      <alignment horizontal="center" wrapText="1"/>
    </xf>
    <xf numFmtId="173" fontId="12" fillId="3" borderId="13" xfId="16" applyFont="1" applyFill="1" applyBorder="1" applyProtection="1"/>
    <xf numFmtId="173" fontId="12" fillId="3" borderId="15" xfId="16" applyFont="1" applyFill="1" applyBorder="1" applyProtection="1"/>
    <xf numFmtId="165" fontId="12" fillId="3" borderId="15" xfId="16" applyNumberFormat="1" applyFont="1" applyFill="1" applyBorder="1" applyProtection="1"/>
    <xf numFmtId="170" fontId="12" fillId="3" borderId="15" xfId="16" applyNumberFormat="1" applyFont="1" applyFill="1" applyBorder="1" applyProtection="1"/>
    <xf numFmtId="6" fontId="12" fillId="3" borderId="15" xfId="16" applyNumberFormat="1" applyFont="1" applyFill="1" applyBorder="1" applyProtection="1"/>
    <xf numFmtId="164" fontId="2" fillId="3" borderId="15" xfId="17" applyNumberFormat="1" applyFill="1" applyBorder="1" applyProtection="1"/>
    <xf numFmtId="173" fontId="12" fillId="3" borderId="8" xfId="16" applyFont="1" applyFill="1" applyBorder="1" applyProtection="1"/>
    <xf numFmtId="165" fontId="12" fillId="3" borderId="8" xfId="16" applyNumberFormat="1" applyFont="1" applyFill="1" applyBorder="1" applyProtection="1"/>
    <xf numFmtId="6" fontId="12" fillId="3" borderId="8" xfId="16" applyNumberFormat="1" applyFont="1" applyFill="1" applyBorder="1" applyProtection="1"/>
    <xf numFmtId="164" fontId="2" fillId="3" borderId="8" xfId="17" applyNumberFormat="1" applyFill="1" applyBorder="1" applyProtection="1"/>
    <xf numFmtId="173" fontId="12" fillId="3" borderId="22" xfId="16" applyFont="1" applyFill="1" applyBorder="1" applyProtection="1"/>
    <xf numFmtId="6" fontId="12" fillId="3" borderId="22" xfId="16" applyNumberFormat="1" applyFont="1" applyFill="1" applyBorder="1" applyProtection="1"/>
    <xf numFmtId="173" fontId="12" fillId="0" borderId="0" xfId="16" applyFont="1" applyAlignment="1" applyProtection="1">
      <alignment horizontal="right"/>
    </xf>
    <xf numFmtId="170" fontId="12" fillId="0" borderId="0" xfId="16" applyNumberFormat="1" applyFont="1" applyFill="1" applyProtection="1"/>
    <xf numFmtId="0" fontId="18" fillId="0" borderId="11" xfId="0" applyFont="1" applyBorder="1" applyAlignment="1" applyProtection="1">
      <alignment wrapText="1"/>
    </xf>
    <xf numFmtId="173" fontId="12" fillId="3" borderId="17" xfId="16" applyFont="1" applyFill="1" applyBorder="1" applyAlignment="1" applyProtection="1">
      <alignment horizontal="right"/>
    </xf>
    <xf numFmtId="10" fontId="12" fillId="3" borderId="8" xfId="16" applyNumberFormat="1" applyFont="1" applyFill="1" applyBorder="1" applyProtection="1"/>
    <xf numFmtId="169" fontId="12" fillId="3" borderId="19" xfId="16" applyNumberFormat="1" applyFont="1" applyFill="1" applyBorder="1" applyAlignment="1" applyProtection="1">
      <alignment horizontal="right"/>
    </xf>
    <xf numFmtId="173" fontId="12" fillId="3" borderId="20" xfId="16" applyFont="1" applyFill="1" applyBorder="1" applyAlignment="1" applyProtection="1">
      <alignment horizontal="right" wrapText="1"/>
    </xf>
    <xf numFmtId="10" fontId="12" fillId="3" borderId="22" xfId="16" applyNumberFormat="1" applyFont="1" applyFill="1" applyBorder="1" applyProtection="1"/>
    <xf numFmtId="169" fontId="12" fillId="3" borderId="23" xfId="16" applyNumberFormat="1" applyFont="1" applyFill="1" applyBorder="1" applyAlignment="1" applyProtection="1">
      <alignment horizontal="right"/>
    </xf>
    <xf numFmtId="173" fontId="18" fillId="0" borderId="46" xfId="16" applyFont="1" applyFill="1" applyBorder="1" applyAlignment="1" applyProtection="1"/>
    <xf numFmtId="0" fontId="0" fillId="0" borderId="47" xfId="0" applyBorder="1" applyAlignment="1" applyProtection="1">
      <alignment wrapText="1"/>
    </xf>
    <xf numFmtId="173" fontId="18" fillId="0" borderId="9" xfId="16" applyFont="1" applyFill="1" applyBorder="1" applyAlignment="1" applyProtection="1">
      <alignment wrapText="1"/>
    </xf>
    <xf numFmtId="0" fontId="18" fillId="0" borderId="9" xfId="0" applyFont="1" applyBorder="1" applyAlignment="1" applyProtection="1">
      <alignment wrapText="1"/>
    </xf>
    <xf numFmtId="173" fontId="4" fillId="0" borderId="48" xfId="16" applyFont="1" applyFill="1" applyBorder="1" applyAlignment="1" applyProtection="1">
      <alignment horizontal="center"/>
    </xf>
    <xf numFmtId="173" fontId="12" fillId="3" borderId="49" xfId="16" applyFont="1" applyFill="1" applyBorder="1" applyProtection="1"/>
    <xf numFmtId="169" fontId="12" fillId="3" borderId="17" xfId="16" applyNumberFormat="1" applyFont="1" applyFill="1" applyBorder="1" applyProtection="1"/>
    <xf numFmtId="169" fontId="12" fillId="3" borderId="8" xfId="16" applyNumberFormat="1" applyFont="1" applyFill="1" applyBorder="1" applyProtection="1"/>
    <xf numFmtId="173" fontId="12"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2" fillId="0" borderId="0" xfId="0" applyFont="1" applyFill="1" applyProtection="1">
      <protection locked="0"/>
    </xf>
    <xf numFmtId="0" fontId="4" fillId="0" borderId="0" xfId="0" applyFont="1" applyFill="1" applyProtection="1"/>
    <xf numFmtId="0" fontId="4"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2"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2"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2"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7" fillId="0" borderId="25" xfId="0" applyFont="1" applyBorder="1" applyAlignment="1" applyProtection="1">
      <alignment wrapText="1"/>
    </xf>
    <xf numFmtId="0" fontId="27" fillId="0" borderId="51" xfId="0" applyFont="1" applyFill="1" applyBorder="1" applyAlignment="1" applyProtection="1">
      <alignment horizontal="center" wrapText="1"/>
    </xf>
    <xf numFmtId="0" fontId="27" fillId="0" borderId="52" xfId="0" applyFont="1" applyFill="1" applyBorder="1" applyAlignment="1" applyProtection="1">
      <alignment horizontal="center" wrapText="1"/>
    </xf>
    <xf numFmtId="0" fontId="27" fillId="0" borderId="53" xfId="0" applyFont="1" applyFill="1" applyBorder="1" applyAlignment="1" applyProtection="1">
      <alignment horizontal="center" wrapText="1"/>
    </xf>
    <xf numFmtId="0" fontId="27" fillId="0" borderId="54" xfId="0" applyFont="1" applyFill="1" applyBorder="1" applyAlignment="1" applyProtection="1">
      <alignment horizontal="center" wrapText="1"/>
    </xf>
    <xf numFmtId="173" fontId="4" fillId="0" borderId="0" xfId="16" applyFont="1" applyAlignment="1" applyProtection="1">
      <alignment vertical="top" wrapText="1"/>
    </xf>
    <xf numFmtId="0" fontId="12"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2" fillId="3" borderId="18" xfId="16" applyNumberFormat="1" applyFont="1" applyFill="1" applyBorder="1" applyProtection="1"/>
    <xf numFmtId="0" fontId="18" fillId="0" borderId="25" xfId="0" applyFont="1" applyBorder="1" applyAlignment="1" applyProtection="1">
      <alignment wrapText="1"/>
    </xf>
    <xf numFmtId="169" fontId="12" fillId="3" borderId="55" xfId="16" applyNumberFormat="1" applyFont="1" applyFill="1" applyBorder="1" applyProtection="1"/>
    <xf numFmtId="169" fontId="12" fillId="3" borderId="19" xfId="16" applyNumberFormat="1" applyFont="1" applyFill="1" applyBorder="1" applyProtection="1"/>
    <xf numFmtId="173" fontId="12" fillId="0" borderId="56" xfId="16" applyFont="1" applyBorder="1" applyProtection="1"/>
    <xf numFmtId="173" fontId="4" fillId="0" borderId="34" xfId="16" applyFont="1" applyFill="1" applyBorder="1" applyAlignment="1" applyProtection="1">
      <alignment horizontal="center" wrapText="1"/>
    </xf>
    <xf numFmtId="173" fontId="4" fillId="7" borderId="34" xfId="16" applyFont="1" applyFill="1" applyBorder="1" applyAlignment="1" applyProtection="1">
      <alignment horizontal="center" wrapText="1"/>
    </xf>
    <xf numFmtId="169" fontId="12" fillId="7" borderId="17" xfId="16" applyNumberFormat="1" applyFont="1" applyFill="1" applyBorder="1" applyProtection="1"/>
    <xf numFmtId="174" fontId="12" fillId="7" borderId="17" xfId="16" applyNumberFormat="1" applyFont="1" applyFill="1" applyBorder="1" applyProtection="1"/>
    <xf numFmtId="174" fontId="12" fillId="7" borderId="20" xfId="16" applyNumberFormat="1" applyFont="1" applyFill="1" applyBorder="1" applyProtection="1"/>
    <xf numFmtId="0" fontId="4"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5"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4" fillId="7" borderId="1" xfId="0" applyFont="1" applyFill="1" applyBorder="1"/>
    <xf numFmtId="0" fontId="0" fillId="7" borderId="2" xfId="0" applyFill="1" applyBorder="1"/>
    <xf numFmtId="0" fontId="4"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8"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2" fillId="14" borderId="63" xfId="0" applyFont="1" applyFill="1" applyBorder="1" applyProtection="1"/>
    <xf numFmtId="0" fontId="12" fillId="14" borderId="17" xfId="0" applyFont="1" applyFill="1" applyBorder="1" applyProtection="1"/>
    <xf numFmtId="0" fontId="2" fillId="0" borderId="0" xfId="0" applyFont="1"/>
    <xf numFmtId="0" fontId="2" fillId="7" borderId="0" xfId="0" applyFont="1" applyFill="1"/>
    <xf numFmtId="0" fontId="2" fillId="4" borderId="0" xfId="0" applyFont="1" applyFill="1"/>
    <xf numFmtId="0" fontId="2" fillId="9" borderId="0" xfId="0" applyFont="1" applyFill="1"/>
    <xf numFmtId="0" fontId="2" fillId="11" borderId="0" xfId="0" applyFont="1" applyFill="1"/>
    <xf numFmtId="0" fontId="2" fillId="12" borderId="0" xfId="0" applyFont="1" applyFill="1"/>
    <xf numFmtId="0" fontId="2" fillId="10" borderId="0" xfId="0" applyFont="1" applyFill="1"/>
    <xf numFmtId="164" fontId="13"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4" fillId="0" borderId="17" xfId="16" applyFont="1" applyBorder="1" applyAlignment="1" applyProtection="1">
      <alignment wrapText="1"/>
    </xf>
    <xf numFmtId="0" fontId="26" fillId="2" borderId="0" xfId="0" applyFont="1" applyFill="1" applyBorder="1" applyAlignment="1">
      <alignment horizontal="center" vertical="top" wrapText="1"/>
    </xf>
    <xf numFmtId="0" fontId="2" fillId="2" borderId="4" xfId="0" applyFont="1" applyFill="1" applyBorder="1" applyAlignment="1">
      <alignment vertical="top" wrapText="1"/>
    </xf>
    <xf numFmtId="0" fontId="4" fillId="2" borderId="4" xfId="0" applyFont="1" applyFill="1" applyBorder="1" applyAlignment="1">
      <alignment vertical="top" wrapText="1"/>
    </xf>
    <xf numFmtId="0" fontId="6" fillId="2" borderId="4" xfId="0" applyFont="1" applyFill="1" applyBorder="1" applyAlignment="1">
      <alignment vertical="top" wrapText="1"/>
    </xf>
    <xf numFmtId="0" fontId="4" fillId="2" borderId="4" xfId="0" applyFont="1" applyFill="1" applyBorder="1" applyAlignment="1">
      <alignment horizontal="left" vertical="top" wrapText="1"/>
    </xf>
    <xf numFmtId="0" fontId="6" fillId="2" borderId="58" xfId="0" applyFont="1" applyFill="1" applyBorder="1" applyAlignment="1">
      <alignment vertical="top" wrapText="1"/>
    </xf>
    <xf numFmtId="0" fontId="14" fillId="2" borderId="24" xfId="0" applyFont="1" applyFill="1" applyBorder="1" applyAlignment="1" applyProtection="1">
      <alignment horizontal="left"/>
    </xf>
    <xf numFmtId="3" fontId="4" fillId="2" borderId="65" xfId="0" applyNumberFormat="1" applyFont="1" applyFill="1" applyBorder="1" applyAlignment="1" applyProtection="1">
      <alignment vertical="center" wrapText="1"/>
    </xf>
    <xf numFmtId="0" fontId="4" fillId="2" borderId="65" xfId="0" applyFont="1" applyFill="1" applyBorder="1" applyAlignment="1" applyProtection="1">
      <alignment horizontal="left" vertical="center" wrapText="1"/>
    </xf>
    <xf numFmtId="0" fontId="12" fillId="2" borderId="65" xfId="0" applyFont="1" applyFill="1" applyBorder="1" applyAlignment="1" applyProtection="1">
      <alignment horizontal="left" vertical="center" wrapText="1"/>
    </xf>
    <xf numFmtId="0" fontId="0" fillId="2" borderId="66" xfId="0" applyFill="1" applyBorder="1" applyProtection="1"/>
    <xf numFmtId="0" fontId="14" fillId="2" borderId="25" xfId="0" applyFont="1" applyFill="1" applyBorder="1" applyAlignment="1" applyProtection="1">
      <alignment horizontal="left"/>
    </xf>
    <xf numFmtId="3" fontId="4" fillId="2" borderId="42" xfId="0" applyNumberFormat="1" applyFont="1" applyFill="1" applyBorder="1" applyAlignment="1" applyProtection="1">
      <alignment vertical="center" wrapText="1"/>
    </xf>
    <xf numFmtId="0" fontId="4" fillId="2" borderId="26" xfId="0" applyFont="1" applyFill="1" applyBorder="1" applyAlignment="1" applyProtection="1">
      <alignment horizontal="left" vertical="center" wrapText="1"/>
    </xf>
    <xf numFmtId="0" fontId="4" fillId="2" borderId="27" xfId="0" applyFont="1" applyFill="1" applyBorder="1" applyAlignment="1" applyProtection="1">
      <alignment vertical="center"/>
    </xf>
    <xf numFmtId="0" fontId="12" fillId="2" borderId="67" xfId="0" applyFont="1" applyFill="1" applyBorder="1" applyAlignment="1" applyProtection="1">
      <alignment wrapText="1"/>
    </xf>
    <xf numFmtId="0" fontId="12" fillId="2" borderId="68" xfId="0" applyFont="1" applyFill="1" applyBorder="1" applyAlignment="1" applyProtection="1">
      <alignment wrapText="1"/>
      <protection locked="0"/>
    </xf>
    <xf numFmtId="0" fontId="12" fillId="2" borderId="69" xfId="0" applyFont="1" applyFill="1" applyBorder="1" applyAlignment="1" applyProtection="1">
      <alignment wrapText="1"/>
      <protection locked="0"/>
    </xf>
    <xf numFmtId="0" fontId="4" fillId="2" borderId="70" xfId="0" applyFont="1" applyFill="1" applyBorder="1" applyAlignment="1" applyProtection="1">
      <alignment wrapText="1"/>
    </xf>
    <xf numFmtId="0" fontId="4" fillId="2" borderId="25" xfId="0" applyFont="1" applyFill="1" applyBorder="1" applyAlignment="1" applyProtection="1">
      <alignment horizontal="center"/>
    </xf>
    <xf numFmtId="0" fontId="4" fillId="2" borderId="69" xfId="0" applyFont="1" applyFill="1" applyBorder="1" applyAlignment="1" applyProtection="1">
      <alignment horizontal="center" wrapText="1"/>
    </xf>
    <xf numFmtId="0" fontId="4" fillId="2" borderId="26" xfId="0" applyFont="1" applyFill="1" applyBorder="1" applyAlignment="1" applyProtection="1">
      <alignment horizontal="center" wrapText="1"/>
    </xf>
    <xf numFmtId="0" fontId="4" fillId="2" borderId="26" xfId="0" applyFont="1" applyFill="1" applyBorder="1" applyAlignment="1" applyProtection="1">
      <alignment wrapText="1"/>
    </xf>
    <xf numFmtId="0" fontId="4" fillId="2" borderId="27" xfId="0" applyFont="1" applyFill="1" applyBorder="1" applyAlignment="1" applyProtection="1">
      <alignment wrapText="1"/>
    </xf>
    <xf numFmtId="0" fontId="4" fillId="2" borderId="41" xfId="0" applyFont="1" applyFill="1" applyBorder="1" applyAlignment="1" applyProtection="1">
      <alignment horizontal="center"/>
    </xf>
    <xf numFmtId="0" fontId="4" fillId="2" borderId="42" xfId="0" applyFont="1" applyFill="1" applyBorder="1" applyAlignment="1" applyProtection="1">
      <alignment horizontal="center" wrapText="1"/>
    </xf>
    <xf numFmtId="0" fontId="4" fillId="2" borderId="42" xfId="0" applyFont="1" applyFill="1" applyBorder="1" applyAlignment="1" applyProtection="1">
      <alignment wrapText="1"/>
    </xf>
    <xf numFmtId="0" fontId="4" fillId="2" borderId="71" xfId="0" applyFont="1" applyFill="1" applyBorder="1" applyAlignment="1" applyProtection="1">
      <alignment wrapText="1"/>
    </xf>
    <xf numFmtId="170" fontId="12" fillId="2" borderId="15" xfId="0" applyNumberFormat="1" applyFont="1" applyFill="1" applyBorder="1" applyAlignment="1" applyProtection="1">
      <alignment horizontal="right" vertical="center" wrapText="1"/>
      <protection locked="0"/>
    </xf>
    <xf numFmtId="171" fontId="12" fillId="2" borderId="15" xfId="0" applyNumberFormat="1" applyFont="1" applyFill="1" applyBorder="1" applyAlignment="1" applyProtection="1">
      <alignment horizontal="right" vertical="center" wrapText="1"/>
      <protection locked="0"/>
    </xf>
    <xf numFmtId="3" fontId="12" fillId="2" borderId="16" xfId="0" applyNumberFormat="1" applyFont="1" applyFill="1" applyBorder="1" applyAlignment="1" applyProtection="1">
      <alignment horizontal="right" vertical="center" wrapText="1"/>
      <protection locked="0"/>
    </xf>
    <xf numFmtId="170" fontId="12" fillId="2" borderId="8" xfId="0" applyNumberFormat="1" applyFont="1" applyFill="1" applyBorder="1" applyAlignment="1" applyProtection="1">
      <alignment horizontal="right" vertical="center" wrapText="1"/>
      <protection locked="0"/>
    </xf>
    <xf numFmtId="171" fontId="12" fillId="2" borderId="8" xfId="0" applyNumberFormat="1" applyFont="1" applyFill="1" applyBorder="1" applyAlignment="1" applyProtection="1">
      <alignment horizontal="right" vertical="center" wrapText="1"/>
      <protection locked="0"/>
    </xf>
    <xf numFmtId="3" fontId="12" fillId="2" borderId="8" xfId="0" applyNumberFormat="1" applyFont="1" applyFill="1" applyBorder="1" applyAlignment="1" applyProtection="1">
      <alignment horizontal="right" vertical="center" wrapText="1"/>
      <protection locked="0"/>
    </xf>
    <xf numFmtId="3" fontId="12" fillId="2" borderId="19" xfId="0" applyNumberFormat="1" applyFont="1" applyFill="1" applyBorder="1" applyAlignment="1" applyProtection="1">
      <alignment horizontal="right" vertical="center" wrapText="1"/>
      <protection locked="0"/>
    </xf>
    <xf numFmtId="170" fontId="12" fillId="2" borderId="22" xfId="0" applyNumberFormat="1" applyFont="1" applyFill="1" applyBorder="1" applyAlignment="1" applyProtection="1">
      <alignment horizontal="right" vertical="center" wrapText="1"/>
      <protection locked="0"/>
    </xf>
    <xf numFmtId="171" fontId="12" fillId="2" borderId="22" xfId="0" applyNumberFormat="1" applyFont="1" applyFill="1" applyBorder="1" applyAlignment="1" applyProtection="1">
      <alignment horizontal="right" vertical="center" wrapText="1"/>
      <protection locked="0"/>
    </xf>
    <xf numFmtId="3" fontId="12" fillId="2" borderId="22" xfId="0" applyNumberFormat="1" applyFont="1" applyFill="1" applyBorder="1" applyAlignment="1" applyProtection="1">
      <alignment horizontal="right" vertical="center" wrapText="1"/>
      <protection locked="0"/>
    </xf>
    <xf numFmtId="3" fontId="12" fillId="2" borderId="23" xfId="0" applyNumberFormat="1" applyFont="1" applyFill="1" applyBorder="1" applyAlignment="1" applyProtection="1">
      <alignment horizontal="right" vertical="center" wrapText="1"/>
      <protection locked="0"/>
    </xf>
    <xf numFmtId="0" fontId="6"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8" fillId="0" borderId="72" xfId="16" applyFont="1" applyFill="1" applyBorder="1" applyAlignment="1" applyProtection="1">
      <alignment wrapText="1"/>
    </xf>
    <xf numFmtId="173" fontId="18" fillId="0" borderId="73" xfId="16" applyFont="1" applyFill="1" applyBorder="1" applyAlignment="1" applyProtection="1">
      <alignment wrapText="1"/>
    </xf>
    <xf numFmtId="173" fontId="18" fillId="0" borderId="74" xfId="16" applyFont="1" applyFill="1" applyBorder="1" applyAlignment="1" applyProtection="1">
      <alignment wrapText="1"/>
    </xf>
    <xf numFmtId="173" fontId="13" fillId="3" borderId="75" xfId="16" applyFont="1" applyFill="1" applyBorder="1" applyAlignment="1" applyProtection="1">
      <alignment wrapText="1"/>
    </xf>
    <xf numFmtId="0" fontId="13" fillId="3" borderId="76" xfId="0" applyFont="1" applyFill="1" applyBorder="1" applyAlignment="1" applyProtection="1">
      <alignment wrapText="1"/>
    </xf>
    <xf numFmtId="0" fontId="13" fillId="3" borderId="75" xfId="0" applyFont="1" applyFill="1" applyBorder="1" applyAlignment="1" applyProtection="1">
      <alignment wrapText="1"/>
    </xf>
    <xf numFmtId="0" fontId="13" fillId="3" borderId="76" xfId="0" quotePrefix="1" applyFont="1" applyFill="1" applyBorder="1" applyAlignment="1" applyProtection="1">
      <alignment wrapText="1"/>
    </xf>
    <xf numFmtId="0" fontId="18" fillId="3" borderId="76" xfId="0" applyFont="1" applyFill="1" applyBorder="1" applyAlignment="1" applyProtection="1">
      <alignment wrapText="1"/>
    </xf>
    <xf numFmtId="0" fontId="18" fillId="3" borderId="77" xfId="0" applyFont="1" applyFill="1" applyBorder="1" applyAlignment="1" applyProtection="1">
      <alignment wrapText="1"/>
    </xf>
    <xf numFmtId="173" fontId="13" fillId="3" borderId="78" xfId="16" applyFont="1" applyFill="1" applyBorder="1" applyAlignment="1" applyProtection="1">
      <alignment wrapText="1"/>
    </xf>
    <xf numFmtId="0" fontId="13" fillId="3" borderId="79" xfId="0" applyFont="1" applyFill="1" applyBorder="1" applyAlignment="1" applyProtection="1">
      <alignment wrapText="1"/>
    </xf>
    <xf numFmtId="0" fontId="13" fillId="3" borderId="78" xfId="0" applyFont="1" applyFill="1" applyBorder="1" applyAlignment="1" applyProtection="1">
      <alignment wrapText="1"/>
    </xf>
    <xf numFmtId="0" fontId="13" fillId="3" borderId="79" xfId="0" quotePrefix="1" applyFont="1" applyFill="1" applyBorder="1" applyAlignment="1" applyProtection="1">
      <alignment wrapText="1"/>
    </xf>
    <xf numFmtId="0" fontId="18" fillId="3" borderId="79" xfId="0" applyFont="1" applyFill="1" applyBorder="1" applyAlignment="1" applyProtection="1">
      <alignment wrapText="1"/>
    </xf>
    <xf numFmtId="0" fontId="18" fillId="3" borderId="80" xfId="0" applyFont="1" applyFill="1" applyBorder="1" applyAlignment="1" applyProtection="1">
      <alignment wrapText="1"/>
    </xf>
    <xf numFmtId="173" fontId="13" fillId="3" borderId="81" xfId="16" applyFont="1" applyFill="1" applyBorder="1" applyAlignment="1" applyProtection="1">
      <alignment wrapText="1"/>
    </xf>
    <xf numFmtId="0" fontId="13" fillId="3" borderId="2" xfId="0" applyFont="1" applyFill="1" applyBorder="1" applyAlignment="1" applyProtection="1">
      <alignment wrapText="1"/>
    </xf>
    <xf numFmtId="0" fontId="13" fillId="3" borderId="81" xfId="0" applyFont="1" applyFill="1" applyBorder="1" applyAlignment="1" applyProtection="1">
      <alignment wrapText="1"/>
    </xf>
    <xf numFmtId="0" fontId="13" fillId="3" borderId="2" xfId="0" quotePrefix="1" applyFont="1" applyFill="1" applyBorder="1" applyAlignment="1" applyProtection="1">
      <alignment wrapText="1"/>
    </xf>
    <xf numFmtId="0" fontId="18" fillId="3" borderId="2" xfId="0" applyFont="1" applyFill="1" applyBorder="1" applyAlignment="1" applyProtection="1">
      <alignment wrapText="1"/>
    </xf>
    <xf numFmtId="0" fontId="18" fillId="3" borderId="82" xfId="0" applyFont="1" applyFill="1" applyBorder="1" applyAlignment="1" applyProtection="1">
      <alignment wrapText="1"/>
    </xf>
    <xf numFmtId="0" fontId="18" fillId="0" borderId="41" xfId="0" applyFont="1" applyFill="1" applyBorder="1" applyAlignment="1" applyProtection="1">
      <alignment wrapText="1"/>
    </xf>
    <xf numFmtId="0" fontId="18" fillId="0" borderId="13" xfId="0" applyFont="1" applyFill="1" applyBorder="1" applyAlignment="1" applyProtection="1">
      <alignment wrapText="1"/>
    </xf>
    <xf numFmtId="0" fontId="18" fillId="0" borderId="17" xfId="0" applyFont="1" applyFill="1" applyBorder="1" applyAlignment="1" applyProtection="1">
      <alignment wrapText="1"/>
    </xf>
    <xf numFmtId="0" fontId="18" fillId="0" borderId="20" xfId="0" applyFont="1" applyFill="1" applyBorder="1" applyAlignment="1" applyProtection="1">
      <alignment wrapText="1"/>
    </xf>
    <xf numFmtId="0" fontId="18" fillId="0" borderId="83" xfId="0" applyFont="1" applyFill="1" applyBorder="1" applyAlignment="1" applyProtection="1">
      <alignment wrapText="1"/>
    </xf>
    <xf numFmtId="0" fontId="18" fillId="3" borderId="42" xfId="0" applyFont="1" applyFill="1" applyBorder="1" applyAlignment="1" applyProtection="1">
      <alignment wrapText="1"/>
    </xf>
    <xf numFmtId="0" fontId="18" fillId="3" borderId="71" xfId="0" applyFont="1" applyFill="1" applyBorder="1" applyAlignment="1" applyProtection="1">
      <alignment wrapText="1"/>
    </xf>
    <xf numFmtId="0" fontId="18" fillId="3" borderId="15" xfId="0" applyFont="1" applyFill="1" applyBorder="1" applyAlignment="1" applyProtection="1">
      <alignment wrapText="1"/>
    </xf>
    <xf numFmtId="0" fontId="18" fillId="3" borderId="16" xfId="0" applyFont="1" applyFill="1" applyBorder="1" applyAlignment="1" applyProtection="1">
      <alignment wrapText="1"/>
    </xf>
    <xf numFmtId="0" fontId="18" fillId="3" borderId="8" xfId="0" applyFont="1" applyFill="1" applyBorder="1" applyAlignment="1" applyProtection="1">
      <alignment wrapText="1"/>
    </xf>
    <xf numFmtId="0" fontId="18" fillId="3" borderId="19" xfId="0" applyFont="1" applyFill="1" applyBorder="1" applyAlignment="1" applyProtection="1">
      <alignment wrapText="1"/>
    </xf>
    <xf numFmtId="0" fontId="18" fillId="3" borderId="22" xfId="0" applyFont="1" applyFill="1" applyBorder="1" applyAlignment="1" applyProtection="1">
      <alignment wrapText="1"/>
    </xf>
    <xf numFmtId="0" fontId="18" fillId="3" borderId="23" xfId="0" applyFont="1" applyFill="1" applyBorder="1" applyAlignment="1" applyProtection="1">
      <alignment wrapText="1"/>
    </xf>
    <xf numFmtId="0" fontId="18" fillId="3" borderId="84" xfId="0" applyFont="1" applyFill="1" applyBorder="1" applyAlignment="1" applyProtection="1">
      <alignment wrapText="1"/>
    </xf>
    <xf numFmtId="0" fontId="18" fillId="3" borderId="45" xfId="0" applyFont="1" applyFill="1" applyBorder="1" applyAlignment="1" applyProtection="1">
      <alignment wrapText="1"/>
    </xf>
    <xf numFmtId="173" fontId="18" fillId="0" borderId="6" xfId="16" applyFont="1" applyFill="1" applyBorder="1" applyAlignment="1" applyProtection="1">
      <alignment wrapText="1"/>
    </xf>
    <xf numFmtId="173" fontId="18" fillId="3" borderId="10" xfId="16" applyFont="1" applyFill="1" applyBorder="1" applyAlignment="1" applyProtection="1">
      <alignment wrapText="1"/>
    </xf>
    <xf numFmtId="173" fontId="12" fillId="3" borderId="11" xfId="16" applyFont="1" applyFill="1" applyBorder="1" applyProtection="1"/>
    <xf numFmtId="173" fontId="18" fillId="3" borderId="22" xfId="16" applyFont="1" applyFill="1" applyBorder="1" applyAlignment="1" applyProtection="1">
      <alignment wrapText="1"/>
    </xf>
    <xf numFmtId="173" fontId="12" fillId="3" borderId="23" xfId="16" applyFont="1" applyFill="1" applyBorder="1" applyProtection="1"/>
    <xf numFmtId="173" fontId="18" fillId="3" borderId="0" xfId="16" applyFont="1" applyFill="1" applyBorder="1" applyAlignment="1" applyProtection="1">
      <alignment wrapText="1"/>
    </xf>
    <xf numFmtId="173" fontId="12" fillId="3" borderId="7" xfId="16" applyFont="1" applyFill="1" applyBorder="1" applyProtection="1"/>
    <xf numFmtId="173" fontId="6" fillId="3" borderId="0" xfId="16" applyFont="1" applyFill="1" applyAlignment="1" applyProtection="1">
      <alignment horizontal="center" vertical="center"/>
    </xf>
    <xf numFmtId="173" fontId="18" fillId="0" borderId="85" xfId="16" applyFont="1" applyFill="1" applyBorder="1" applyAlignment="1" applyProtection="1">
      <alignment wrapText="1"/>
    </xf>
    <xf numFmtId="0" fontId="18" fillId="3" borderId="47" xfId="0" applyFont="1" applyFill="1" applyBorder="1" applyAlignment="1" applyProtection="1">
      <alignment wrapText="1"/>
    </xf>
    <xf numFmtId="0" fontId="18" fillId="3" borderId="56" xfId="0" applyFont="1" applyFill="1" applyBorder="1" applyAlignment="1" applyProtection="1">
      <alignment wrapText="1"/>
    </xf>
    <xf numFmtId="0" fontId="18" fillId="0" borderId="86" xfId="0" applyFont="1" applyFill="1" applyBorder="1" applyAlignment="1" applyProtection="1">
      <alignment wrapText="1"/>
    </xf>
    <xf numFmtId="173" fontId="18" fillId="0" borderId="86" xfId="16" applyFont="1" applyFill="1" applyBorder="1" applyAlignment="1" applyProtection="1">
      <alignment wrapText="1"/>
    </xf>
    <xf numFmtId="173" fontId="18" fillId="3" borderId="47" xfId="16" applyFont="1" applyFill="1" applyBorder="1" applyAlignment="1" applyProtection="1">
      <alignment wrapText="1"/>
    </xf>
    <xf numFmtId="173" fontId="12" fillId="3" borderId="56" xfId="16" applyFont="1" applyFill="1" applyBorder="1" applyProtection="1"/>
    <xf numFmtId="2" fontId="13" fillId="3" borderId="86" xfId="16" applyNumberFormat="1" applyFont="1" applyFill="1" applyBorder="1" applyAlignment="1" applyProtection="1">
      <alignment wrapText="1"/>
    </xf>
    <xf numFmtId="2" fontId="13" fillId="3" borderId="47" xfId="16" applyNumberFormat="1" applyFont="1" applyFill="1" applyBorder="1" applyAlignment="1" applyProtection="1">
      <alignment wrapText="1"/>
    </xf>
    <xf numFmtId="2" fontId="13" fillId="3" borderId="56" xfId="16" applyNumberFormat="1" applyFont="1" applyFill="1" applyBorder="1" applyAlignment="1" applyProtection="1">
      <alignment wrapText="1"/>
    </xf>
    <xf numFmtId="173" fontId="18" fillId="0" borderId="75" xfId="16" applyFont="1" applyBorder="1" applyProtection="1"/>
    <xf numFmtId="173" fontId="12" fillId="0" borderId="76" xfId="16" applyFont="1" applyBorder="1" applyProtection="1"/>
    <xf numFmtId="173" fontId="4" fillId="0" borderId="16" xfId="16" applyFont="1" applyBorder="1" applyAlignment="1" applyProtection="1">
      <alignment horizontal="center" wrapText="1"/>
    </xf>
    <xf numFmtId="173" fontId="32" fillId="0" borderId="0" xfId="16" applyFont="1" applyAlignment="1" applyProtection="1">
      <alignment horizontal="left"/>
    </xf>
    <xf numFmtId="0" fontId="6" fillId="0" borderId="4" xfId="0" applyFont="1" applyFill="1" applyBorder="1" applyAlignment="1">
      <alignment vertical="top" wrapText="1"/>
    </xf>
    <xf numFmtId="0" fontId="0" fillId="0" borderId="0" xfId="0" applyFill="1" applyBorder="1" applyAlignment="1">
      <alignment vertical="top" wrapText="1"/>
    </xf>
    <xf numFmtId="0" fontId="6" fillId="0" borderId="0" xfId="0" applyFont="1" applyFill="1" applyBorder="1" applyAlignment="1">
      <alignment vertical="top" wrapText="1"/>
    </xf>
    <xf numFmtId="0" fontId="6" fillId="0" borderId="4" xfId="0" applyFont="1" applyFill="1" applyBorder="1" applyAlignment="1">
      <alignment vertical="center" wrapText="1"/>
    </xf>
    <xf numFmtId="0" fontId="6" fillId="0" borderId="0" xfId="0" applyFont="1" applyFill="1" applyBorder="1" applyAlignment="1">
      <alignment vertical="center" wrapText="1"/>
    </xf>
    <xf numFmtId="0" fontId="6"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6" fillId="3" borderId="57" xfId="0" applyFont="1" applyFill="1" applyBorder="1" applyAlignment="1">
      <alignment vertical="center" wrapText="1"/>
    </xf>
    <xf numFmtId="0" fontId="6" fillId="0" borderId="4" xfId="0" applyFont="1" applyFill="1" applyBorder="1" applyAlignment="1">
      <alignment horizontal="right" vertical="center" wrapText="1"/>
    </xf>
    <xf numFmtId="0" fontId="6" fillId="0" borderId="4" xfId="0" applyFont="1" applyFill="1" applyBorder="1" applyAlignment="1">
      <alignment horizontal="right" vertical="top" wrapText="1"/>
    </xf>
    <xf numFmtId="0" fontId="0" fillId="0" borderId="5" xfId="0" applyFill="1" applyBorder="1"/>
    <xf numFmtId="0" fontId="6" fillId="0" borderId="58" xfId="0" applyFont="1" applyFill="1" applyBorder="1" applyAlignment="1">
      <alignment vertical="center" wrapText="1"/>
    </xf>
    <xf numFmtId="170" fontId="6" fillId="3" borderId="57" xfId="0" applyNumberFormat="1" applyFont="1" applyFill="1" applyBorder="1" applyAlignment="1">
      <alignment horizontal="right" vertical="top" wrapText="1"/>
    </xf>
    <xf numFmtId="0" fontId="4" fillId="3" borderId="57" xfId="0" applyFont="1" applyFill="1" applyBorder="1" applyAlignment="1">
      <alignment horizontal="center" vertical="top" wrapText="1"/>
    </xf>
    <xf numFmtId="170" fontId="15" fillId="3" borderId="57" xfId="0" applyNumberFormat="1" applyFont="1" applyFill="1" applyBorder="1" applyAlignment="1">
      <alignment horizontal="center" vertical="center" wrapText="1"/>
    </xf>
    <xf numFmtId="0" fontId="15" fillId="3" borderId="88" xfId="0" applyFont="1" applyFill="1" applyBorder="1" applyAlignment="1">
      <alignment vertical="center" wrapText="1"/>
    </xf>
    <xf numFmtId="0" fontId="4" fillId="3" borderId="4" xfId="0" applyFont="1" applyFill="1" applyBorder="1" applyAlignment="1">
      <alignment horizontal="center" vertical="top" wrapText="1"/>
    </xf>
    <xf numFmtId="0" fontId="4" fillId="3" borderId="0" xfId="0" applyFont="1" applyFill="1" applyBorder="1" applyAlignment="1">
      <alignment horizontal="center" vertical="top" wrapText="1"/>
    </xf>
    <xf numFmtId="170" fontId="4" fillId="3" borderId="0" xfId="0" applyNumberFormat="1" applyFont="1" applyFill="1" applyBorder="1" applyAlignment="1">
      <alignment horizontal="center" vertical="top" wrapText="1"/>
    </xf>
    <xf numFmtId="0" fontId="4" fillId="3" borderId="5" xfId="0" applyFont="1" applyFill="1" applyBorder="1" applyAlignment="1">
      <alignment vertical="top"/>
    </xf>
    <xf numFmtId="170" fontId="15" fillId="3" borderId="89" xfId="0" applyNumberFormat="1" applyFont="1" applyFill="1" applyBorder="1" applyAlignment="1">
      <alignment vertical="center" wrapText="1"/>
    </xf>
    <xf numFmtId="0" fontId="12" fillId="0" borderId="0" xfId="0" applyFont="1"/>
    <xf numFmtId="0" fontId="33" fillId="0" borderId="0" xfId="0" applyFont="1" applyFill="1" applyAlignment="1">
      <alignment vertical="top" wrapText="1"/>
    </xf>
    <xf numFmtId="0" fontId="0" fillId="6" borderId="0" xfId="0" applyFill="1"/>
    <xf numFmtId="176" fontId="15" fillId="3" borderId="57" xfId="0" applyNumberFormat="1" applyFont="1" applyFill="1" applyBorder="1" applyAlignment="1">
      <alignment horizontal="right" vertical="top" wrapText="1"/>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4" fillId="2" borderId="20" xfId="0" applyFont="1" applyFill="1" applyBorder="1" applyAlignment="1" applyProtection="1">
      <protection locked="0"/>
    </xf>
    <xf numFmtId="0" fontId="34" fillId="2" borderId="22" xfId="0" applyFont="1" applyFill="1" applyBorder="1" applyAlignment="1" applyProtection="1">
      <alignment horizontal="right" wrapText="1"/>
      <protection locked="0"/>
    </xf>
    <xf numFmtId="0" fontId="37" fillId="2" borderId="90" xfId="0" applyFont="1" applyFill="1" applyBorder="1" applyAlignment="1" applyProtection="1">
      <alignment horizontal="left" vertical="center"/>
      <protection locked="0"/>
    </xf>
    <xf numFmtId="0" fontId="35" fillId="2" borderId="90" xfId="0" applyFont="1" applyFill="1" applyBorder="1" applyProtection="1">
      <protection locked="0"/>
    </xf>
    <xf numFmtId="0" fontId="4" fillId="0" borderId="0" xfId="0" applyFont="1" applyFill="1" applyBorder="1" applyAlignment="1">
      <alignment vertical="top" wrapText="1"/>
    </xf>
    <xf numFmtId="0" fontId="34" fillId="2" borderId="41" xfId="0" applyFont="1" applyFill="1" applyBorder="1" applyAlignment="1" applyProtection="1">
      <alignment horizontal="right" wrapText="1"/>
      <protection locked="0"/>
    </xf>
    <xf numFmtId="0" fontId="11" fillId="2" borderId="42" xfId="0" applyFont="1" applyFill="1" applyBorder="1" applyAlignment="1" applyProtection="1">
      <alignment horizontal="center" wrapText="1"/>
      <protection locked="0"/>
    </xf>
    <xf numFmtId="0" fontId="12" fillId="2" borderId="97" xfId="0" applyFont="1" applyFill="1" applyBorder="1" applyAlignment="1" applyProtection="1">
      <alignment horizontal="left" wrapText="1"/>
      <protection locked="0"/>
    </xf>
    <xf numFmtId="42" fontId="12" fillId="3" borderId="69" xfId="0" applyNumberFormat="1" applyFont="1" applyFill="1" applyBorder="1" applyAlignment="1" applyProtection="1">
      <alignment wrapText="1"/>
      <protection locked="0"/>
    </xf>
    <xf numFmtId="2" fontId="12" fillId="2" borderId="69" xfId="0" applyNumberFormat="1" applyFont="1" applyFill="1" applyBorder="1" applyAlignment="1" applyProtection="1">
      <alignment wrapText="1"/>
      <protection locked="0"/>
    </xf>
    <xf numFmtId="0" fontId="11" fillId="2" borderId="71" xfId="0" applyFont="1" applyFill="1" applyBorder="1" applyAlignment="1" applyProtection="1">
      <alignment horizontal="center" wrapText="1"/>
      <protection locked="0"/>
    </xf>
    <xf numFmtId="172" fontId="4" fillId="2" borderId="69" xfId="0" applyNumberFormat="1" applyFont="1" applyFill="1" applyBorder="1" applyAlignment="1" applyProtection="1">
      <alignment wrapText="1"/>
      <protection locked="0"/>
    </xf>
    <xf numFmtId="0" fontId="12" fillId="2" borderId="70" xfId="0" applyFont="1" applyFill="1" applyBorder="1" applyAlignment="1" applyProtection="1">
      <alignment wrapText="1"/>
      <protection locked="0"/>
    </xf>
    <xf numFmtId="0" fontId="12" fillId="6" borderId="100" xfId="0" applyFont="1" applyFill="1" applyBorder="1" applyAlignment="1" applyProtection="1">
      <alignment wrapText="1"/>
      <protection locked="0"/>
    </xf>
    <xf numFmtId="0" fontId="12" fillId="6" borderId="101" xfId="0" applyFont="1" applyFill="1" applyBorder="1" applyAlignment="1" applyProtection="1">
      <alignment wrapText="1"/>
      <protection locked="0"/>
    </xf>
    <xf numFmtId="0" fontId="0" fillId="3" borderId="98" xfId="0" applyFill="1" applyBorder="1"/>
    <xf numFmtId="10" fontId="12" fillId="3" borderId="57" xfId="0" applyNumberFormat="1" applyFont="1" applyFill="1" applyBorder="1" applyAlignment="1" applyProtection="1">
      <alignment wrapText="1"/>
      <protection locked="0"/>
    </xf>
    <xf numFmtId="0" fontId="18" fillId="3" borderId="0" xfId="0" applyFont="1" applyFill="1" applyBorder="1" applyAlignment="1" applyProtection="1">
      <alignment wrapText="1"/>
    </xf>
    <xf numFmtId="0" fontId="18" fillId="3" borderId="7" xfId="0" applyFont="1" applyFill="1" applyBorder="1" applyAlignment="1" applyProtection="1">
      <alignment wrapText="1"/>
    </xf>
    <xf numFmtId="0" fontId="18" fillId="0" borderId="6" xfId="0" applyFont="1" applyFill="1" applyBorder="1" applyAlignment="1" applyProtection="1">
      <alignment wrapText="1"/>
    </xf>
    <xf numFmtId="173" fontId="18" fillId="0" borderId="104" xfId="16" applyFont="1" applyFill="1" applyBorder="1" applyAlignment="1" applyProtection="1">
      <alignment wrapText="1"/>
    </xf>
    <xf numFmtId="2" fontId="13" fillId="3" borderId="78" xfId="16" applyNumberFormat="1" applyFont="1" applyFill="1" applyBorder="1" applyAlignment="1" applyProtection="1">
      <alignment wrapText="1"/>
    </xf>
    <xf numFmtId="2" fontId="13" fillId="3" borderId="79" xfId="16" applyNumberFormat="1" applyFont="1" applyFill="1" applyBorder="1" applyAlignment="1" applyProtection="1">
      <alignment wrapText="1"/>
    </xf>
    <xf numFmtId="2" fontId="13" fillId="3" borderId="80" xfId="16" applyNumberFormat="1" applyFont="1" applyFill="1" applyBorder="1" applyAlignment="1" applyProtection="1">
      <alignment wrapText="1"/>
    </xf>
    <xf numFmtId="0" fontId="10"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6" fillId="0" borderId="0" xfId="0" applyFont="1" applyAlignment="1"/>
    <xf numFmtId="0" fontId="0" fillId="0" borderId="0" xfId="0" applyAlignment="1"/>
    <xf numFmtId="0" fontId="0" fillId="0" borderId="0" xfId="0" applyFill="1" applyAlignment="1"/>
    <xf numFmtId="165" fontId="8" fillId="2" borderId="0" xfId="0" applyNumberFormat="1" applyFont="1" applyFill="1" applyBorder="1" applyAlignment="1">
      <alignment horizontal="center" vertical="center"/>
    </xf>
    <xf numFmtId="166" fontId="8" fillId="0" borderId="5" xfId="0" applyNumberFormat="1" applyFont="1" applyFill="1" applyBorder="1" applyAlignment="1">
      <alignment horizontal="center" vertical="center" wrapText="1"/>
    </xf>
    <xf numFmtId="1" fontId="8" fillId="2" borderId="0" xfId="0" applyNumberFormat="1" applyFont="1" applyFill="1" applyBorder="1" applyAlignment="1">
      <alignment horizontal="center" vertical="center" wrapText="1"/>
    </xf>
    <xf numFmtId="2" fontId="8" fillId="2" borderId="0" xfId="0" applyNumberFormat="1" applyFont="1" applyFill="1" applyBorder="1" applyAlignment="1">
      <alignment horizontal="center" vertical="center"/>
    </xf>
    <xf numFmtId="2" fontId="8" fillId="2" borderId="5" xfId="0" applyNumberFormat="1" applyFont="1" applyFill="1" applyBorder="1" applyAlignment="1">
      <alignment horizontal="center" vertical="center" wrapText="1"/>
    </xf>
    <xf numFmtId="0" fontId="6" fillId="3" borderId="57" xfId="0" applyFont="1" applyFill="1" applyBorder="1" applyAlignment="1">
      <alignment horizontal="left" vertical="center" wrapText="1"/>
    </xf>
    <xf numFmtId="0" fontId="6" fillId="0" borderId="4" xfId="0" applyFont="1" applyFill="1" applyBorder="1" applyAlignment="1">
      <alignment horizontal="left" vertical="center" wrapText="1"/>
    </xf>
    <xf numFmtId="0" fontId="0" fillId="0" borderId="0" xfId="0" applyAlignment="1">
      <alignment horizontal="center"/>
    </xf>
    <xf numFmtId="0" fontId="4"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3" fontId="15" fillId="3" borderId="8" xfId="0" applyNumberFormat="1" applyFont="1" applyFill="1" applyBorder="1" applyAlignment="1">
      <alignment vertical="top" wrapText="1"/>
    </xf>
    <xf numFmtId="2" fontId="15" fillId="3" borderId="8" xfId="0" applyNumberFormat="1" applyFont="1" applyFill="1" applyBorder="1" applyAlignment="1">
      <alignment vertical="top" wrapText="1"/>
    </xf>
    <xf numFmtId="0" fontId="0" fillId="0" borderId="90" xfId="0" applyBorder="1"/>
    <xf numFmtId="0" fontId="20" fillId="3" borderId="111" xfId="0" applyFont="1" applyFill="1" applyBorder="1" applyAlignment="1" applyProtection="1">
      <alignment horizontal="left" vertical="center"/>
    </xf>
    <xf numFmtId="173" fontId="12" fillId="0" borderId="112" xfId="16" applyFont="1" applyBorder="1" applyAlignment="1" applyProtection="1">
      <alignment wrapText="1"/>
    </xf>
    <xf numFmtId="165" fontId="12" fillId="3" borderId="113" xfId="16" applyNumberFormat="1" applyFont="1" applyFill="1" applyBorder="1" applyProtection="1"/>
    <xf numFmtId="173" fontId="12" fillId="0" borderId="114" xfId="16" applyFont="1" applyBorder="1" applyProtection="1"/>
    <xf numFmtId="173" fontId="12" fillId="0" borderId="115" xfId="16" applyFont="1" applyBorder="1" applyAlignment="1" applyProtection="1">
      <alignment wrapText="1"/>
    </xf>
    <xf numFmtId="165" fontId="12" fillId="3" borderId="98" xfId="16" applyNumberFormat="1" applyFont="1" applyFill="1" applyBorder="1" applyProtection="1"/>
    <xf numFmtId="173" fontId="12" fillId="0" borderId="116" xfId="16" applyFont="1" applyBorder="1" applyProtection="1"/>
    <xf numFmtId="173" fontId="12" fillId="0" borderId="117" xfId="16" applyFont="1" applyBorder="1" applyAlignment="1" applyProtection="1">
      <alignment wrapText="1"/>
    </xf>
    <xf numFmtId="165" fontId="12" fillId="3" borderId="118" xfId="16" applyNumberFormat="1" applyFont="1" applyFill="1" applyBorder="1" applyProtection="1"/>
    <xf numFmtId="173" fontId="12" fillId="0" borderId="119" xfId="16" applyFont="1" applyBorder="1" applyProtection="1"/>
    <xf numFmtId="165" fontId="4" fillId="0" borderId="0" xfId="16" applyNumberFormat="1" applyFont="1" applyFill="1" applyBorder="1" applyProtection="1"/>
    <xf numFmtId="0" fontId="4" fillId="0" borderId="58" xfId="0" applyFont="1" applyBorder="1"/>
    <xf numFmtId="0" fontId="4" fillId="0" borderId="59" xfId="0" applyFont="1" applyFill="1" applyBorder="1" applyProtection="1"/>
    <xf numFmtId="0" fontId="4" fillId="0" borderId="87" xfId="0" applyFont="1" applyFill="1" applyBorder="1" applyProtection="1"/>
    <xf numFmtId="173" fontId="12" fillId="0" borderId="106" xfId="16" applyFont="1" applyBorder="1" applyProtection="1"/>
    <xf numFmtId="170" fontId="12" fillId="0" borderId="107" xfId="16" applyNumberFormat="1" applyFont="1" applyFill="1" applyBorder="1" applyAlignment="1" applyProtection="1">
      <alignment horizontal="center"/>
    </xf>
    <xf numFmtId="173" fontId="12" fillId="0" borderId="98" xfId="16" applyFont="1" applyBorder="1" applyProtection="1"/>
    <xf numFmtId="173" fontId="12" fillId="0" borderId="108" xfId="16" applyFont="1" applyBorder="1" applyProtection="1"/>
    <xf numFmtId="173" fontId="12" fillId="0" borderId="120" xfId="16" applyFont="1" applyBorder="1" applyProtection="1"/>
    <xf numFmtId="173" fontId="12" fillId="0" borderId="111" xfId="16" applyFont="1" applyBorder="1" applyProtection="1"/>
    <xf numFmtId="173" fontId="6" fillId="0" borderId="40" xfId="16" applyFont="1" applyBorder="1" applyProtection="1"/>
    <xf numFmtId="173" fontId="5" fillId="0" borderId="63" xfId="5" applyNumberFormat="1" applyBorder="1" applyAlignment="1" applyProtection="1"/>
    <xf numFmtId="173" fontId="5" fillId="0" borderId="109" xfId="5" applyNumberFormat="1" applyBorder="1" applyAlignment="1" applyProtection="1"/>
    <xf numFmtId="167" fontId="15" fillId="3" borderId="37" xfId="0" applyNumberFormat="1" applyFont="1" applyFill="1" applyBorder="1" applyAlignment="1">
      <alignment vertical="top" wrapText="1"/>
    </xf>
    <xf numFmtId="0" fontId="18" fillId="0" borderId="10" xfId="0" quotePrefix="1" applyFont="1" applyBorder="1" applyAlignment="1" applyProtection="1">
      <alignment wrapText="1"/>
    </xf>
    <xf numFmtId="173" fontId="4" fillId="0" borderId="40" xfId="16" applyFont="1" applyFill="1" applyBorder="1" applyAlignment="1" applyProtection="1">
      <alignment horizontal="center" wrapText="1"/>
    </xf>
    <xf numFmtId="0" fontId="13" fillId="3" borderId="122" xfId="0" applyFont="1" applyFill="1" applyBorder="1" applyAlignment="1" applyProtection="1">
      <alignment wrapText="1"/>
    </xf>
    <xf numFmtId="0" fontId="13" fillId="3" borderId="123" xfId="0" applyFont="1" applyFill="1" applyBorder="1" applyAlignment="1" applyProtection="1">
      <alignment wrapText="1"/>
    </xf>
    <xf numFmtId="0" fontId="13" fillId="3" borderId="124" xfId="0" applyFont="1" applyFill="1" applyBorder="1" applyAlignment="1" applyProtection="1">
      <alignment wrapText="1"/>
    </xf>
    <xf numFmtId="173" fontId="4" fillId="0" borderId="107" xfId="16" applyFont="1" applyFill="1" applyBorder="1" applyAlignment="1" applyProtection="1">
      <alignment horizontal="center" wrapText="1"/>
    </xf>
    <xf numFmtId="169" fontId="12" fillId="3" borderId="108" xfId="16" applyNumberFormat="1" applyFont="1" applyFill="1" applyBorder="1" applyProtection="1"/>
    <xf numFmtId="173" fontId="4" fillId="0" borderId="125" xfId="16" applyFont="1" applyFill="1" applyBorder="1" applyAlignment="1" applyProtection="1">
      <alignment horizontal="center" wrapText="1"/>
    </xf>
    <xf numFmtId="0" fontId="13" fillId="3" borderId="77" xfId="0" quotePrefix="1" applyFont="1" applyFill="1" applyBorder="1" applyAlignment="1" applyProtection="1">
      <alignment horizontal="left" wrapText="1"/>
    </xf>
    <xf numFmtId="0" fontId="13" fillId="3" borderId="80" xfId="0" quotePrefix="1" applyFont="1" applyFill="1" applyBorder="1" applyAlignment="1" applyProtection="1">
      <alignment wrapText="1"/>
    </xf>
    <xf numFmtId="0" fontId="13" fillId="3" borderId="80" xfId="0" quotePrefix="1" applyFont="1" applyFill="1" applyBorder="1" applyAlignment="1" applyProtection="1">
      <alignment horizontal="center" wrapText="1"/>
    </xf>
    <xf numFmtId="0" fontId="4" fillId="0" borderId="3" xfId="0" applyFont="1" applyBorder="1" applyAlignment="1">
      <alignment wrapText="1"/>
    </xf>
    <xf numFmtId="0" fontId="4" fillId="0" borderId="87" xfId="0" applyFont="1" applyBorder="1"/>
    <xf numFmtId="0" fontId="4" fillId="0" borderId="59" xfId="0" applyFont="1" applyBorder="1"/>
    <xf numFmtId="0" fontId="0" fillId="0" borderId="113" xfId="0" applyBorder="1"/>
    <xf numFmtId="0" fontId="0" fillId="0" borderId="98" xfId="0" applyBorder="1"/>
    <xf numFmtId="0" fontId="0" fillId="0" borderId="116" xfId="0" applyBorder="1"/>
    <xf numFmtId="173" fontId="18" fillId="0" borderId="76" xfId="16" applyFont="1" applyBorder="1" applyAlignment="1" applyProtection="1">
      <alignment horizontal="left"/>
    </xf>
    <xf numFmtId="164" fontId="13" fillId="0" borderId="76" xfId="16" applyNumberFormat="1" applyFont="1" applyFill="1" applyBorder="1" applyProtection="1"/>
    <xf numFmtId="173" fontId="12" fillId="0" borderId="6" xfId="16" applyFont="1" applyBorder="1" applyAlignment="1" applyProtection="1">
      <alignment wrapText="1"/>
    </xf>
    <xf numFmtId="173" fontId="4" fillId="0" borderId="6" xfId="16" applyFont="1" applyBorder="1" applyAlignment="1" applyProtection="1">
      <alignment wrapText="1"/>
    </xf>
    <xf numFmtId="173" fontId="12" fillId="0" borderId="67" xfId="16" applyFont="1" applyBorder="1" applyAlignment="1" applyProtection="1">
      <alignment wrapText="1"/>
    </xf>
    <xf numFmtId="0" fontId="0" fillId="0" borderId="77" xfId="0" applyBorder="1"/>
    <xf numFmtId="173" fontId="6" fillId="0" borderId="78" xfId="16" applyFont="1" applyBorder="1" applyAlignment="1" applyProtection="1">
      <alignment vertical="center" wrapText="1"/>
    </xf>
    <xf numFmtId="173" fontId="6" fillId="0" borderId="79" xfId="16" applyFont="1" applyBorder="1" applyAlignment="1" applyProtection="1">
      <alignment horizontal="center" vertical="center" wrapText="1"/>
    </xf>
    <xf numFmtId="165" fontId="6" fillId="0" borderId="79" xfId="16" applyNumberFormat="1" applyFont="1" applyFill="1" applyBorder="1" applyAlignment="1" applyProtection="1">
      <alignment horizontal="center" vertical="center" wrapText="1"/>
    </xf>
    <xf numFmtId="165" fontId="6" fillId="0" borderId="80" xfId="16" applyNumberFormat="1" applyFont="1" applyFill="1" applyBorder="1" applyAlignment="1" applyProtection="1">
      <alignment horizontal="center" vertical="center" wrapText="1"/>
    </xf>
    <xf numFmtId="173" fontId="12" fillId="3" borderId="0" xfId="16" applyFont="1" applyFill="1" applyBorder="1" applyAlignment="1" applyProtection="1">
      <alignment horizontal="center"/>
    </xf>
    <xf numFmtId="173" fontId="12" fillId="3" borderId="7" xfId="16" applyFont="1" applyFill="1" applyBorder="1" applyAlignment="1" applyProtection="1">
      <alignment horizontal="center"/>
    </xf>
    <xf numFmtId="165" fontId="12" fillId="3" borderId="0" xfId="16" applyNumberFormat="1" applyFont="1" applyFill="1" applyBorder="1" applyAlignment="1" applyProtection="1">
      <alignment horizontal="center"/>
    </xf>
    <xf numFmtId="165" fontId="12" fillId="0" borderId="2" xfId="16" applyNumberFormat="1" applyFont="1" applyFill="1" applyBorder="1" applyAlignment="1" applyProtection="1">
      <alignment horizontal="center"/>
    </xf>
    <xf numFmtId="173" fontId="12" fillId="0" borderId="2" xfId="16" applyFont="1" applyFill="1" applyBorder="1" applyAlignment="1" applyProtection="1">
      <alignment horizontal="center"/>
    </xf>
    <xf numFmtId="173" fontId="12" fillId="0" borderId="82" xfId="16" applyFont="1" applyFill="1" applyBorder="1" applyAlignment="1" applyProtection="1">
      <alignment horizontal="center"/>
    </xf>
    <xf numFmtId="173" fontId="12" fillId="0" borderId="63" xfId="16" applyFont="1" applyFill="1" applyBorder="1" applyAlignment="1" applyProtection="1">
      <alignment horizontal="right"/>
    </xf>
    <xf numFmtId="173" fontId="12" fillId="0" borderId="63" xfId="16" applyFont="1" applyFill="1" applyBorder="1" applyAlignment="1" applyProtection="1">
      <alignment horizontal="right" wrapText="1"/>
    </xf>
    <xf numFmtId="173" fontId="4" fillId="0" borderId="109" xfId="16" applyFont="1" applyFill="1" applyBorder="1" applyProtection="1"/>
    <xf numFmtId="173" fontId="18" fillId="0" borderId="77" xfId="16" applyFont="1" applyBorder="1" applyAlignment="1" applyProtection="1">
      <alignment horizontal="left"/>
    </xf>
    <xf numFmtId="165" fontId="4" fillId="0" borderId="7" xfId="16" applyNumberFormat="1" applyFont="1" applyFill="1" applyBorder="1" applyProtection="1"/>
    <xf numFmtId="0" fontId="0" fillId="0" borderId="9" xfId="0" applyBorder="1"/>
    <xf numFmtId="0" fontId="0" fillId="0" borderId="11" xfId="0" applyBorder="1"/>
    <xf numFmtId="0" fontId="6" fillId="0" borderId="40" xfId="0" applyFont="1" applyBorder="1" applyAlignment="1">
      <alignment vertical="top" wrapText="1"/>
    </xf>
    <xf numFmtId="0" fontId="6" fillId="0" borderId="106" xfId="0" applyFont="1" applyBorder="1" applyAlignment="1">
      <alignment vertical="top" wrapText="1"/>
    </xf>
    <xf numFmtId="0" fontId="6" fillId="0" borderId="106" xfId="0" applyFont="1" applyBorder="1" applyAlignment="1">
      <alignment horizontal="left" vertical="top" wrapText="1"/>
    </xf>
    <xf numFmtId="0" fontId="6" fillId="0" borderId="106" xfId="0" applyFont="1" applyBorder="1" applyAlignment="1">
      <alignment horizontal="right" vertical="top" wrapText="1"/>
    </xf>
    <xf numFmtId="0" fontId="6" fillId="0" borderId="106" xfId="0" applyFont="1" applyBorder="1" applyAlignment="1">
      <alignment horizontal="center" vertical="top" wrapText="1"/>
    </xf>
    <xf numFmtId="0" fontId="6" fillId="0" borderId="48" xfId="0" applyFont="1" applyFill="1" applyBorder="1" applyAlignment="1">
      <alignment vertical="top" wrapText="1"/>
    </xf>
    <xf numFmtId="0" fontId="6" fillId="0" borderId="40" xfId="0" applyFont="1" applyFill="1" applyBorder="1" applyAlignment="1">
      <alignment vertical="top" wrapText="1"/>
    </xf>
    <xf numFmtId="0" fontId="6"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4" fillId="0" borderId="76" xfId="16" applyFont="1" applyBorder="1" applyAlignment="1" applyProtection="1">
      <alignment horizontal="center"/>
    </xf>
    <xf numFmtId="0" fontId="4" fillId="0" borderId="76" xfId="0" applyFont="1" applyFill="1" applyBorder="1" applyAlignment="1" applyProtection="1">
      <alignment horizontal="center"/>
    </xf>
    <xf numFmtId="0" fontId="4" fillId="0" borderId="77" xfId="0" applyFont="1" applyFill="1" applyBorder="1" applyAlignment="1" applyProtection="1">
      <alignment horizontal="center"/>
    </xf>
    <xf numFmtId="2" fontId="12" fillId="3" borderId="113" xfId="16" applyNumberFormat="1" applyFont="1" applyFill="1" applyBorder="1" applyAlignment="1" applyProtection="1">
      <alignment horizontal="center" vertical="center" wrapText="1"/>
    </xf>
    <xf numFmtId="2" fontId="12" fillId="3" borderId="128" xfId="16" applyNumberFormat="1" applyFont="1" applyFill="1" applyBorder="1" applyAlignment="1" applyProtection="1">
      <alignment horizontal="center" vertical="center" wrapText="1"/>
    </xf>
    <xf numFmtId="3" fontId="12" fillId="3" borderId="98" xfId="16" applyNumberFormat="1" applyFont="1" applyFill="1" applyBorder="1" applyAlignment="1" applyProtection="1">
      <alignment horizontal="center" vertical="center" wrapText="1"/>
    </xf>
    <xf numFmtId="3" fontId="12" fillId="3" borderId="108" xfId="16" applyNumberFormat="1" applyFont="1" applyFill="1" applyBorder="1" applyAlignment="1" applyProtection="1">
      <alignment horizontal="center" vertical="center" wrapText="1"/>
    </xf>
    <xf numFmtId="2" fontId="12" fillId="3" borderId="98" xfId="16" applyNumberFormat="1" applyFont="1" applyFill="1" applyBorder="1" applyAlignment="1" applyProtection="1">
      <alignment horizontal="center" vertical="center" wrapText="1"/>
    </xf>
    <xf numFmtId="2" fontId="12" fillId="3" borderId="108" xfId="16" applyNumberFormat="1" applyFont="1" applyFill="1" applyBorder="1" applyAlignment="1" applyProtection="1">
      <alignment horizontal="center" vertical="center" wrapText="1"/>
    </xf>
    <xf numFmtId="3" fontId="12" fillId="3" borderId="120" xfId="16" applyNumberFormat="1" applyFont="1" applyFill="1" applyBorder="1" applyAlignment="1" applyProtection="1">
      <alignment horizontal="center" vertical="center" wrapText="1"/>
    </xf>
    <xf numFmtId="3" fontId="12" fillId="3" borderId="111" xfId="16" applyNumberFormat="1" applyFont="1" applyFill="1" applyBorder="1" applyAlignment="1" applyProtection="1">
      <alignment horizontal="center" vertical="center" wrapText="1"/>
    </xf>
    <xf numFmtId="173" fontId="4" fillId="0" borderId="127" xfId="16" applyFont="1" applyBorder="1" applyAlignment="1" applyProtection="1">
      <alignment wrapText="1"/>
    </xf>
    <xf numFmtId="173" fontId="12" fillId="0" borderId="63" xfId="16" applyFont="1" applyBorder="1" applyAlignment="1" applyProtection="1">
      <alignment wrapText="1"/>
    </xf>
    <xf numFmtId="173" fontId="12" fillId="0" borderId="109" xfId="16" applyFont="1" applyBorder="1" applyAlignment="1" applyProtection="1">
      <alignment wrapText="1"/>
    </xf>
    <xf numFmtId="165" fontId="4" fillId="0" borderId="113" xfId="16" applyNumberFormat="1" applyFont="1" applyFill="1" applyBorder="1" applyAlignment="1" applyProtection="1">
      <alignment horizontal="center"/>
    </xf>
    <xf numFmtId="165" fontId="4" fillId="0" borderId="128" xfId="16" applyNumberFormat="1" applyFont="1" applyFill="1" applyBorder="1" applyAlignment="1" applyProtection="1">
      <alignment horizontal="center"/>
    </xf>
    <xf numFmtId="165" fontId="12" fillId="3" borderId="98" xfId="16" applyNumberFormat="1" applyFont="1" applyFill="1" applyBorder="1" applyAlignment="1" applyProtection="1">
      <alignment horizontal="center"/>
    </xf>
    <xf numFmtId="173" fontId="12" fillId="0" borderId="121" xfId="16" applyFont="1" applyBorder="1" applyAlignment="1" applyProtection="1">
      <alignment wrapText="1"/>
    </xf>
    <xf numFmtId="0" fontId="4" fillId="0" borderId="86" xfId="0" applyFont="1" applyBorder="1"/>
    <xf numFmtId="165" fontId="12"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2" fillId="3" borderId="98" xfId="16" applyNumberFormat="1" applyFont="1" applyFill="1" applyBorder="1" applyAlignment="1" applyProtection="1">
      <alignment horizontal="center"/>
    </xf>
    <xf numFmtId="11" fontId="12"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2" fillId="3" borderId="108" xfId="16" applyNumberFormat="1" applyFont="1" applyFill="1" applyBorder="1" applyAlignment="1" applyProtection="1">
      <alignment horizontal="center"/>
    </xf>
    <xf numFmtId="165" fontId="12"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2" fillId="3" borderId="120" xfId="16" applyNumberFormat="1" applyFont="1" applyFill="1" applyBorder="1" applyAlignment="1" applyProtection="1">
      <alignment horizontal="center"/>
    </xf>
    <xf numFmtId="11" fontId="12" fillId="3" borderId="120" xfId="16" applyNumberFormat="1" applyFont="1" applyFill="1" applyBorder="1" applyAlignment="1" applyProtection="1">
      <alignment horizontal="center"/>
    </xf>
    <xf numFmtId="165" fontId="12" fillId="3" borderId="111" xfId="16" applyNumberFormat="1" applyFont="1" applyFill="1" applyBorder="1" applyAlignment="1" applyProtection="1">
      <alignment horizontal="center"/>
    </xf>
    <xf numFmtId="11" fontId="12" fillId="3" borderId="0" xfId="16" applyNumberFormat="1" applyFont="1" applyFill="1" applyBorder="1" applyProtection="1"/>
    <xf numFmtId="11" fontId="12" fillId="3" borderId="7" xfId="16" applyNumberFormat="1" applyFont="1" applyFill="1" applyBorder="1" applyProtection="1"/>
    <xf numFmtId="11" fontId="12" fillId="3" borderId="90" xfId="16" applyNumberFormat="1" applyFont="1" applyFill="1" applyBorder="1" applyProtection="1"/>
    <xf numFmtId="11" fontId="12" fillId="3" borderId="110" xfId="16" applyNumberFormat="1" applyFont="1" applyFill="1" applyBorder="1" applyProtection="1"/>
    <xf numFmtId="165" fontId="12" fillId="3" borderId="0" xfId="16" applyNumberFormat="1" applyFont="1" applyFill="1" applyBorder="1" applyAlignment="1" applyProtection="1">
      <alignment horizontal="center" wrapText="1"/>
    </xf>
    <xf numFmtId="165" fontId="4" fillId="3" borderId="0" xfId="16" applyNumberFormat="1" applyFont="1" applyFill="1" applyBorder="1" applyAlignment="1" applyProtection="1">
      <alignment horizontal="center" wrapText="1"/>
    </xf>
    <xf numFmtId="173" fontId="18" fillId="0" borderId="24" xfId="16" applyFont="1" applyBorder="1" applyProtection="1"/>
    <xf numFmtId="173" fontId="12" fillId="0" borderId="65" xfId="16" applyFont="1" applyBorder="1" applyProtection="1"/>
    <xf numFmtId="0" fontId="4" fillId="0" borderId="65" xfId="0" applyFont="1" applyBorder="1"/>
    <xf numFmtId="0" fontId="4" fillId="0" borderId="65" xfId="0" applyFont="1" applyFill="1" applyBorder="1" applyProtection="1"/>
    <xf numFmtId="0" fontId="4" fillId="0" borderId="66" xfId="0" applyFont="1" applyFill="1" applyBorder="1" applyProtection="1"/>
    <xf numFmtId="0" fontId="0" fillId="0" borderId="7" xfId="0" applyBorder="1"/>
    <xf numFmtId="2" fontId="12" fillId="3" borderId="113" xfId="16" applyNumberFormat="1" applyFont="1" applyFill="1" applyBorder="1" applyAlignment="1" applyProtection="1">
      <alignment vertical="center" wrapText="1"/>
    </xf>
    <xf numFmtId="3" fontId="12" fillId="3" borderId="98" xfId="16" applyNumberFormat="1" applyFont="1" applyFill="1" applyBorder="1" applyAlignment="1" applyProtection="1">
      <alignment vertical="center" wrapText="1"/>
    </xf>
    <xf numFmtId="2" fontId="12" fillId="3" borderId="98" xfId="16" applyNumberFormat="1" applyFont="1" applyFill="1" applyBorder="1" applyAlignment="1" applyProtection="1">
      <alignment vertical="center" wrapText="1"/>
    </xf>
    <xf numFmtId="3" fontId="12"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4" fillId="0" borderId="75" xfId="16" applyFont="1" applyBorder="1" applyAlignment="1" applyProtection="1">
      <alignment wrapText="1"/>
    </xf>
    <xf numFmtId="173" fontId="6" fillId="0" borderId="76" xfId="16" applyFont="1" applyFill="1" applyBorder="1" applyAlignment="1" applyProtection="1">
      <alignment horizontal="center" wrapText="1"/>
    </xf>
    <xf numFmtId="173" fontId="6" fillId="0" borderId="76" xfId="16" applyFont="1" applyBorder="1" applyAlignment="1" applyProtection="1">
      <alignment horizontal="center" vertical="center" wrapText="1"/>
    </xf>
    <xf numFmtId="165" fontId="6" fillId="0" borderId="76" xfId="16" applyNumberFormat="1" applyFont="1" applyFill="1" applyBorder="1" applyAlignment="1" applyProtection="1">
      <alignment horizontal="center" vertical="center" wrapText="1"/>
    </xf>
    <xf numFmtId="165" fontId="6" fillId="0" borderId="77" xfId="16" applyNumberFormat="1" applyFont="1" applyFill="1" applyBorder="1" applyAlignment="1" applyProtection="1">
      <alignment horizontal="center" vertical="center" wrapText="1"/>
    </xf>
    <xf numFmtId="173" fontId="12" fillId="0" borderId="127" xfId="16" applyFont="1" applyBorder="1" applyAlignment="1" applyProtection="1">
      <alignment wrapText="1"/>
    </xf>
    <xf numFmtId="165" fontId="12" fillId="3" borderId="113" xfId="16" applyNumberFormat="1" applyFont="1" applyFill="1" applyBorder="1" applyAlignment="1" applyProtection="1">
      <alignment horizontal="center" wrapText="1"/>
    </xf>
    <xf numFmtId="165" fontId="12" fillId="3" borderId="113" xfId="16" applyNumberFormat="1" applyFont="1" applyFill="1" applyBorder="1" applyAlignment="1" applyProtection="1">
      <alignment horizontal="center"/>
    </xf>
    <xf numFmtId="173" fontId="12" fillId="3" borderId="113" xfId="16" applyFont="1" applyFill="1" applyBorder="1" applyAlignment="1" applyProtection="1">
      <alignment horizontal="center"/>
    </xf>
    <xf numFmtId="165" fontId="12" fillId="3" borderId="98" xfId="16" applyNumberFormat="1" applyFont="1" applyFill="1" applyBorder="1" applyAlignment="1" applyProtection="1">
      <alignment horizontal="center" wrapText="1"/>
    </xf>
    <xf numFmtId="173" fontId="12" fillId="3" borderId="98" xfId="16" applyFont="1" applyFill="1" applyBorder="1" applyAlignment="1" applyProtection="1">
      <alignment horizontal="center"/>
    </xf>
    <xf numFmtId="173" fontId="12" fillId="3" borderId="108" xfId="16" applyFont="1" applyFill="1" applyBorder="1" applyAlignment="1" applyProtection="1">
      <alignment horizontal="center"/>
    </xf>
    <xf numFmtId="173" fontId="12" fillId="0" borderId="131" xfId="16" applyFont="1" applyBorder="1" applyAlignment="1" applyProtection="1">
      <alignment wrapText="1"/>
    </xf>
    <xf numFmtId="165" fontId="12" fillId="3" borderId="118" xfId="16" applyNumberFormat="1" applyFont="1" applyFill="1" applyBorder="1" applyAlignment="1" applyProtection="1">
      <alignment horizontal="center" wrapText="1"/>
    </xf>
    <xf numFmtId="165" fontId="12" fillId="3" borderId="118" xfId="16" applyNumberFormat="1" applyFont="1" applyFill="1" applyBorder="1" applyAlignment="1" applyProtection="1">
      <alignment horizontal="center"/>
    </xf>
    <xf numFmtId="173" fontId="12" fillId="3" borderId="118" xfId="16" applyFont="1" applyFill="1" applyBorder="1" applyAlignment="1" applyProtection="1">
      <alignment horizontal="center"/>
    </xf>
    <xf numFmtId="173" fontId="6" fillId="0" borderId="81" xfId="16" applyFont="1" applyFill="1" applyBorder="1" applyAlignment="1" applyProtection="1">
      <alignment wrapText="1"/>
    </xf>
    <xf numFmtId="165" fontId="4" fillId="0" borderId="2" xfId="16" applyNumberFormat="1" applyFont="1" applyFill="1" applyBorder="1" applyAlignment="1" applyProtection="1">
      <alignment horizontal="center" wrapText="1"/>
    </xf>
    <xf numFmtId="165" fontId="12" fillId="3" borderId="120" xfId="16" applyNumberFormat="1" applyFont="1" applyFill="1" applyBorder="1" applyAlignment="1" applyProtection="1">
      <alignment horizontal="center" wrapText="1"/>
    </xf>
    <xf numFmtId="173" fontId="12" fillId="3" borderId="120" xfId="16" applyFont="1" applyFill="1" applyBorder="1" applyAlignment="1" applyProtection="1">
      <alignment horizontal="center"/>
    </xf>
    <xf numFmtId="173" fontId="12" fillId="3" borderId="111" xfId="16" applyFont="1" applyFill="1" applyBorder="1" applyAlignment="1" applyProtection="1">
      <alignment horizontal="center"/>
    </xf>
    <xf numFmtId="11" fontId="12" fillId="0" borderId="0" xfId="16" applyNumberFormat="1" applyFont="1" applyFill="1" applyBorder="1" applyProtection="1"/>
    <xf numFmtId="11" fontId="12" fillId="0" borderId="7" xfId="16" applyNumberFormat="1" applyFont="1" applyFill="1" applyBorder="1" applyProtection="1"/>
    <xf numFmtId="173" fontId="4" fillId="0" borderId="6" xfId="16" applyFont="1" applyFill="1" applyBorder="1" applyAlignment="1" applyProtection="1">
      <alignment wrapText="1"/>
    </xf>
    <xf numFmtId="173" fontId="4" fillId="0" borderId="63" xfId="16" applyFont="1" applyFill="1" applyBorder="1" applyAlignment="1" applyProtection="1">
      <alignment wrapText="1"/>
    </xf>
    <xf numFmtId="165" fontId="12" fillId="0" borderId="98" xfId="16" applyNumberFormat="1" applyFont="1" applyFill="1" applyBorder="1" applyAlignment="1" applyProtection="1">
      <alignment horizontal="center"/>
    </xf>
    <xf numFmtId="11" fontId="12" fillId="0" borderId="98" xfId="16" applyNumberFormat="1" applyFont="1" applyFill="1" applyBorder="1" applyAlignment="1" applyProtection="1">
      <alignment horizontal="center"/>
    </xf>
    <xf numFmtId="165" fontId="12" fillId="0" borderId="108" xfId="16" applyNumberFormat="1" applyFont="1" applyFill="1" applyBorder="1" applyAlignment="1" applyProtection="1">
      <alignment horizontal="center"/>
    </xf>
    <xf numFmtId="0" fontId="18" fillId="0" borderId="24" xfId="0" applyFont="1" applyBorder="1"/>
    <xf numFmtId="0" fontId="0" fillId="0" borderId="66" xfId="0" applyBorder="1"/>
    <xf numFmtId="0" fontId="5" fillId="0" borderId="6" xfId="5" applyBorder="1" applyAlignment="1" applyProtection="1"/>
    <xf numFmtId="0" fontId="5" fillId="0" borderId="67" xfId="5" applyBorder="1" applyAlignment="1" applyProtection="1"/>
    <xf numFmtId="0" fontId="0" fillId="0" borderId="110" xfId="0" applyBorder="1"/>
    <xf numFmtId="42" fontId="12" fillId="3" borderId="69" xfId="1" applyNumberFormat="1" applyFont="1" applyFill="1" applyBorder="1" applyAlignment="1" applyProtection="1">
      <alignment wrapText="1"/>
      <protection locked="0"/>
    </xf>
    <xf numFmtId="42" fontId="12" fillId="3" borderId="134" xfId="0" applyNumberFormat="1" applyFont="1" applyFill="1" applyBorder="1" applyAlignment="1" applyProtection="1">
      <alignment wrapText="1"/>
      <protection locked="0"/>
    </xf>
    <xf numFmtId="42" fontId="12" fillId="3" borderId="134" xfId="1" applyNumberFormat="1" applyFont="1" applyFill="1" applyBorder="1" applyAlignment="1" applyProtection="1">
      <alignment wrapText="1"/>
      <protection locked="0"/>
    </xf>
    <xf numFmtId="42" fontId="12" fillId="3" borderId="8" xfId="0" applyNumberFormat="1" applyFont="1" applyFill="1" applyBorder="1" applyAlignment="1" applyProtection="1">
      <alignment wrapText="1"/>
      <protection locked="0"/>
    </xf>
    <xf numFmtId="42" fontId="12" fillId="3" borderId="8" xfId="1" applyNumberFormat="1" applyFont="1" applyFill="1" applyBorder="1" applyAlignment="1" applyProtection="1">
      <alignment wrapText="1"/>
      <protection locked="0"/>
    </xf>
    <xf numFmtId="0" fontId="12" fillId="6" borderId="8" xfId="0" applyFont="1" applyFill="1" applyBorder="1" applyAlignment="1" applyProtection="1">
      <alignment wrapText="1"/>
      <protection locked="0"/>
    </xf>
    <xf numFmtId="2" fontId="4" fillId="5" borderId="135" xfId="0" applyNumberFormat="1" applyFont="1" applyFill="1" applyBorder="1" applyAlignment="1" applyProtection="1">
      <alignment wrapText="1"/>
      <protection locked="0"/>
    </xf>
    <xf numFmtId="42" fontId="12" fillId="3" borderId="135" xfId="0" applyNumberFormat="1" applyFont="1" applyFill="1" applyBorder="1" applyAlignment="1" applyProtection="1">
      <alignment wrapText="1"/>
      <protection locked="0"/>
    </xf>
    <xf numFmtId="42" fontId="12" fillId="3" borderId="135" xfId="1" applyNumberFormat="1" applyFont="1" applyFill="1" applyBorder="1" applyAlignment="1" applyProtection="1">
      <alignment wrapText="1"/>
      <protection locked="0"/>
    </xf>
    <xf numFmtId="0" fontId="12" fillId="6" borderId="135" xfId="0" applyFont="1" applyFill="1" applyBorder="1" applyAlignment="1" applyProtection="1">
      <alignment wrapText="1"/>
      <protection locked="0"/>
    </xf>
    <xf numFmtId="0" fontId="12" fillId="3" borderId="136" xfId="0" applyFont="1" applyFill="1" applyBorder="1" applyAlignment="1" applyProtection="1">
      <alignment horizontal="left" wrapText="1"/>
      <protection locked="0"/>
    </xf>
    <xf numFmtId="0" fontId="12" fillId="3" borderId="137" xfId="0" applyFont="1" applyFill="1" applyBorder="1" applyAlignment="1" applyProtection="1">
      <alignment horizontal="left" wrapText="1"/>
      <protection locked="0"/>
    </xf>
    <xf numFmtId="2" fontId="12" fillId="3" borderId="134" xfId="0" applyNumberFormat="1" applyFont="1" applyFill="1" applyBorder="1" applyAlignment="1" applyProtection="1">
      <alignment wrapText="1"/>
      <protection locked="0"/>
    </xf>
    <xf numFmtId="2" fontId="12" fillId="3" borderId="8" xfId="0" applyNumberFormat="1" applyFont="1" applyFill="1" applyBorder="1" applyAlignment="1" applyProtection="1">
      <alignment wrapText="1"/>
      <protection locked="0"/>
    </xf>
    <xf numFmtId="41" fontId="4" fillId="3" borderId="69" xfId="0" applyNumberFormat="1" applyFont="1" applyFill="1" applyBorder="1" applyAlignment="1" applyProtection="1">
      <alignment wrapText="1"/>
      <protection locked="0"/>
    </xf>
    <xf numFmtId="0" fontId="36" fillId="2" borderId="24" xfId="0" applyFont="1" applyFill="1" applyBorder="1" applyProtection="1">
      <protection locked="0"/>
    </xf>
    <xf numFmtId="0" fontId="35" fillId="2" borderId="65" xfId="0" applyFont="1" applyFill="1" applyBorder="1" applyProtection="1">
      <protection locked="0"/>
    </xf>
    <xf numFmtId="0" fontId="30" fillId="0" borderId="0" xfId="0" applyFont="1" applyFill="1" applyBorder="1" applyProtection="1">
      <protection locked="0"/>
    </xf>
    <xf numFmtId="0" fontId="13" fillId="2" borderId="6" xfId="0" applyFont="1" applyFill="1" applyBorder="1" applyAlignment="1" applyProtection="1">
      <alignment horizontal="left" vertical="top"/>
      <protection locked="0"/>
    </xf>
    <xf numFmtId="3" fontId="13"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3" fillId="3" borderId="57" xfId="0" applyNumberFormat="1" applyFont="1" applyFill="1" applyBorder="1" applyAlignment="1" applyProtection="1">
      <alignment horizontal="left" vertical="top"/>
      <protection locked="0"/>
    </xf>
    <xf numFmtId="2" fontId="12" fillId="2" borderId="0" xfId="0" applyNumberFormat="1" applyFont="1" applyFill="1" applyBorder="1" applyAlignment="1" applyProtection="1">
      <alignment horizontal="left" vertical="top" wrapText="1"/>
      <protection locked="0"/>
    </xf>
    <xf numFmtId="2" fontId="13" fillId="5" borderId="57" xfId="0" applyNumberFormat="1" applyFont="1" applyFill="1" applyBorder="1" applyAlignment="1" applyProtection="1">
      <alignment horizontal="left" vertical="top"/>
      <protection locked="0"/>
    </xf>
    <xf numFmtId="3" fontId="13" fillId="5" borderId="57" xfId="0" applyNumberFormat="1" applyFont="1" applyFill="1" applyBorder="1" applyAlignment="1" applyProtection="1">
      <alignment horizontal="left" vertical="top"/>
      <protection locked="0"/>
    </xf>
    <xf numFmtId="2" fontId="13"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5" fillId="2" borderId="110" xfId="0" applyFont="1" applyFill="1" applyBorder="1" applyProtection="1">
      <protection locked="0"/>
    </xf>
    <xf numFmtId="173" fontId="12" fillId="0" borderId="63" xfId="16" applyFont="1" applyBorder="1" applyAlignment="1" applyProtection="1">
      <alignment horizontal="left" vertical="center" wrapText="1"/>
    </xf>
    <xf numFmtId="173" fontId="12" fillId="0" borderId="98" xfId="16" applyFont="1" applyBorder="1" applyAlignment="1" applyProtection="1">
      <alignment horizontal="left" vertical="center" wrapText="1"/>
    </xf>
    <xf numFmtId="0" fontId="0" fillId="5" borderId="0" xfId="0" applyFill="1"/>
    <xf numFmtId="0" fontId="0" fillId="3" borderId="0" xfId="0" applyFill="1"/>
    <xf numFmtId="0" fontId="0" fillId="4" borderId="0" xfId="0" applyFill="1"/>
    <xf numFmtId="173" fontId="41" fillId="0" borderId="0" xfId="16" applyFont="1" applyAlignment="1">
      <alignment horizontal="left"/>
    </xf>
    <xf numFmtId="0" fontId="4" fillId="0" borderId="0" xfId="0" applyFont="1" applyProtection="1">
      <protection locked="0"/>
    </xf>
    <xf numFmtId="0" fontId="4" fillId="0" borderId="13" xfId="0" applyFont="1" applyBorder="1" applyAlignment="1" applyProtection="1">
      <alignment horizontal="right"/>
      <protection locked="0"/>
    </xf>
    <xf numFmtId="0" fontId="4" fillId="0" borderId="17" xfId="0" applyFont="1" applyBorder="1" applyAlignment="1" applyProtection="1">
      <alignment horizontal="right"/>
      <protection locked="0"/>
    </xf>
    <xf numFmtId="0" fontId="5" fillId="0" borderId="0" xfId="5" applyFont="1" applyFill="1" applyBorder="1" applyAlignment="1" applyProtection="1">
      <alignment wrapText="1"/>
      <protection locked="0"/>
    </xf>
    <xf numFmtId="0" fontId="4" fillId="0" borderId="20" xfId="0" applyFont="1" applyBorder="1" applyAlignment="1" applyProtection="1">
      <alignment horizontal="right"/>
      <protection locked="0"/>
    </xf>
    <xf numFmtId="0" fontId="4" fillId="0" borderId="0" xfId="0" applyFont="1" applyFill="1" applyBorder="1" applyAlignment="1" applyProtection="1">
      <alignment horizontal="right"/>
      <protection locked="0"/>
    </xf>
    <xf numFmtId="0" fontId="20" fillId="0" borderId="0" xfId="0" applyFont="1" applyAlignment="1" applyProtection="1">
      <protection locked="0"/>
    </xf>
    <xf numFmtId="0" fontId="20" fillId="0" borderId="0" xfId="0" applyFont="1" applyProtection="1">
      <protection locked="0"/>
    </xf>
    <xf numFmtId="0" fontId="4" fillId="0" borderId="17" xfId="0" applyFont="1" applyBorder="1" applyAlignment="1" applyProtection="1">
      <alignment horizontal="right" wrapText="1"/>
      <protection locked="0"/>
    </xf>
    <xf numFmtId="0" fontId="4" fillId="0" borderId="0" xfId="0" applyFont="1" applyAlignment="1" applyProtection="1">
      <alignment horizontal="right"/>
      <protection locked="0"/>
    </xf>
    <xf numFmtId="0" fontId="4" fillId="0" borderId="8" xfId="0" applyFont="1" applyBorder="1" applyProtection="1">
      <protection locked="0"/>
    </xf>
    <xf numFmtId="0" fontId="41" fillId="0" borderId="0" xfId="0" applyFont="1" applyProtection="1"/>
    <xf numFmtId="0" fontId="4" fillId="0" borderId="0" xfId="0" applyFont="1" applyFill="1" applyBorder="1" applyAlignment="1" applyProtection="1">
      <alignment horizontal="left" vertical="center"/>
    </xf>
    <xf numFmtId="0" fontId="38" fillId="0" borderId="0" xfId="0" applyFont="1" applyAlignment="1">
      <alignment horizontal="right"/>
    </xf>
    <xf numFmtId="4" fontId="12" fillId="3" borderId="98" xfId="16" applyNumberFormat="1" applyFont="1" applyFill="1" applyBorder="1" applyAlignment="1" applyProtection="1">
      <alignment horizontal="center" vertical="center" wrapText="1"/>
    </xf>
    <xf numFmtId="4" fontId="12" fillId="3" borderId="108" xfId="16" applyNumberFormat="1" applyFont="1" applyFill="1" applyBorder="1" applyAlignment="1" applyProtection="1">
      <alignment horizontal="center" vertical="center" wrapText="1"/>
    </xf>
    <xf numFmtId="0" fontId="0" fillId="15" borderId="0" xfId="0" applyFill="1"/>
    <xf numFmtId="0" fontId="4" fillId="0" borderId="4" xfId="0" applyFont="1" applyFill="1" applyBorder="1" applyAlignment="1">
      <alignment vertical="center" wrapText="1"/>
    </xf>
    <xf numFmtId="169" fontId="12" fillId="3" borderId="141" xfId="16" applyNumberFormat="1" applyFont="1" applyFill="1" applyBorder="1" applyProtection="1"/>
    <xf numFmtId="169" fontId="4" fillId="3" borderId="22" xfId="16" applyNumberFormat="1" applyFont="1" applyFill="1" applyBorder="1" applyProtection="1"/>
    <xf numFmtId="0" fontId="0" fillId="0" borderId="47" xfId="0" quotePrefix="1" applyBorder="1" applyAlignment="1" applyProtection="1">
      <alignment wrapText="1"/>
    </xf>
    <xf numFmtId="173" fontId="12" fillId="0" borderId="0" xfId="16" quotePrefix="1" applyFont="1" applyProtection="1"/>
    <xf numFmtId="165" fontId="18" fillId="3" borderId="8" xfId="0" applyNumberFormat="1" applyFont="1" applyFill="1" applyBorder="1" applyAlignment="1" applyProtection="1">
      <alignment wrapText="1"/>
    </xf>
    <xf numFmtId="165" fontId="18"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0" fontId="12" fillId="6" borderId="6" xfId="7" applyFill="1" applyBorder="1" applyAlignment="1">
      <alignment horizontal="center"/>
    </xf>
    <xf numFmtId="0" fontId="4" fillId="0" borderId="24" xfId="0" applyFont="1" applyFill="1" applyBorder="1"/>
    <xf numFmtId="0" fontId="4"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2" fillId="0" borderId="6" xfId="0" applyFont="1" applyFill="1" applyBorder="1"/>
    <xf numFmtId="167" fontId="0" fillId="0" borderId="4" xfId="0" applyNumberFormat="1" applyFill="1" applyBorder="1"/>
    <xf numFmtId="0" fontId="12" fillId="0" borderId="67" xfId="0" applyFont="1" applyFill="1" applyBorder="1"/>
    <xf numFmtId="0" fontId="0" fillId="0" borderId="90" xfId="0" applyFill="1" applyBorder="1"/>
    <xf numFmtId="167" fontId="0" fillId="0" borderId="90" xfId="0" applyNumberFormat="1" applyFill="1" applyBorder="1"/>
    <xf numFmtId="0" fontId="12" fillId="16" borderId="65" xfId="0" applyFont="1" applyFill="1" applyBorder="1"/>
    <xf numFmtId="0" fontId="0" fillId="16" borderId="65" xfId="0" applyFill="1" applyBorder="1"/>
    <xf numFmtId="0" fontId="0" fillId="16" borderId="66" xfId="0" applyFill="1" applyBorder="1"/>
    <xf numFmtId="0" fontId="0" fillId="0" borderId="4" xfId="0" applyBorder="1"/>
    <xf numFmtId="0" fontId="0" fillId="0" borderId="143" xfId="0" applyBorder="1"/>
    <xf numFmtId="0" fontId="4" fillId="0" borderId="6" xfId="0" applyFont="1" applyFill="1" applyBorder="1"/>
    <xf numFmtId="0" fontId="4" fillId="0" borderId="0" xfId="0" applyFont="1" applyFill="1" applyBorder="1" applyAlignment="1">
      <alignment wrapText="1"/>
    </xf>
    <xf numFmtId="0" fontId="4" fillId="0" borderId="0" xfId="0" applyFont="1" applyFill="1" applyBorder="1"/>
    <xf numFmtId="0" fontId="4" fillId="0" borderId="7" xfId="0" applyFont="1" applyFill="1" applyBorder="1"/>
    <xf numFmtId="7" fontId="0" fillId="0" borderId="0" xfId="0" applyNumberFormat="1"/>
    <xf numFmtId="0" fontId="12" fillId="0" borderId="63" xfId="0" applyFont="1" applyFill="1" applyBorder="1" applyAlignment="1">
      <alignment horizontal="left" vertical="top" wrapText="1"/>
    </xf>
    <xf numFmtId="0" fontId="12" fillId="6" borderId="98" xfId="0" applyFont="1" applyFill="1" applyBorder="1" applyAlignment="1">
      <alignment horizontal="left" vertical="top" wrapText="1"/>
    </xf>
    <xf numFmtId="0" fontId="12" fillId="0" borderId="98" xfId="0" applyFont="1" applyFill="1" applyBorder="1" applyAlignment="1">
      <alignment horizontal="left" vertical="top" wrapText="1"/>
    </xf>
    <xf numFmtId="167" fontId="12" fillId="0" borderId="0" xfId="0" applyNumberFormat="1" applyFont="1" applyFill="1" applyBorder="1"/>
    <xf numFmtId="0" fontId="27" fillId="0" borderId="90" xfId="0" applyFont="1" applyFill="1" applyBorder="1" applyAlignment="1" applyProtection="1">
      <alignment horizontal="center" wrapText="1"/>
    </xf>
    <xf numFmtId="3" fontId="12" fillId="2" borderId="8" xfId="0" applyNumberFormat="1" applyFont="1" applyFill="1" applyBorder="1" applyAlignment="1" applyProtection="1">
      <alignment horizontal="left" vertical="center" wrapText="1"/>
      <protection locked="0"/>
    </xf>
    <xf numFmtId="3" fontId="12" fillId="2" borderId="19" xfId="0" applyNumberFormat="1" applyFont="1" applyFill="1" applyBorder="1" applyAlignment="1" applyProtection="1">
      <alignment horizontal="left" vertical="center" wrapText="1"/>
      <protection locked="0"/>
    </xf>
    <xf numFmtId="0" fontId="6" fillId="0" borderId="0" xfId="0" applyFont="1" applyFill="1" applyBorder="1" applyAlignment="1">
      <alignment horizontal="right" vertical="center" wrapText="1"/>
    </xf>
    <xf numFmtId="170" fontId="15" fillId="0" borderId="0" xfId="0" applyNumberFormat="1" applyFont="1" applyFill="1" applyBorder="1" applyAlignment="1">
      <alignment horizontal="center" vertical="center" wrapText="1"/>
    </xf>
    <xf numFmtId="0" fontId="12" fillId="0" borderId="6" xfId="0" applyFont="1" applyFill="1" applyBorder="1" applyAlignment="1">
      <alignment horizontal="left"/>
    </xf>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44" fillId="0" borderId="1" xfId="0" applyFont="1" applyFill="1" applyBorder="1" applyAlignment="1">
      <alignment wrapText="1"/>
    </xf>
    <xf numFmtId="0" fontId="44" fillId="0" borderId="2" xfId="0" applyFont="1" applyFill="1" applyBorder="1" applyAlignment="1">
      <alignment horizontal="center"/>
    </xf>
    <xf numFmtId="0" fontId="44" fillId="0" borderId="2" xfId="0" applyFont="1" applyFill="1" applyBorder="1" applyAlignment="1">
      <alignment horizontal="center" wrapText="1"/>
    </xf>
    <xf numFmtId="0" fontId="44" fillId="0" borderId="3" xfId="0" applyFont="1" applyFill="1" applyBorder="1" applyAlignment="1">
      <alignment horizontal="center" wrapText="1"/>
    </xf>
    <xf numFmtId="0" fontId="45" fillId="0" borderId="4" xfId="0" applyFont="1" applyFill="1" applyBorder="1" applyAlignment="1">
      <alignment wrapText="1"/>
    </xf>
    <xf numFmtId="2" fontId="45" fillId="0" borderId="0" xfId="0" applyNumberFormat="1" applyFont="1" applyFill="1" applyBorder="1" applyAlignment="1">
      <alignment horizontal="center"/>
    </xf>
    <xf numFmtId="2" fontId="46" fillId="0" borderId="0" xfId="0" applyNumberFormat="1" applyFont="1" applyFill="1" applyBorder="1" applyAlignment="1">
      <alignment wrapText="1"/>
    </xf>
    <xf numFmtId="2" fontId="46" fillId="0" borderId="0" xfId="0" applyNumberFormat="1" applyFont="1" applyFill="1" applyBorder="1" applyAlignment="1"/>
    <xf numFmtId="2" fontId="46" fillId="0" borderId="0" xfId="0" applyNumberFormat="1" applyFont="1" applyFill="1" applyBorder="1"/>
    <xf numFmtId="2" fontId="46" fillId="0" borderId="5" xfId="0" applyNumberFormat="1" applyFont="1" applyFill="1" applyBorder="1"/>
    <xf numFmtId="0" fontId="45" fillId="0" borderId="4" xfId="0" applyFont="1" applyFill="1" applyBorder="1"/>
    <xf numFmtId="0" fontId="44" fillId="0" borderId="4" xfId="0" applyFont="1" applyFill="1" applyBorder="1"/>
    <xf numFmtId="2" fontId="45" fillId="0" borderId="5" xfId="0" applyNumberFormat="1" applyFont="1" applyFill="1" applyBorder="1" applyAlignment="1">
      <alignment horizontal="center"/>
    </xf>
    <xf numFmtId="2" fontId="46" fillId="0" borderId="5" xfId="0" applyNumberFormat="1" applyFont="1" applyFill="1" applyBorder="1" applyAlignment="1">
      <alignment wrapText="1"/>
    </xf>
    <xf numFmtId="0" fontId="45" fillId="0" borderId="58" xfId="0" applyFont="1" applyFill="1" applyBorder="1" applyAlignment="1">
      <alignment wrapText="1"/>
    </xf>
    <xf numFmtId="2" fontId="45" fillId="0" borderId="59" xfId="0" applyNumberFormat="1" applyFont="1" applyFill="1" applyBorder="1" applyAlignment="1">
      <alignment horizontal="center"/>
    </xf>
    <xf numFmtId="2" fontId="45" fillId="0" borderId="59" xfId="0" applyNumberFormat="1" applyFont="1" applyFill="1" applyBorder="1" applyAlignment="1">
      <alignment horizontal="center" wrapText="1"/>
    </xf>
    <xf numFmtId="2" fontId="45" fillId="0" borderId="87" xfId="0" applyNumberFormat="1" applyFont="1" applyFill="1" applyBorder="1" applyAlignment="1">
      <alignment horizontal="center" wrapText="1"/>
    </xf>
    <xf numFmtId="0" fontId="47" fillId="0" borderId="0" xfId="0" applyFont="1" applyFill="1" applyBorder="1" applyAlignment="1"/>
    <xf numFmtId="0" fontId="46" fillId="0" borderId="0" xfId="0" applyFont="1" applyFill="1"/>
    <xf numFmtId="0" fontId="47" fillId="0" borderId="0" xfId="0" applyFont="1" applyFill="1"/>
    <xf numFmtId="0" fontId="4" fillId="0" borderId="1" xfId="0" applyFont="1" applyFill="1" applyBorder="1" applyAlignment="1">
      <alignment vertical="center"/>
    </xf>
    <xf numFmtId="0" fontId="4" fillId="0" borderId="2" xfId="0" applyFont="1" applyFill="1" applyBorder="1" applyAlignment="1">
      <alignment horizontal="center" vertical="center" wrapText="1"/>
    </xf>
    <xf numFmtId="0" fontId="46" fillId="3" borderId="4" xfId="0" applyFont="1" applyFill="1" applyBorder="1"/>
    <xf numFmtId="165" fontId="46" fillId="3" borderId="0" xfId="0" applyNumberFormat="1" applyFont="1" applyFill="1" applyBorder="1" applyAlignment="1">
      <alignment horizontal="center"/>
    </xf>
    <xf numFmtId="0" fontId="46" fillId="0" borderId="4" xfId="0" applyFont="1" applyFill="1" applyBorder="1"/>
    <xf numFmtId="165" fontId="46" fillId="0" borderId="0" xfId="0" applyNumberFormat="1" applyFont="1" applyFill="1" applyBorder="1" applyAlignment="1">
      <alignment horizontal="center"/>
    </xf>
    <xf numFmtId="0" fontId="46" fillId="3" borderId="0" xfId="0" applyFont="1" applyFill="1" applyBorder="1" applyAlignment="1">
      <alignment horizontal="center"/>
    </xf>
    <xf numFmtId="0" fontId="46" fillId="3" borderId="5" xfId="0" applyFont="1" applyFill="1" applyBorder="1" applyAlignment="1">
      <alignment horizontal="center"/>
    </xf>
    <xf numFmtId="0" fontId="46" fillId="0" borderId="0" xfId="0" applyFont="1" applyFill="1" applyBorder="1" applyAlignment="1">
      <alignment horizontal="center"/>
    </xf>
    <xf numFmtId="0" fontId="46" fillId="0" borderId="5" xfId="0" applyFont="1" applyFill="1" applyBorder="1" applyAlignment="1">
      <alignment horizontal="center"/>
    </xf>
    <xf numFmtId="0" fontId="4" fillId="3" borderId="0" xfId="0" applyFont="1" applyFill="1" applyBorder="1" applyAlignment="1">
      <alignment horizontal="center"/>
    </xf>
    <xf numFmtId="0" fontId="46" fillId="3" borderId="0" xfId="0" applyFont="1" applyFill="1" applyBorder="1"/>
    <xf numFmtId="0" fontId="46" fillId="0" borderId="0" xfId="0" applyFont="1" applyFill="1" applyBorder="1"/>
    <xf numFmtId="0" fontId="19" fillId="0" borderId="5" xfId="0" applyFont="1" applyFill="1" applyBorder="1" applyAlignment="1">
      <alignment horizontal="center"/>
    </xf>
    <xf numFmtId="0" fontId="19" fillId="3" borderId="5" xfId="0" applyFont="1" applyFill="1" applyBorder="1" applyAlignment="1">
      <alignment horizontal="center"/>
    </xf>
    <xf numFmtId="0" fontId="46" fillId="0" borderId="0" xfId="0" applyFont="1"/>
    <xf numFmtId="0" fontId="46" fillId="0" borderId="4" xfId="0" applyFont="1" applyFill="1" applyBorder="1" applyAlignment="1">
      <alignment wrapText="1"/>
    </xf>
    <xf numFmtId="0" fontId="46" fillId="0" borderId="0" xfId="0" applyFont="1" applyFill="1" applyBorder="1" applyAlignment="1">
      <alignment wrapText="1"/>
    </xf>
    <xf numFmtId="0" fontId="46"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46" fillId="3" borderId="2" xfId="0" applyNumberFormat="1" applyFont="1" applyFill="1" applyBorder="1" applyAlignment="1">
      <alignment horizontal="center"/>
    </xf>
    <xf numFmtId="165" fontId="46" fillId="3" borderId="82" xfId="0" applyNumberFormat="1" applyFont="1" applyFill="1" applyBorder="1" applyAlignment="1">
      <alignment horizontal="center"/>
    </xf>
    <xf numFmtId="165" fontId="46" fillId="3" borderId="7" xfId="0" applyNumberFormat="1" applyFont="1" applyFill="1" applyBorder="1" applyAlignment="1">
      <alignment horizontal="center"/>
    </xf>
    <xf numFmtId="0" fontId="12" fillId="0" borderId="4" xfId="0" applyFont="1" applyFill="1" applyBorder="1"/>
    <xf numFmtId="2" fontId="45" fillId="0" borderId="0" xfId="0" applyNumberFormat="1" applyFont="1" applyFill="1" applyBorder="1" applyAlignment="1">
      <alignment horizontal="center" wrapText="1"/>
    </xf>
    <xf numFmtId="2" fontId="45" fillId="0" borderId="7" xfId="0" applyNumberFormat="1" applyFont="1" applyFill="1" applyBorder="1" applyAlignment="1">
      <alignment horizontal="center" wrapText="1"/>
    </xf>
    <xf numFmtId="0" fontId="12" fillId="0" borderId="143" xfId="0" applyFont="1" applyFill="1" applyBorder="1"/>
    <xf numFmtId="165" fontId="46" fillId="3" borderId="90" xfId="0" applyNumberFormat="1" applyFont="1" applyFill="1" applyBorder="1" applyAlignment="1">
      <alignment horizontal="center"/>
    </xf>
    <xf numFmtId="165" fontId="46" fillId="3" borderId="110" xfId="0" applyNumberFormat="1" applyFont="1" applyFill="1" applyBorder="1" applyAlignment="1">
      <alignment horizontal="center"/>
    </xf>
    <xf numFmtId="0" fontId="12" fillId="2" borderId="4" xfId="0" applyFont="1" applyFill="1" applyBorder="1"/>
    <xf numFmtId="10" fontId="47" fillId="0" borderId="0" xfId="0" applyNumberFormat="1" applyFont="1" applyFill="1"/>
    <xf numFmtId="167" fontId="0" fillId="0" borderId="0" xfId="0" applyNumberFormat="1"/>
    <xf numFmtId="0" fontId="0" fillId="0" borderId="67" xfId="0" applyFill="1" applyBorder="1"/>
    <xf numFmtId="0" fontId="12" fillId="0" borderId="0" xfId="0" applyFont="1" applyFill="1" applyBorder="1"/>
    <xf numFmtId="0" fontId="12" fillId="0" borderId="1" xfId="0" applyFont="1" applyFill="1" applyBorder="1"/>
    <xf numFmtId="0" fontId="4" fillId="0" borderId="0" xfId="0" applyFont="1" applyAlignment="1">
      <alignment wrapText="1"/>
    </xf>
    <xf numFmtId="0" fontId="5" fillId="6" borderId="100" xfId="5" applyFill="1" applyBorder="1" applyAlignment="1" applyProtection="1">
      <alignment wrapText="1"/>
      <protection locked="0"/>
    </xf>
    <xf numFmtId="0" fontId="39" fillId="6" borderId="8" xfId="0" applyFont="1" applyFill="1" applyBorder="1" applyAlignment="1" applyProtection="1">
      <alignment wrapText="1"/>
      <protection locked="0"/>
    </xf>
    <xf numFmtId="0" fontId="12" fillId="6" borderId="98" xfId="0" applyNumberFormat="1" applyFont="1" applyFill="1" applyBorder="1" applyAlignment="1">
      <alignment horizontal="left" vertical="top" wrapText="1"/>
    </xf>
    <xf numFmtId="0" fontId="4" fillId="6" borderId="0" xfId="0" applyFont="1" applyFill="1" applyBorder="1" applyAlignment="1">
      <alignment vertical="top" wrapText="1"/>
    </xf>
    <xf numFmtId="0" fontId="4" fillId="6" borderId="5" xfId="0" applyFont="1" applyFill="1" applyBorder="1" applyAlignment="1">
      <alignment vertical="top" wrapText="1"/>
    </xf>
    <xf numFmtId="0" fontId="4" fillId="0" borderId="150" xfId="0" applyFont="1" applyBorder="1" applyAlignment="1">
      <alignment wrapText="1"/>
    </xf>
    <xf numFmtId="0" fontId="0" fillId="0" borderId="59" xfId="0" applyBorder="1"/>
    <xf numFmtId="0" fontId="28" fillId="0" borderId="147" xfId="0" applyFont="1" applyBorder="1"/>
    <xf numFmtId="43" fontId="12" fillId="3" borderId="152"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0" borderId="153" xfId="0" applyBorder="1" applyAlignment="1">
      <alignment horizontal="centerContinuous" vertical="top" wrapText="1"/>
    </xf>
    <xf numFmtId="39" fontId="51" fillId="6" borderId="7" xfId="9" applyNumberFormat="1" applyFill="1" applyBorder="1"/>
    <xf numFmtId="0" fontId="4" fillId="0" borderId="1" xfId="7" applyFont="1" applyFill="1" applyBorder="1"/>
    <xf numFmtId="0" fontId="12" fillId="0" borderId="2" xfId="7" applyFill="1" applyBorder="1"/>
    <xf numFmtId="167" fontId="12" fillId="0" borderId="2" xfId="7" applyNumberFormat="1" applyFill="1" applyBorder="1"/>
    <xf numFmtId="0" fontId="12" fillId="0" borderId="3" xfId="7" applyFill="1" applyBorder="1"/>
    <xf numFmtId="0" fontId="12" fillId="0" borderId="0" xfId="7"/>
    <xf numFmtId="0" fontId="19" fillId="0" borderId="4" xfId="7" applyFont="1" applyFill="1" applyBorder="1"/>
    <xf numFmtId="0" fontId="12" fillId="0" borderId="0" xfId="7" applyFill="1" applyBorder="1"/>
    <xf numFmtId="167" fontId="12" fillId="0" borderId="0" xfId="7" applyNumberFormat="1" applyFill="1" applyBorder="1"/>
    <xf numFmtId="0" fontId="12" fillId="0" borderId="5" xfId="7" applyFill="1" applyBorder="1"/>
    <xf numFmtId="0" fontId="12" fillId="0" borderId="4" xfId="7" applyFont="1" applyFill="1" applyBorder="1"/>
    <xf numFmtId="0" fontId="52" fillId="0" borderId="0" xfId="7" applyFont="1" applyFill="1" applyBorder="1"/>
    <xf numFmtId="0" fontId="12" fillId="0" borderId="4" xfId="7" applyFill="1" applyBorder="1"/>
    <xf numFmtId="0" fontId="53" fillId="0" borderId="5" xfId="7" applyFont="1" applyFill="1" applyBorder="1"/>
    <xf numFmtId="0" fontId="12" fillId="0" borderId="58" xfId="7" applyFont="1" applyFill="1" applyBorder="1"/>
    <xf numFmtId="0" fontId="12" fillId="0" borderId="59" xfId="7" applyFill="1" applyBorder="1"/>
    <xf numFmtId="167" fontId="12" fillId="0" borderId="59" xfId="7" applyNumberFormat="1" applyFill="1" applyBorder="1"/>
    <xf numFmtId="0" fontId="52" fillId="0" borderId="59" xfId="7" applyFont="1" applyFill="1" applyBorder="1"/>
    <xf numFmtId="0" fontId="12" fillId="0" borderId="87" xfId="7" applyFill="1" applyBorder="1"/>
    <xf numFmtId="0" fontId="4" fillId="0" borderId="0" xfId="7" applyFont="1" applyFill="1" applyBorder="1"/>
    <xf numFmtId="0" fontId="19" fillId="0" borderId="2" xfId="0" applyFont="1" applyFill="1" applyBorder="1"/>
    <xf numFmtId="0" fontId="19" fillId="0" borderId="0" xfId="0" applyFont="1" applyFill="1" applyBorder="1"/>
    <xf numFmtId="2" fontId="49" fillId="0" borderId="0" xfId="0" applyNumberFormat="1" applyFont="1" applyFill="1" applyBorder="1" applyAlignment="1">
      <alignment horizontal="center" wrapText="1"/>
    </xf>
    <xf numFmtId="0" fontId="19" fillId="0" borderId="90" xfId="0" applyFont="1" applyFill="1" applyBorder="1"/>
    <xf numFmtId="0" fontId="19" fillId="0" borderId="0" xfId="0" applyFont="1" applyBorder="1"/>
    <xf numFmtId="0" fontId="19" fillId="0" borderId="90" xfId="0" applyFont="1" applyBorder="1"/>
    <xf numFmtId="167" fontId="54" fillId="0" borderId="0" xfId="7" applyNumberFormat="1" applyFont="1" applyFill="1" applyBorder="1"/>
    <xf numFmtId="0" fontId="12" fillId="0" borderId="6" xfId="7" applyFont="1" applyFill="1" applyBorder="1" applyAlignment="1">
      <alignment horizontal="left"/>
    </xf>
    <xf numFmtId="165" fontId="12" fillId="3" borderId="0" xfId="0" applyNumberFormat="1" applyFont="1" applyFill="1" applyBorder="1" applyAlignment="1">
      <alignment horizontal="center"/>
    </xf>
    <xf numFmtId="165" fontId="12" fillId="3" borderId="2" xfId="0" applyNumberFormat="1" applyFont="1" applyFill="1" applyBorder="1" applyAlignment="1">
      <alignment horizontal="center"/>
    </xf>
    <xf numFmtId="165" fontId="12" fillId="3" borderId="82" xfId="0" applyNumberFormat="1" applyFont="1" applyFill="1" applyBorder="1" applyAlignment="1">
      <alignment horizontal="center"/>
    </xf>
    <xf numFmtId="165" fontId="12" fillId="3" borderId="7" xfId="0" applyNumberFormat="1" applyFont="1" applyFill="1" applyBorder="1" applyAlignment="1">
      <alignment horizontal="center"/>
    </xf>
    <xf numFmtId="165" fontId="12" fillId="3" borderId="90" xfId="0" applyNumberFormat="1" applyFont="1" applyFill="1" applyBorder="1" applyAlignment="1">
      <alignment horizontal="center"/>
    </xf>
    <xf numFmtId="165" fontId="12" fillId="3" borderId="110" xfId="0" applyNumberFormat="1" applyFont="1" applyFill="1" applyBorder="1" applyAlignment="1">
      <alignment horizontal="center"/>
    </xf>
    <xf numFmtId="173" fontId="2" fillId="0" borderId="0" xfId="16" applyFont="1" applyProtection="1"/>
    <xf numFmtId="10" fontId="0" fillId="0" borderId="0" xfId="0" applyNumberFormat="1" applyBorder="1" applyProtection="1"/>
    <xf numFmtId="182" fontId="12" fillId="3" borderId="23" xfId="16" applyNumberFormat="1" applyFont="1" applyFill="1" applyBorder="1" applyAlignment="1" applyProtection="1">
      <alignment horizontal="center"/>
    </xf>
    <xf numFmtId="181" fontId="12" fillId="3" borderId="19" xfId="16" applyNumberFormat="1" applyFont="1" applyFill="1" applyBorder="1" applyAlignment="1" applyProtection="1">
      <alignment horizontal="center"/>
      <protection locked="0"/>
    </xf>
    <xf numFmtId="173" fontId="4" fillId="0" borderId="0" xfId="16" applyFont="1" applyFill="1" applyBorder="1" applyProtection="1"/>
    <xf numFmtId="170" fontId="0" fillId="17" borderId="34" xfId="0" applyNumberFormat="1" applyFill="1" applyBorder="1" applyProtection="1"/>
    <xf numFmtId="170" fontId="0" fillId="17" borderId="32" xfId="0" applyNumberFormat="1" applyFill="1" applyBorder="1" applyProtection="1"/>
    <xf numFmtId="173" fontId="4" fillId="0" borderId="60" xfId="16" applyFont="1" applyBorder="1" applyAlignment="1" applyProtection="1">
      <alignment horizontal="center"/>
    </xf>
    <xf numFmtId="173" fontId="2" fillId="3" borderId="17" xfId="16" applyFont="1" applyFill="1" applyBorder="1" applyProtection="1"/>
    <xf numFmtId="173" fontId="2" fillId="3" borderId="8" xfId="16" applyFont="1" applyFill="1" applyBorder="1" applyProtection="1"/>
    <xf numFmtId="165" fontId="2" fillId="3" borderId="8" xfId="16" applyNumberFormat="1" applyFont="1" applyFill="1" applyBorder="1" applyProtection="1"/>
    <xf numFmtId="170" fontId="2" fillId="3" borderId="8" xfId="16" applyNumberFormat="1" applyFont="1" applyFill="1" applyBorder="1" applyProtection="1"/>
    <xf numFmtId="6" fontId="2" fillId="3" borderId="8" xfId="16" applyNumberFormat="1" applyFont="1" applyFill="1" applyBorder="1" applyProtection="1"/>
    <xf numFmtId="164" fontId="2" fillId="3" borderId="8" xfId="17" applyNumberFormat="1" applyFont="1" applyFill="1" applyBorder="1" applyProtection="1"/>
    <xf numFmtId="0" fontId="0" fillId="20" borderId="0" xfId="0" applyFill="1"/>
    <xf numFmtId="0" fontId="2" fillId="20" borderId="0" xfId="0" applyFont="1" applyFill="1"/>
    <xf numFmtId="0" fontId="4" fillId="20" borderId="0" xfId="0" applyFont="1" applyFill="1"/>
    <xf numFmtId="0" fontId="2"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2" fontId="0" fillId="19" borderId="55" xfId="1" applyNumberFormat="1" applyFont="1" applyFill="1" applyBorder="1"/>
    <xf numFmtId="0" fontId="0" fillId="19" borderId="55" xfId="0" applyFill="1" applyBorder="1"/>
    <xf numFmtId="172" fontId="0" fillId="19" borderId="8" xfId="1" applyNumberFormat="1" applyFont="1" applyFill="1" applyBorder="1"/>
    <xf numFmtId="0" fontId="4"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83" fontId="0" fillId="19" borderId="8" xfId="1" applyNumberFormat="1" applyFont="1" applyFill="1" applyBorder="1"/>
    <xf numFmtId="0" fontId="2" fillId="20" borderId="0" xfId="0" applyFont="1" applyFill="1" applyBorder="1"/>
    <xf numFmtId="9" fontId="2" fillId="19" borderId="8" xfId="0" applyNumberFormat="1" applyFont="1" applyFill="1" applyBorder="1"/>
    <xf numFmtId="44" fontId="0" fillId="19" borderId="8" xfId="0" applyNumberFormat="1" applyFill="1" applyBorder="1"/>
    <xf numFmtId="44" fontId="2" fillId="19" borderId="8" xfId="3" applyFont="1" applyFill="1" applyBorder="1"/>
    <xf numFmtId="44"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2" fontId="0" fillId="19" borderId="8" xfId="0" applyNumberFormat="1" applyFill="1" applyBorder="1"/>
    <xf numFmtId="0" fontId="4" fillId="20" borderId="0" xfId="0" applyFont="1" applyFill="1" applyAlignment="1">
      <alignment horizontal="center" wrapText="1"/>
    </xf>
    <xf numFmtId="0" fontId="0" fillId="19" borderId="8" xfId="0" applyFill="1" applyBorder="1" applyAlignment="1">
      <alignment horizontal="center" vertical="top"/>
    </xf>
    <xf numFmtId="44" fontId="2" fillId="19" borderId="8" xfId="0" applyNumberFormat="1" applyFont="1" applyFill="1" applyBorder="1"/>
    <xf numFmtId="0" fontId="4" fillId="0" borderId="126" xfId="0" applyFont="1" applyFill="1" applyBorder="1"/>
    <xf numFmtId="0" fontId="4" fillId="0" borderId="59" xfId="0" applyFont="1" applyFill="1" applyBorder="1" applyAlignment="1">
      <alignment wrapText="1"/>
    </xf>
    <xf numFmtId="0" fontId="4" fillId="0" borderId="59" xfId="0" applyFont="1" applyFill="1" applyBorder="1"/>
    <xf numFmtId="0" fontId="4" fillId="0" borderId="153" xfId="0" applyFont="1" applyFill="1" applyBorder="1"/>
    <xf numFmtId="44" fontId="4" fillId="20" borderId="0" xfId="3" applyFont="1" applyFill="1"/>
    <xf numFmtId="173" fontId="4" fillId="20" borderId="8" xfId="16" applyFont="1" applyFill="1" applyBorder="1" applyAlignment="1" applyProtection="1">
      <alignment horizontal="center" wrapText="1"/>
    </xf>
    <xf numFmtId="173" fontId="4" fillId="20" borderId="8" xfId="16" applyFont="1" applyFill="1" applyBorder="1" applyProtection="1"/>
    <xf numFmtId="3" fontId="12" fillId="3" borderId="8" xfId="16" applyNumberFormat="1" applyFont="1" applyFill="1" applyBorder="1" applyProtection="1"/>
    <xf numFmtId="2" fontId="12" fillId="3" borderId="8" xfId="16" applyNumberFormat="1" applyFont="1" applyFill="1" applyBorder="1" applyAlignment="1" applyProtection="1">
      <alignment horizontal="center"/>
    </xf>
    <xf numFmtId="178" fontId="12" fillId="3" borderId="8" xfId="3" applyNumberFormat="1" applyFont="1" applyFill="1" applyBorder="1" applyAlignment="1" applyProtection="1">
      <alignment horizontal="center"/>
      <protection locked="0"/>
    </xf>
    <xf numFmtId="173" fontId="2" fillId="20" borderId="2" xfId="16" applyFont="1" applyFill="1" applyBorder="1" applyProtection="1"/>
    <xf numFmtId="173" fontId="2" fillId="20" borderId="3" xfId="16" applyFont="1" applyFill="1" applyBorder="1" applyProtection="1"/>
    <xf numFmtId="173" fontId="2" fillId="20" borderId="4" xfId="16" applyFont="1" applyFill="1" applyBorder="1" applyProtection="1"/>
    <xf numFmtId="173" fontId="4" fillId="20" borderId="100" xfId="16" applyFont="1" applyFill="1" applyBorder="1" applyProtection="1"/>
    <xf numFmtId="173" fontId="2" fillId="20" borderId="137" xfId="16" applyFont="1" applyFill="1" applyBorder="1" applyProtection="1"/>
    <xf numFmtId="3" fontId="12" fillId="3" borderId="100" xfId="16" applyNumberFormat="1" applyFont="1" applyFill="1" applyBorder="1" applyProtection="1"/>
    <xf numFmtId="2" fontId="12" fillId="3" borderId="100" xfId="16" applyNumberFormat="1" applyFont="1" applyFill="1" applyBorder="1" applyAlignment="1" applyProtection="1">
      <alignment horizontal="center"/>
    </xf>
    <xf numFmtId="178" fontId="12" fillId="3" borderId="100" xfId="3" applyNumberFormat="1" applyFont="1" applyFill="1" applyBorder="1" applyAlignment="1" applyProtection="1">
      <alignment horizontal="center"/>
      <protection locked="0"/>
    </xf>
    <xf numFmtId="9" fontId="2" fillId="20" borderId="4" xfId="16" applyNumberFormat="1" applyFont="1" applyFill="1" applyBorder="1" applyProtection="1"/>
    <xf numFmtId="173" fontId="2" fillId="20" borderId="0" xfId="16" applyFont="1" applyFill="1" applyBorder="1" applyProtection="1"/>
    <xf numFmtId="173" fontId="2" fillId="20" borderId="5" xfId="16" applyFont="1" applyFill="1" applyBorder="1" applyProtection="1"/>
    <xf numFmtId="0" fontId="2" fillId="20" borderId="137" xfId="0" applyFont="1" applyFill="1" applyBorder="1" applyProtection="1"/>
    <xf numFmtId="173" fontId="2" fillId="20" borderId="144" xfId="16" applyFont="1" applyFill="1" applyBorder="1" applyProtection="1"/>
    <xf numFmtId="181" fontId="12" fillId="3" borderId="133" xfId="16" applyNumberFormat="1" applyFont="1" applyFill="1" applyBorder="1" applyAlignment="1" applyProtection="1">
      <alignment horizontal="center"/>
      <protection locked="0"/>
    </xf>
    <xf numFmtId="173" fontId="2" fillId="20" borderId="59" xfId="16" applyFont="1" applyFill="1" applyBorder="1" applyProtection="1"/>
    <xf numFmtId="173" fontId="2" fillId="20" borderId="87" xfId="16" applyFont="1" applyFill="1" applyBorder="1" applyProtection="1"/>
    <xf numFmtId="173" fontId="4" fillId="20" borderId="41" xfId="16" applyFont="1" applyFill="1" applyBorder="1" applyAlignment="1" applyProtection="1">
      <alignment horizontal="center" wrapText="1"/>
    </xf>
    <xf numFmtId="173" fontId="4" fillId="20" borderId="42" xfId="16" applyFont="1" applyFill="1" applyBorder="1" applyAlignment="1" applyProtection="1">
      <alignment horizontal="center"/>
    </xf>
    <xf numFmtId="173" fontId="4" fillId="20" borderId="42" xfId="16" applyFont="1" applyFill="1" applyBorder="1" applyAlignment="1" applyProtection="1">
      <alignment horizontal="center" wrapText="1"/>
    </xf>
    <xf numFmtId="173" fontId="4" fillId="20" borderId="43" xfId="16" applyFont="1" applyFill="1" applyBorder="1" applyAlignment="1" applyProtection="1">
      <alignment horizontal="center" wrapText="1"/>
    </xf>
    <xf numFmtId="173" fontId="4" fillId="20" borderId="85" xfId="16" applyFont="1" applyFill="1" applyBorder="1" applyAlignment="1" applyProtection="1">
      <alignment horizontal="center" wrapText="1"/>
    </xf>
    <xf numFmtId="173" fontId="4" fillId="20" borderId="149" xfId="16" applyFont="1" applyFill="1" applyBorder="1" applyAlignment="1" applyProtection="1">
      <alignment horizontal="center" wrapText="1"/>
    </xf>
    <xf numFmtId="6" fontId="12" fillId="3" borderId="158" xfId="16" applyNumberFormat="1" applyFont="1" applyFill="1" applyBorder="1" applyProtection="1"/>
    <xf numFmtId="6" fontId="12" fillId="3" borderId="100" xfId="16" applyNumberFormat="1" applyFont="1" applyFill="1" applyBorder="1" applyProtection="1"/>
    <xf numFmtId="6" fontId="2" fillId="3" borderId="100" xfId="16" applyNumberFormat="1" applyFont="1" applyFill="1" applyBorder="1" applyProtection="1"/>
    <xf numFmtId="6" fontId="12" fillId="3" borderId="101" xfId="16" applyNumberFormat="1" applyFont="1" applyFill="1" applyBorder="1" applyProtection="1"/>
    <xf numFmtId="172" fontId="12" fillId="3" borderId="48" xfId="1" applyNumberFormat="1" applyFont="1" applyFill="1" applyBorder="1" applyProtection="1"/>
    <xf numFmtId="172" fontId="12" fillId="3" borderId="49" xfId="1" applyNumberFormat="1" applyFont="1" applyFill="1" applyBorder="1" applyProtection="1"/>
    <xf numFmtId="172" fontId="2" fillId="3" borderId="49" xfId="1" applyNumberFormat="1" applyFont="1" applyFill="1" applyBorder="1" applyProtection="1"/>
    <xf numFmtId="172" fontId="12" fillId="3" borderId="50" xfId="1" applyNumberFormat="1" applyFont="1" applyFill="1" applyBorder="1" applyProtection="1"/>
    <xf numFmtId="165" fontId="12" fillId="3" borderId="37" xfId="16" applyNumberFormat="1" applyFont="1" applyFill="1" applyBorder="1" applyProtection="1"/>
    <xf numFmtId="170" fontId="12" fillId="3" borderId="37" xfId="16" applyNumberFormat="1" applyFont="1" applyFill="1" applyBorder="1" applyProtection="1"/>
    <xf numFmtId="6" fontId="12" fillId="3" borderId="37" xfId="16" applyNumberFormat="1" applyFont="1" applyFill="1" applyBorder="1" applyProtection="1"/>
    <xf numFmtId="164" fontId="2" fillId="3" borderId="37" xfId="17" applyNumberFormat="1" applyFill="1" applyBorder="1" applyProtection="1"/>
    <xf numFmtId="6" fontId="12" fillId="3" borderId="159" xfId="16" applyNumberFormat="1" applyFont="1" applyFill="1" applyBorder="1" applyProtection="1"/>
    <xf numFmtId="6" fontId="12" fillId="3" borderId="60" xfId="16" applyNumberFormat="1" applyFont="1" applyFill="1" applyBorder="1" applyProtection="1"/>
    <xf numFmtId="6" fontId="12" fillId="3" borderId="55" xfId="16" applyNumberFormat="1" applyFont="1" applyFill="1" applyBorder="1" applyProtection="1"/>
    <xf numFmtId="6" fontId="2" fillId="3" borderId="55" xfId="16" applyNumberFormat="1" applyFont="1" applyFill="1" applyBorder="1" applyProtection="1"/>
    <xf numFmtId="6" fontId="12" fillId="3" borderId="160"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4" fillId="20" borderId="161" xfId="16" applyFont="1" applyFill="1" applyBorder="1" applyAlignment="1" applyProtection="1">
      <alignment horizontal="center" wrapText="1"/>
    </xf>
    <xf numFmtId="173" fontId="4" fillId="20" borderId="162" xfId="16" applyFont="1" applyFill="1" applyBorder="1" applyAlignment="1" applyProtection="1">
      <alignment horizontal="center" wrapText="1"/>
    </xf>
    <xf numFmtId="173" fontId="4" fillId="20" borderId="157" xfId="16" applyFont="1" applyFill="1" applyBorder="1" applyAlignment="1" applyProtection="1">
      <alignment horizontal="center" wrapText="1"/>
    </xf>
    <xf numFmtId="6" fontId="12" fillId="3" borderId="163" xfId="16" applyNumberFormat="1" applyFont="1" applyFill="1" applyBorder="1" applyProtection="1"/>
    <xf numFmtId="6" fontId="12" fillId="3" borderId="137" xfId="16" applyNumberFormat="1" applyFont="1" applyFill="1" applyBorder="1" applyProtection="1"/>
    <xf numFmtId="6" fontId="2" fillId="3" borderId="137" xfId="16" applyNumberFormat="1" applyFont="1" applyFill="1" applyBorder="1" applyProtection="1"/>
    <xf numFmtId="6" fontId="12" fillId="3" borderId="164" xfId="16" applyNumberFormat="1" applyFont="1" applyFill="1" applyBorder="1" applyProtection="1"/>
    <xf numFmtId="165" fontId="12" fillId="0" borderId="136" xfId="16" applyNumberFormat="1" applyFont="1" applyFill="1" applyBorder="1" applyProtection="1"/>
    <xf numFmtId="170" fontId="12" fillId="3" borderId="134" xfId="16" applyNumberFormat="1" applyFont="1" applyFill="1" applyBorder="1" applyProtection="1"/>
    <xf numFmtId="170" fontId="12" fillId="3" borderId="99" xfId="16" applyNumberFormat="1" applyFont="1" applyFill="1" applyBorder="1" applyProtection="1"/>
    <xf numFmtId="173" fontId="12" fillId="0" borderId="164" xfId="16" applyFont="1" applyFill="1" applyBorder="1" applyProtection="1"/>
    <xf numFmtId="173" fontId="12" fillId="0" borderId="147" xfId="16" applyFont="1" applyFill="1" applyBorder="1" applyProtection="1"/>
    <xf numFmtId="6" fontId="12" fillId="3" borderId="148" xfId="16" applyNumberFormat="1" applyFont="1" applyFill="1" applyBorder="1" applyProtection="1"/>
    <xf numFmtId="6" fontId="12" fillId="3" borderId="152" xfId="16" applyNumberFormat="1" applyFont="1" applyFill="1" applyBorder="1" applyProtection="1"/>
    <xf numFmtId="173" fontId="12" fillId="0" borderId="123" xfId="16" applyFont="1" applyBorder="1" applyProtection="1"/>
    <xf numFmtId="43" fontId="12" fillId="3" borderId="148" xfId="1" applyFont="1" applyFill="1" applyBorder="1" applyProtection="1"/>
    <xf numFmtId="184" fontId="12" fillId="3" borderId="148" xfId="16" applyNumberFormat="1" applyFont="1" applyFill="1" applyBorder="1" applyProtection="1"/>
    <xf numFmtId="173" fontId="12" fillId="0" borderId="64" xfId="16" applyFont="1" applyBorder="1" applyProtection="1"/>
    <xf numFmtId="173" fontId="2" fillId="0" borderId="165" xfId="16" applyFont="1" applyFill="1" applyBorder="1" applyProtection="1"/>
    <xf numFmtId="173" fontId="2" fillId="0" borderId="144" xfId="16" applyFont="1" applyFill="1" applyBorder="1" applyProtection="1"/>
    <xf numFmtId="0" fontId="4" fillId="20" borderId="168" xfId="0" applyFont="1" applyFill="1" applyBorder="1"/>
    <xf numFmtId="165" fontId="0" fillId="19" borderId="8" xfId="0" applyNumberFormat="1" applyFill="1" applyBorder="1"/>
    <xf numFmtId="7" fontId="2" fillId="5" borderId="57" xfId="0" applyNumberFormat="1" applyFont="1" applyFill="1" applyBorder="1" applyAlignment="1">
      <alignment vertical="top" wrapText="1"/>
    </xf>
    <xf numFmtId="9" fontId="0" fillId="19" borderId="55" xfId="0" applyNumberFormat="1" applyFill="1" applyBorder="1"/>
    <xf numFmtId="0" fontId="4" fillId="19" borderId="8" xfId="0" applyFont="1" applyFill="1" applyBorder="1" applyAlignment="1">
      <alignment horizontal="center" wrapText="1"/>
    </xf>
    <xf numFmtId="0" fontId="2" fillId="19" borderId="8" xfId="0" applyFont="1" applyFill="1" applyBorder="1" applyAlignment="1">
      <alignment wrapText="1"/>
    </xf>
    <xf numFmtId="0" fontId="4" fillId="19" borderId="8" xfId="0" applyFont="1" applyFill="1" applyBorder="1" applyAlignment="1">
      <alignment wrapText="1"/>
    </xf>
    <xf numFmtId="14" fontId="2" fillId="6" borderId="8" xfId="0" applyNumberFormat="1" applyFont="1" applyFill="1" applyBorder="1" applyAlignment="1" applyProtection="1">
      <alignment wrapText="1"/>
      <protection locked="0"/>
    </xf>
    <xf numFmtId="185" fontId="12" fillId="3" borderId="30" xfId="16" applyNumberFormat="1" applyFont="1" applyFill="1" applyBorder="1" applyProtection="1"/>
    <xf numFmtId="185" fontId="12" fillId="3" borderId="166" xfId="16" applyNumberFormat="1" applyFont="1" applyFill="1" applyBorder="1" applyProtection="1"/>
    <xf numFmtId="185" fontId="12" fillId="0" borderId="29" xfId="16" applyNumberFormat="1" applyFont="1" applyBorder="1" applyProtection="1"/>
    <xf numFmtId="185" fontId="12" fillId="0" borderId="30" xfId="16" applyNumberFormat="1" applyFont="1" applyBorder="1" applyProtection="1"/>
    <xf numFmtId="185" fontId="12" fillId="3" borderId="135" xfId="16" applyNumberFormat="1" applyFont="1" applyFill="1" applyBorder="1" applyProtection="1"/>
    <xf numFmtId="185" fontId="12" fillId="3" borderId="101" xfId="16" applyNumberFormat="1" applyFont="1" applyFill="1" applyBorder="1" applyProtection="1"/>
    <xf numFmtId="185" fontId="12" fillId="0" borderId="103" xfId="16" applyNumberFormat="1" applyFont="1" applyBorder="1" applyProtection="1"/>
    <xf numFmtId="185" fontId="12" fillId="0" borderId="135" xfId="16" applyNumberFormat="1" applyFont="1" applyBorder="1" applyProtection="1"/>
    <xf numFmtId="174" fontId="4" fillId="3" borderId="19" xfId="16" applyNumberFormat="1" applyFont="1" applyFill="1" applyBorder="1" applyAlignment="1" applyProtection="1">
      <alignment horizontal="center"/>
    </xf>
    <xf numFmtId="0" fontId="0" fillId="19" borderId="30" xfId="0" applyFill="1" applyBorder="1" applyAlignment="1">
      <alignment horizontal="center"/>
    </xf>
    <xf numFmtId="9" fontId="0" fillId="19" borderId="30" xfId="17" applyFont="1" applyFill="1" applyBorder="1"/>
    <xf numFmtId="44" fontId="2" fillId="19" borderId="30" xfId="3" applyFont="1" applyFill="1" applyBorder="1"/>
    <xf numFmtId="44" fontId="0" fillId="19" borderId="30" xfId="3" applyFont="1" applyFill="1" applyBorder="1"/>
    <xf numFmtId="0" fontId="0" fillId="18" borderId="169" xfId="0" applyFill="1" applyBorder="1" applyAlignment="1">
      <alignment horizontal="center"/>
    </xf>
    <xf numFmtId="9" fontId="0" fillId="19" borderId="169" xfId="17" applyFont="1" applyFill="1" applyBorder="1"/>
    <xf numFmtId="0" fontId="0" fillId="20" borderId="168" xfId="0" applyFill="1" applyBorder="1"/>
    <xf numFmtId="44" fontId="2" fillId="19" borderId="169" xfId="3" applyFont="1" applyFill="1" applyBorder="1"/>
    <xf numFmtId="44" fontId="0" fillId="19" borderId="169" xfId="3" applyFont="1" applyFill="1" applyBorder="1"/>
    <xf numFmtId="0" fontId="2" fillId="20" borderId="8" xfId="0" applyFont="1" applyFill="1" applyBorder="1"/>
    <xf numFmtId="0" fontId="0" fillId="20" borderId="8" xfId="0" applyFill="1" applyBorder="1"/>
    <xf numFmtId="44" fontId="12" fillId="3" borderId="128" xfId="3" applyFont="1" applyFill="1" applyBorder="1" applyAlignment="1" applyProtection="1">
      <alignment horizontal="center"/>
    </xf>
    <xf numFmtId="44" fontId="12" fillId="3" borderId="108" xfId="3" applyFont="1" applyFill="1" applyBorder="1" applyAlignment="1" applyProtection="1">
      <alignment horizontal="center"/>
    </xf>
    <xf numFmtId="44" fontId="12" fillId="3" borderId="132" xfId="3" applyFont="1" applyFill="1" applyBorder="1" applyAlignment="1" applyProtection="1">
      <alignment horizontal="center"/>
    </xf>
    <xf numFmtId="44" fontId="12" fillId="0" borderId="82" xfId="3" applyFont="1" applyFill="1" applyBorder="1" applyAlignment="1" applyProtection="1">
      <alignment horizontal="center"/>
    </xf>
    <xf numFmtId="44" fontId="0" fillId="20" borderId="0" xfId="0" applyNumberFormat="1" applyFill="1"/>
    <xf numFmtId="0" fontId="58" fillId="20" borderId="0" xfId="0" applyFont="1" applyFill="1"/>
    <xf numFmtId="0" fontId="2" fillId="0" borderId="126" xfId="0" applyFont="1" applyBorder="1" applyAlignment="1">
      <alignment horizontal="centerContinuous" vertical="top" wrapText="1"/>
    </xf>
    <xf numFmtId="0" fontId="2" fillId="6" borderId="6" xfId="7" applyFont="1" applyFill="1" applyBorder="1" applyAlignment="1">
      <alignment horizontal="center"/>
    </xf>
    <xf numFmtId="4" fontId="2" fillId="6" borderId="7" xfId="14" applyNumberFormat="1" applyFont="1" applyFill="1" applyBorder="1"/>
    <xf numFmtId="39" fontId="2" fillId="6" borderId="7" xfId="0" applyNumberFormat="1" applyFont="1" applyFill="1" applyBorder="1"/>
    <xf numFmtId="166" fontId="2" fillId="6" borderId="7" xfId="0" applyNumberFormat="1" applyFont="1" applyFill="1" applyBorder="1" applyAlignment="1">
      <alignment horizontal="right"/>
    </xf>
    <xf numFmtId="166" fontId="8" fillId="6" borderId="7" xfId="9" applyNumberFormat="1" applyFont="1" applyFill="1" applyBorder="1"/>
    <xf numFmtId="0" fontId="12" fillId="20" borderId="1" xfId="0" applyFont="1" applyFill="1" applyBorder="1"/>
    <xf numFmtId="0" fontId="0" fillId="20" borderId="4" xfId="0" applyFill="1" applyBorder="1"/>
    <xf numFmtId="0" fontId="12" fillId="20" borderId="4" xfId="0" applyFont="1" applyFill="1" applyBorder="1"/>
    <xf numFmtId="0" fontId="12" fillId="20" borderId="143" xfId="0" applyFont="1" applyFill="1" applyBorder="1"/>
    <xf numFmtId="167" fontId="12" fillId="20" borderId="0" xfId="0" applyNumberFormat="1" applyFont="1" applyFill="1" applyBorder="1"/>
    <xf numFmtId="167" fontId="0" fillId="20" borderId="0" xfId="0" applyNumberFormat="1" applyFill="1" applyBorder="1"/>
    <xf numFmtId="167" fontId="12" fillId="20" borderId="2" xfId="7" applyNumberFormat="1" applyFill="1" applyBorder="1"/>
    <xf numFmtId="167" fontId="12" fillId="20" borderId="0" xfId="7" applyNumberFormat="1" applyFill="1" applyBorder="1"/>
    <xf numFmtId="167" fontId="12" fillId="20" borderId="59" xfId="7" applyNumberFormat="1" applyFill="1" applyBorder="1"/>
    <xf numFmtId="0" fontId="4" fillId="20" borderId="65" xfId="0" applyFont="1" applyFill="1" applyBorder="1"/>
    <xf numFmtId="0" fontId="4" fillId="20" borderId="59" xfId="0" applyFont="1" applyFill="1" applyBorder="1" applyAlignment="1">
      <alignment wrapText="1"/>
    </xf>
    <xf numFmtId="0" fontId="0" fillId="20" borderId="79" xfId="0" applyFill="1" applyBorder="1"/>
    <xf numFmtId="0" fontId="0" fillId="20" borderId="6" xfId="0" applyFill="1" applyBorder="1"/>
    <xf numFmtId="0" fontId="12" fillId="20" borderId="6" xfId="0" applyFont="1" applyFill="1" applyBorder="1" applyAlignment="1">
      <alignment horizontal="left"/>
    </xf>
    <xf numFmtId="0" fontId="2" fillId="20" borderId="4" xfId="0" applyFont="1" applyFill="1" applyBorder="1"/>
    <xf numFmtId="0" fontId="2" fillId="20" borderId="6" xfId="0" applyFont="1" applyFill="1" applyBorder="1"/>
    <xf numFmtId="0" fontId="2" fillId="6" borderId="100" xfId="0" applyFont="1" applyFill="1" applyBorder="1" applyAlignment="1" applyProtection="1">
      <alignment wrapText="1"/>
      <protection locked="0"/>
    </xf>
    <xf numFmtId="0" fontId="2" fillId="0" borderId="0" xfId="0" applyFont="1" applyFill="1" applyBorder="1" applyAlignment="1" applyProtection="1">
      <alignment wrapText="1"/>
      <protection locked="0"/>
    </xf>
    <xf numFmtId="0" fontId="2" fillId="6" borderId="8" xfId="0" applyFont="1" applyFill="1" applyBorder="1" applyAlignment="1" applyProtection="1">
      <alignment wrapText="1"/>
      <protection locked="0"/>
    </xf>
    <xf numFmtId="169" fontId="15" fillId="3" borderId="57" xfId="0" applyNumberFormat="1" applyFont="1" applyFill="1" applyBorder="1" applyAlignment="1">
      <alignment vertical="center" wrapText="1"/>
    </xf>
    <xf numFmtId="0" fontId="2" fillId="5" borderId="137" xfId="0" applyFont="1" applyFill="1" applyBorder="1" applyAlignment="1" applyProtection="1">
      <alignment horizontal="left" wrapText="1"/>
      <protection locked="0"/>
    </xf>
    <xf numFmtId="2" fontId="2" fillId="5" borderId="140" xfId="0" applyNumberFormat="1" applyFont="1" applyFill="1" applyBorder="1" applyAlignment="1" applyProtection="1">
      <alignment wrapText="1"/>
      <protection locked="0"/>
    </xf>
    <xf numFmtId="0" fontId="2" fillId="0" borderId="0" xfId="0" applyFont="1" applyAlignment="1">
      <alignment vertical="top" wrapText="1"/>
    </xf>
    <xf numFmtId="0" fontId="2" fillId="0" borderId="0" xfId="0" applyFont="1" applyAlignment="1">
      <alignment wrapText="1"/>
    </xf>
    <xf numFmtId="186" fontId="8" fillId="0" borderId="0" xfId="20" applyNumberFormat="1" applyFont="1" applyFill="1" applyAlignment="1">
      <alignment horizontal="right"/>
    </xf>
    <xf numFmtId="10" fontId="0" fillId="0" borderId="0" xfId="17" applyNumberFormat="1" applyFont="1"/>
    <xf numFmtId="2" fontId="15" fillId="3" borderId="37" xfId="0" applyNumberFormat="1" applyFont="1" applyFill="1" applyBorder="1" applyAlignment="1">
      <alignment vertical="top" wrapText="1"/>
    </xf>
    <xf numFmtId="186" fontId="8" fillId="0" borderId="0" xfId="20" applyNumberFormat="1" applyFont="1" applyFill="1" applyAlignment="1">
      <alignment horizontal="right"/>
    </xf>
    <xf numFmtId="0" fontId="54" fillId="0" borderId="0" xfId="0" applyFont="1"/>
    <xf numFmtId="170" fontId="60" fillId="0" borderId="0" xfId="0" applyNumberFormat="1" applyFont="1" applyFill="1" applyBorder="1" applyAlignment="1">
      <alignment vertical="top" wrapText="1"/>
    </xf>
    <xf numFmtId="187" fontId="8" fillId="0" borderId="0" xfId="20" applyNumberFormat="1" applyFont="1" applyFill="1" applyAlignment="1">
      <alignment horizontal="right"/>
    </xf>
    <xf numFmtId="0" fontId="2" fillId="0" borderId="0" xfId="0" applyFont="1" applyAlignment="1">
      <alignment horizontal="right"/>
    </xf>
    <xf numFmtId="0" fontId="15" fillId="20" borderId="98" xfId="0" applyFont="1" applyFill="1" applyBorder="1" applyAlignment="1">
      <alignment vertical="top" wrapText="1"/>
    </xf>
    <xf numFmtId="0" fontId="15" fillId="20" borderId="108" xfId="0" applyFont="1" applyFill="1" applyBorder="1" applyAlignment="1">
      <alignment vertical="top" wrapText="1"/>
    </xf>
    <xf numFmtId="0" fontId="6" fillId="20" borderId="108" xfId="0" applyFont="1" applyFill="1" applyBorder="1" applyAlignment="1">
      <alignment vertical="top" wrapText="1"/>
    </xf>
    <xf numFmtId="178" fontId="15" fillId="22" borderId="98" xfId="0" applyNumberFormat="1" applyFont="1" applyFill="1" applyBorder="1" applyAlignment="1">
      <alignment vertical="top" wrapText="1"/>
    </xf>
    <xf numFmtId="169" fontId="15" fillId="22" borderId="128" xfId="0" applyNumberFormat="1" applyFont="1" applyFill="1" applyBorder="1" applyAlignment="1">
      <alignment vertical="top" wrapText="1"/>
    </xf>
    <xf numFmtId="169" fontId="15" fillId="22" borderId="108" xfId="0" applyNumberFormat="1" applyFont="1" applyFill="1" applyBorder="1" applyAlignment="1">
      <alignment vertical="top" wrapText="1"/>
    </xf>
    <xf numFmtId="0" fontId="0" fillId="0" borderId="0" xfId="0" applyBorder="1"/>
    <xf numFmtId="169" fontId="15" fillId="22" borderId="110" xfId="0" applyNumberFormat="1" applyFont="1" applyFill="1" applyBorder="1" applyAlignment="1">
      <alignment vertical="top" wrapText="1"/>
    </xf>
    <xf numFmtId="169" fontId="15" fillId="22" borderId="174" xfId="0" applyNumberFormat="1" applyFont="1" applyFill="1" applyBorder="1" applyAlignment="1">
      <alignment vertical="top" wrapText="1"/>
    </xf>
    <xf numFmtId="0" fontId="4" fillId="0" borderId="1" xfId="0" applyFont="1" applyFill="1" applyBorder="1"/>
    <xf numFmtId="0" fontId="4" fillId="0" borderId="2" xfId="0" applyFont="1" applyFill="1" applyBorder="1"/>
    <xf numFmtId="0" fontId="4" fillId="20" borderId="2" xfId="0" applyFont="1" applyFill="1" applyBorder="1"/>
    <xf numFmtId="0" fontId="0" fillId="0" borderId="2" xfId="0" applyBorder="1"/>
    <xf numFmtId="0" fontId="2" fillId="16" borderId="2" xfId="0" applyFont="1" applyFill="1" applyBorder="1"/>
    <xf numFmtId="0" fontId="0" fillId="16" borderId="2" xfId="0" applyFill="1" applyBorder="1"/>
    <xf numFmtId="0" fontId="0" fillId="16" borderId="3" xfId="0" applyFill="1" applyBorder="1"/>
    <xf numFmtId="0" fontId="4" fillId="0" borderId="58" xfId="0" applyFont="1" applyFill="1" applyBorder="1"/>
    <xf numFmtId="0" fontId="4" fillId="0" borderId="5" xfId="0" applyFont="1" applyFill="1" applyBorder="1"/>
    <xf numFmtId="0" fontId="0" fillId="0" borderId="142" xfId="0" applyFill="1" applyBorder="1"/>
    <xf numFmtId="0" fontId="0" fillId="0" borderId="3" xfId="0" applyFill="1" applyBorder="1"/>
    <xf numFmtId="0" fontId="4" fillId="0" borderId="4" xfId="0" applyFont="1" applyFill="1" applyBorder="1"/>
    <xf numFmtId="0" fontId="12" fillId="0" borderId="4" xfId="0" applyFont="1" applyFill="1" applyBorder="1" applyAlignment="1">
      <alignment horizontal="left"/>
    </xf>
    <xf numFmtId="0" fontId="12" fillId="0" borderId="58" xfId="0" applyFont="1" applyFill="1" applyBorder="1"/>
    <xf numFmtId="167" fontId="0" fillId="0" borderId="59" xfId="0" applyNumberFormat="1" applyFill="1" applyBorder="1"/>
    <xf numFmtId="0" fontId="12" fillId="20" borderId="58" xfId="0" applyFont="1" applyFill="1" applyBorder="1"/>
    <xf numFmtId="0" fontId="0" fillId="0" borderId="58" xfId="0" applyBorder="1"/>
    <xf numFmtId="0" fontId="19" fillId="0" borderId="59" xfId="0" applyFont="1" applyFill="1" applyBorder="1"/>
    <xf numFmtId="39" fontId="4" fillId="6" borderId="7" xfId="0" applyNumberFormat="1" applyFont="1" applyFill="1" applyBorder="1"/>
    <xf numFmtId="0" fontId="2" fillId="0" borderId="0" xfId="0" applyFont="1" applyFill="1" applyBorder="1"/>
    <xf numFmtId="0" fontId="0" fillId="23" borderId="0" xfId="0" applyFill="1" applyBorder="1"/>
    <xf numFmtId="0" fontId="4" fillId="23"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4" fillId="0" borderId="4" xfId="0" applyFont="1" applyBorder="1"/>
    <xf numFmtId="0" fontId="4" fillId="0" borderId="0" xfId="0" applyFont="1" applyBorder="1"/>
    <xf numFmtId="0" fontId="4" fillId="0" borderId="5" xfId="0" applyFont="1" applyBorder="1"/>
    <xf numFmtId="0" fontId="0" fillId="24" borderId="136" xfId="0" applyFill="1" applyBorder="1"/>
    <xf numFmtId="0" fontId="0" fillId="24" borderId="170" xfId="0" applyFill="1" applyBorder="1"/>
    <xf numFmtId="0" fontId="0" fillId="24" borderId="134" xfId="0" applyFill="1" applyBorder="1"/>
    <xf numFmtId="0" fontId="0" fillId="24" borderId="99" xfId="0" applyFill="1" applyBorder="1"/>
    <xf numFmtId="0" fontId="0" fillId="24" borderId="137"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4" xfId="0" applyFill="1" applyBorder="1"/>
    <xf numFmtId="0" fontId="0" fillId="24" borderId="171" xfId="0" applyFill="1" applyBorder="1"/>
    <xf numFmtId="0" fontId="0" fillId="24" borderId="135" xfId="0" applyFill="1" applyBorder="1"/>
    <xf numFmtId="0" fontId="0" fillId="24" borderId="101" xfId="0" applyFill="1" applyBorder="1"/>
    <xf numFmtId="0" fontId="2" fillId="0" borderId="98" xfId="0" applyFont="1" applyBorder="1"/>
    <xf numFmtId="3" fontId="2" fillId="0" borderId="115" xfId="0" applyNumberFormat="1" applyFont="1" applyBorder="1"/>
    <xf numFmtId="3" fontId="2" fillId="0" borderId="98" xfId="0" applyNumberFormat="1" applyFont="1" applyBorder="1"/>
    <xf numFmtId="3" fontId="2" fillId="0" borderId="116" xfId="0" applyNumberFormat="1" applyFont="1" applyBorder="1"/>
    <xf numFmtId="165" fontId="2" fillId="0" borderId="98" xfId="0" applyNumberFormat="1" applyFont="1" applyBorder="1"/>
    <xf numFmtId="0" fontId="4" fillId="0" borderId="1" xfId="0" applyFont="1" applyBorder="1" applyAlignment="1">
      <alignment wrapText="1"/>
    </xf>
    <xf numFmtId="0" fontId="4" fillId="0" borderId="62" xfId="0" applyFont="1" applyBorder="1" applyAlignment="1">
      <alignment horizontal="center" vertical="center" wrapText="1"/>
    </xf>
    <xf numFmtId="0" fontId="4" fillId="0" borderId="89" xfId="0" applyFont="1" applyFill="1" applyBorder="1" applyProtection="1"/>
    <xf numFmtId="0" fontId="0" fillId="3" borderId="112" xfId="0" applyFill="1" applyBorder="1"/>
    <xf numFmtId="165" fontId="0" fillId="3" borderId="145" xfId="0" applyNumberFormat="1" applyFill="1" applyBorder="1"/>
    <xf numFmtId="0" fontId="0" fillId="3" borderId="115" xfId="0" applyFill="1" applyBorder="1"/>
    <xf numFmtId="165" fontId="0" fillId="3" borderId="140" xfId="0" applyNumberFormat="1" applyFill="1" applyBorder="1"/>
    <xf numFmtId="0" fontId="2" fillId="3" borderId="115" xfId="0" applyFont="1" applyFill="1" applyBorder="1"/>
    <xf numFmtId="165" fontId="2" fillId="3" borderId="140"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6" xfId="0" applyNumberFormat="1" applyFill="1" applyBorder="1"/>
    <xf numFmtId="0" fontId="6" fillId="0" borderId="142" xfId="0" applyFont="1" applyBorder="1" applyAlignment="1">
      <alignment horizontal="centerContinuous" wrapText="1"/>
    </xf>
    <xf numFmtId="0" fontId="6" fillId="0" borderId="79" xfId="0" applyFont="1" applyBorder="1" applyAlignment="1">
      <alignment horizontal="centerContinuous" wrapText="1"/>
    </xf>
    <xf numFmtId="0" fontId="6" fillId="0" borderId="64" xfId="0" applyFont="1" applyBorder="1" applyAlignment="1">
      <alignment horizontal="centerContinuous" wrapText="1"/>
    </xf>
    <xf numFmtId="15" fontId="2" fillId="0" borderId="0" xfId="0" applyNumberFormat="1" applyFont="1" applyFill="1" applyBorder="1" applyAlignment="1" applyProtection="1">
      <alignment horizontal="left" wrapText="1"/>
      <protection locked="0"/>
    </xf>
    <xf numFmtId="0" fontId="2" fillId="0" borderId="0" xfId="0" applyFont="1" applyFill="1" applyBorder="1" applyProtection="1">
      <protection locked="0"/>
    </xf>
    <xf numFmtId="0" fontId="2" fillId="0" borderId="0" xfId="0" applyFont="1" applyProtection="1">
      <protection locked="0"/>
    </xf>
    <xf numFmtId="0" fontId="2" fillId="6" borderId="8" xfId="0" applyFont="1" applyFill="1" applyBorder="1" applyProtection="1">
      <protection locked="0"/>
    </xf>
    <xf numFmtId="0" fontId="4" fillId="0" borderId="137" xfId="0" applyFont="1" applyBorder="1" applyProtection="1">
      <protection locked="0"/>
    </xf>
    <xf numFmtId="0" fontId="4" fillId="0" borderId="100" xfId="0" applyFont="1" applyBorder="1" applyAlignment="1" applyProtection="1">
      <alignment wrapText="1"/>
      <protection locked="0"/>
    </xf>
    <xf numFmtId="9" fontId="0" fillId="20" borderId="0" xfId="0" applyNumberFormat="1" applyFill="1"/>
    <xf numFmtId="9" fontId="0" fillId="20" borderId="0" xfId="0" quotePrefix="1" applyNumberFormat="1" applyFill="1"/>
    <xf numFmtId="0" fontId="2" fillId="21" borderId="8" xfId="0" applyFont="1" applyFill="1" applyBorder="1"/>
    <xf numFmtId="9" fontId="0" fillId="21" borderId="8" xfId="0" applyNumberFormat="1" applyFill="1" applyBorder="1"/>
    <xf numFmtId="0" fontId="0" fillId="21" borderId="8" xfId="0" applyFill="1" applyBorder="1"/>
    <xf numFmtId="9" fontId="2" fillId="19" borderId="8" xfId="17" applyFont="1" applyFill="1" applyBorder="1"/>
    <xf numFmtId="0" fontId="0" fillId="18" borderId="55" xfId="0" applyFill="1" applyBorder="1" applyAlignment="1">
      <alignment horizontal="center"/>
    </xf>
    <xf numFmtId="172" fontId="0" fillId="20" borderId="0" xfId="0" applyNumberFormat="1" applyFill="1"/>
    <xf numFmtId="172" fontId="0" fillId="20" borderId="0" xfId="1" applyNumberFormat="1" applyFont="1" applyFill="1"/>
    <xf numFmtId="10" fontId="0" fillId="20" borderId="0" xfId="0" applyNumberFormat="1" applyFill="1"/>
    <xf numFmtId="9" fontId="0" fillId="19" borderId="8" xfId="17" applyNumberFormat="1" applyFont="1" applyFill="1" applyBorder="1"/>
    <xf numFmtId="9" fontId="2" fillId="25" borderId="8" xfId="17" applyNumberFormat="1" applyFont="1" applyFill="1" applyBorder="1"/>
    <xf numFmtId="183" fontId="2" fillId="25" borderId="8" xfId="1" applyNumberFormat="1" applyFont="1" applyFill="1" applyBorder="1"/>
    <xf numFmtId="0" fontId="61" fillId="20" borderId="0" xfId="0" applyFont="1" applyFill="1"/>
    <xf numFmtId="173" fontId="18" fillId="0" borderId="12" xfId="16" applyFont="1" applyBorder="1" applyAlignment="1" applyProtection="1"/>
    <xf numFmtId="173" fontId="2" fillId="3" borderId="18" xfId="16" applyFont="1" applyFill="1" applyBorder="1" applyProtection="1"/>
    <xf numFmtId="170" fontId="2" fillId="3" borderId="19" xfId="16" applyNumberFormat="1" applyFont="1" applyFill="1" applyBorder="1" applyProtection="1"/>
    <xf numFmtId="173" fontId="2" fillId="3" borderId="20" xfId="16" applyFont="1" applyFill="1" applyBorder="1" applyProtection="1"/>
    <xf numFmtId="173" fontId="2" fillId="3" borderId="21" xfId="16" applyFont="1" applyFill="1" applyBorder="1" applyProtection="1"/>
    <xf numFmtId="170" fontId="2" fillId="3" borderId="22" xfId="16" applyNumberFormat="1" applyFont="1" applyFill="1" applyBorder="1" applyProtection="1"/>
    <xf numFmtId="170" fontId="2" fillId="3" borderId="23" xfId="16" applyNumberFormat="1" applyFont="1" applyFill="1" applyBorder="1" applyProtection="1"/>
    <xf numFmtId="0" fontId="0" fillId="17" borderId="0" xfId="0" applyFill="1"/>
    <xf numFmtId="0" fontId="19" fillId="4" borderId="0" xfId="0" applyFont="1" applyFill="1" applyBorder="1" applyAlignment="1">
      <alignment horizontal="center" vertical="top" wrapText="1"/>
    </xf>
    <xf numFmtId="0" fontId="4" fillId="0" borderId="0" xfId="0" applyFont="1" applyAlignment="1" applyProtection="1">
      <alignment horizontal="left" vertical="center" wrapText="1"/>
      <protection locked="0"/>
    </xf>
    <xf numFmtId="0" fontId="2" fillId="0" borderId="0" xfId="0" applyFont="1" applyAlignment="1" applyProtection="1">
      <alignment wrapText="1"/>
      <protection locked="0"/>
    </xf>
    <xf numFmtId="0" fontId="0" fillId="20" borderId="0" xfId="0" applyFill="1" applyProtection="1">
      <protection locked="0"/>
    </xf>
    <xf numFmtId="0" fontId="4" fillId="20" borderId="0" xfId="0" applyFont="1" applyFill="1" applyProtection="1">
      <protection locked="0"/>
    </xf>
    <xf numFmtId="173" fontId="41" fillId="20" borderId="0" xfId="16" applyFont="1" applyFill="1" applyAlignment="1">
      <alignment horizontal="left"/>
    </xf>
    <xf numFmtId="0" fontId="63" fillId="6" borderId="67" xfId="7" applyFont="1" applyFill="1" applyBorder="1" applyAlignment="1">
      <alignment horizontal="center"/>
    </xf>
    <xf numFmtId="4" fontId="63" fillId="6" borderId="110" xfId="14" applyNumberFormat="1" applyFont="1" applyFill="1" applyBorder="1"/>
    <xf numFmtId="0" fontId="63" fillId="6" borderId="6" xfId="7" applyFont="1" applyFill="1" applyBorder="1" applyAlignment="1">
      <alignment horizontal="center"/>
    </xf>
    <xf numFmtId="4" fontId="64" fillId="6" borderId="7" xfId="14" applyNumberFormat="1" applyFont="1" applyFill="1" applyBorder="1"/>
    <xf numFmtId="0" fontId="5" fillId="0" borderId="0" xfId="5" applyAlignment="1" applyProtection="1"/>
    <xf numFmtId="39" fontId="65" fillId="6" borderId="7" xfId="9" applyNumberFormat="1" applyFont="1" applyFill="1" applyBorder="1"/>
    <xf numFmtId="39" fontId="65" fillId="6" borderId="110" xfId="9" applyNumberFormat="1" applyFont="1" applyFill="1" applyBorder="1"/>
    <xf numFmtId="0" fontId="63" fillId="6" borderId="6" xfId="0" applyFont="1" applyFill="1" applyBorder="1" applyAlignment="1">
      <alignment horizontal="center"/>
    </xf>
    <xf numFmtId="180" fontId="63" fillId="6" borderId="7" xfId="0" applyNumberFormat="1" applyFont="1" applyFill="1" applyBorder="1" applyAlignment="1">
      <alignment horizontal="center"/>
    </xf>
    <xf numFmtId="0" fontId="63" fillId="6" borderId="67" xfId="0" applyFont="1" applyFill="1" applyBorder="1" applyAlignment="1">
      <alignment horizontal="center"/>
    </xf>
    <xf numFmtId="180" fontId="63" fillId="6" borderId="110" xfId="0" applyNumberFormat="1" applyFont="1" applyFill="1" applyBorder="1" applyAlignment="1">
      <alignment horizontal="center"/>
    </xf>
    <xf numFmtId="0" fontId="5" fillId="0" borderId="0" xfId="5" applyFill="1" applyBorder="1" applyAlignment="1" applyProtection="1"/>
    <xf numFmtId="166" fontId="63" fillId="6" borderId="7" xfId="9" applyNumberFormat="1" applyFont="1" applyFill="1" applyBorder="1"/>
    <xf numFmtId="166" fontId="63" fillId="6" borderId="110" xfId="9" applyNumberFormat="1" applyFont="1" applyFill="1" applyBorder="1"/>
    <xf numFmtId="0" fontId="2" fillId="6" borderId="18" xfId="0" applyFont="1" applyFill="1" applyBorder="1" applyAlignment="1" applyProtection="1">
      <alignment wrapText="1"/>
      <protection locked="0"/>
    </xf>
    <xf numFmtId="178" fontId="2" fillId="5" borderId="100" xfId="3" applyNumberFormat="1" applyFont="1" applyFill="1" applyBorder="1" applyAlignment="1" applyProtection="1">
      <alignment wrapText="1"/>
      <protection locked="0"/>
    </xf>
    <xf numFmtId="0" fontId="2" fillId="6" borderId="0" xfId="0" applyFont="1" applyFill="1" applyBorder="1" applyAlignment="1">
      <alignment vertical="top" wrapText="1"/>
    </xf>
    <xf numFmtId="0" fontId="2" fillId="6" borderId="134" xfId="0" applyFont="1" applyFill="1" applyBorder="1" applyAlignment="1" applyProtection="1">
      <alignment wrapText="1"/>
      <protection locked="0"/>
    </xf>
    <xf numFmtId="44" fontId="0" fillId="0" borderId="0" xfId="0" applyNumberFormat="1" applyProtection="1">
      <protection locked="0"/>
    </xf>
    <xf numFmtId="170" fontId="2" fillId="5" borderId="136" xfId="0" applyNumberFormat="1" applyFont="1" applyFill="1" applyBorder="1" applyAlignment="1">
      <alignment vertical="top" wrapText="1"/>
    </xf>
    <xf numFmtId="9" fontId="2" fillId="5" borderId="89" xfId="17" applyFont="1" applyFill="1" applyBorder="1" applyAlignment="1">
      <alignment vertical="top" wrapText="1"/>
    </xf>
    <xf numFmtId="9" fontId="2" fillId="5" borderId="57" xfId="17" applyFont="1" applyFill="1" applyBorder="1" applyAlignment="1">
      <alignment vertical="top" wrapText="1"/>
    </xf>
    <xf numFmtId="0" fontId="2" fillId="6" borderId="19" xfId="0" applyFont="1" applyFill="1" applyBorder="1" applyAlignment="1" applyProtection="1">
      <alignment horizontal="left" wrapText="1"/>
      <protection locked="0"/>
    </xf>
    <xf numFmtId="0" fontId="2" fillId="6" borderId="19" xfId="0" applyFont="1" applyFill="1" applyBorder="1" applyAlignment="1" applyProtection="1">
      <alignment wrapText="1"/>
      <protection locked="0"/>
    </xf>
    <xf numFmtId="0" fontId="2" fillId="6" borderId="23" xfId="0" applyFont="1" applyFill="1" applyBorder="1" applyAlignment="1" applyProtection="1">
      <alignment wrapText="1"/>
      <protection locked="0"/>
    </xf>
    <xf numFmtId="10" fontId="2" fillId="3" borderId="88" xfId="0" applyNumberFormat="1" applyFont="1" applyFill="1" applyBorder="1" applyAlignment="1">
      <alignment vertical="top" wrapText="1"/>
    </xf>
    <xf numFmtId="3" fontId="2" fillId="3" borderId="88" xfId="0" applyNumberFormat="1" applyFont="1" applyFill="1" applyBorder="1" applyAlignment="1">
      <alignment vertical="top" wrapText="1"/>
    </xf>
    <xf numFmtId="0" fontId="2" fillId="4" borderId="0" xfId="0" applyFont="1" applyFill="1" applyBorder="1" applyAlignment="1">
      <alignment vertical="top" wrapText="1"/>
    </xf>
    <xf numFmtId="3" fontId="2" fillId="3" borderId="62" xfId="0" applyNumberFormat="1" applyFont="1" applyFill="1" applyBorder="1" applyAlignment="1">
      <alignment vertical="top" wrapText="1"/>
    </xf>
    <xf numFmtId="0" fontId="13" fillId="2" borderId="95" xfId="0" applyFont="1" applyFill="1" applyBorder="1" applyAlignment="1">
      <alignment vertical="top" wrapText="1"/>
    </xf>
    <xf numFmtId="0" fontId="28" fillId="2" borderId="95" xfId="0" applyFont="1" applyFill="1" applyBorder="1" applyAlignment="1">
      <alignment vertical="top" wrapText="1"/>
    </xf>
    <xf numFmtId="9" fontId="2" fillId="4" borderId="0" xfId="0" applyNumberFormat="1" applyFont="1" applyFill="1" applyBorder="1" applyAlignment="1">
      <alignment vertical="top" wrapText="1"/>
    </xf>
    <xf numFmtId="0" fontId="2" fillId="4" borderId="0" xfId="0" applyFont="1" applyFill="1" applyAlignment="1">
      <alignment vertical="top" wrapText="1"/>
    </xf>
    <xf numFmtId="0" fontId="4" fillId="2" borderId="0" xfId="0" applyFont="1" applyFill="1" applyBorder="1" applyAlignment="1">
      <alignment vertical="top" wrapText="1"/>
    </xf>
    <xf numFmtId="0" fontId="2" fillId="2" borderId="95" xfId="0" applyFont="1" applyFill="1" applyBorder="1" applyAlignment="1">
      <alignment vertical="top" wrapText="1"/>
    </xf>
    <xf numFmtId="0" fontId="2" fillId="2" borderId="96" xfId="0" applyFont="1" applyFill="1" applyBorder="1" applyAlignment="1">
      <alignment vertical="top" wrapText="1"/>
    </xf>
    <xf numFmtId="0" fontId="2" fillId="0" borderId="0" xfId="0" applyFont="1" applyFill="1" applyBorder="1" applyAlignment="1">
      <alignment vertical="top" wrapText="1"/>
    </xf>
    <xf numFmtId="0" fontId="2" fillId="0" borderId="5" xfId="0" applyFont="1" applyFill="1" applyBorder="1" applyAlignment="1">
      <alignment vertical="top" wrapText="1"/>
    </xf>
    <xf numFmtId="0" fontId="2" fillId="0" borderId="0" xfId="0" applyFont="1" applyFill="1" applyBorder="1" applyAlignment="1">
      <alignment vertical="center" wrapText="1"/>
    </xf>
    <xf numFmtId="0" fontId="2" fillId="0" borderId="0" xfId="0" applyFont="1" applyFill="1" applyBorder="1" applyAlignment="1">
      <alignment horizontal="center" vertical="center" wrapText="1"/>
    </xf>
    <xf numFmtId="0" fontId="2" fillId="0" borderId="59" xfId="0" applyFont="1" applyFill="1" applyBorder="1"/>
    <xf numFmtId="0" fontId="2" fillId="0" borderId="87" xfId="0" applyFont="1" applyFill="1" applyBorder="1"/>
    <xf numFmtId="0" fontId="2" fillId="2" borderId="0" xfId="0" applyFont="1" applyFill="1" applyAlignment="1">
      <alignment vertical="top" wrapText="1"/>
    </xf>
    <xf numFmtId="0" fontId="2" fillId="2" borderId="0" xfId="0" applyFont="1" applyFill="1"/>
    <xf numFmtId="0" fontId="2" fillId="2" borderId="0" xfId="0" applyFont="1" applyFill="1" applyBorder="1" applyAlignment="1">
      <alignment horizontal="center" vertical="top" wrapText="1"/>
    </xf>
    <xf numFmtId="0" fontId="2" fillId="2" borderId="5" xfId="0" applyFont="1" applyFill="1" applyBorder="1" applyAlignment="1">
      <alignment vertical="top"/>
    </xf>
    <xf numFmtId="170" fontId="2" fillId="3" borderId="57" xfId="0" applyNumberFormat="1" applyFont="1" applyFill="1" applyBorder="1" applyAlignment="1">
      <alignment horizontal="right" vertical="top" wrapText="1"/>
    </xf>
    <xf numFmtId="0" fontId="2" fillId="2" borderId="0" xfId="0" applyFont="1" applyFill="1" applyBorder="1" applyAlignment="1">
      <alignment vertical="top" wrapText="1"/>
    </xf>
    <xf numFmtId="0" fontId="13" fillId="20" borderId="0" xfId="0" applyFont="1" applyFill="1" applyBorder="1" applyAlignment="1">
      <alignment vertical="top" wrapText="1"/>
    </xf>
    <xf numFmtId="170" fontId="2" fillId="3" borderId="57" xfId="0" applyNumberFormat="1" applyFont="1" applyFill="1" applyBorder="1" applyAlignment="1">
      <alignment vertical="top" wrapText="1"/>
    </xf>
    <xf numFmtId="0" fontId="2" fillId="0" borderId="5" xfId="0" applyFont="1" applyFill="1" applyBorder="1"/>
    <xf numFmtId="2" fontId="2" fillId="3" borderId="134" xfId="0" applyNumberFormat="1" applyFont="1" applyFill="1" applyBorder="1" applyAlignment="1">
      <alignment vertical="top" wrapText="1"/>
    </xf>
    <xf numFmtId="170" fontId="2" fillId="3" borderId="99" xfId="0" applyNumberFormat="1" applyFont="1" applyFill="1" applyBorder="1" applyAlignment="1">
      <alignment vertical="top" wrapText="1"/>
    </xf>
    <xf numFmtId="2" fontId="2" fillId="3" borderId="8" xfId="0" applyNumberFormat="1" applyFont="1" applyFill="1" applyBorder="1" applyAlignment="1">
      <alignment vertical="top" wrapText="1"/>
    </xf>
    <xf numFmtId="170" fontId="2" fillId="3" borderId="100" xfId="0" applyNumberFormat="1" applyFont="1" applyFill="1" applyBorder="1" applyAlignment="1">
      <alignment vertical="top" wrapText="1"/>
    </xf>
    <xf numFmtId="0" fontId="2" fillId="0" borderId="0" xfId="0" applyFont="1" applyFill="1" applyAlignment="1">
      <alignment vertical="top" wrapText="1"/>
    </xf>
    <xf numFmtId="170" fontId="2" fillId="5" borderId="137" xfId="0" applyNumberFormat="1" applyFont="1" applyFill="1" applyBorder="1" applyAlignment="1">
      <alignment vertical="top" wrapText="1"/>
    </xf>
    <xf numFmtId="2" fontId="2" fillId="3" borderId="135" xfId="0" applyNumberFormat="1" applyFont="1" applyFill="1" applyBorder="1" applyAlignment="1">
      <alignment vertical="top" wrapText="1"/>
    </xf>
    <xf numFmtId="170" fontId="2" fillId="3" borderId="101" xfId="0" applyNumberFormat="1" applyFont="1" applyFill="1" applyBorder="1" applyAlignment="1">
      <alignment vertical="top" wrapText="1"/>
    </xf>
    <xf numFmtId="170" fontId="2" fillId="3" borderId="89" xfId="0" applyNumberFormat="1" applyFont="1" applyFill="1" applyBorder="1" applyAlignment="1">
      <alignment vertical="top" wrapText="1"/>
    </xf>
    <xf numFmtId="170" fontId="2" fillId="6" borderId="0" xfId="0" applyNumberFormat="1" applyFont="1" applyFill="1" applyBorder="1" applyAlignment="1">
      <alignment horizontal="left" vertical="top" wrapText="1"/>
    </xf>
    <xf numFmtId="170" fontId="2" fillId="6" borderId="5" xfId="0" applyNumberFormat="1" applyFont="1" applyFill="1" applyBorder="1" applyAlignment="1">
      <alignment horizontal="left" vertical="top" wrapText="1"/>
    </xf>
    <xf numFmtId="0" fontId="2" fillId="6" borderId="5" xfId="0" applyFont="1" applyFill="1" applyBorder="1" applyAlignment="1">
      <alignment vertical="top" wrapText="1"/>
    </xf>
    <xf numFmtId="7" fontId="2" fillId="3" borderId="62" xfId="0" applyNumberFormat="1" applyFont="1" applyFill="1" applyBorder="1" applyAlignment="1">
      <alignment vertical="top" wrapText="1"/>
    </xf>
    <xf numFmtId="0" fontId="2" fillId="3" borderId="8" xfId="0" applyNumberFormat="1" applyFont="1" applyFill="1" applyBorder="1" applyAlignment="1">
      <alignment vertical="top" wrapText="1"/>
    </xf>
    <xf numFmtId="0" fontId="2" fillId="3" borderId="57" xfId="0" applyFont="1" applyFill="1" applyBorder="1" applyAlignment="1">
      <alignment vertical="top" wrapText="1"/>
    </xf>
    <xf numFmtId="0" fontId="2" fillId="0" borderId="0" xfId="14" applyFont="1"/>
    <xf numFmtId="7" fontId="2" fillId="3" borderId="57" xfId="0" applyNumberFormat="1" applyFont="1" applyFill="1" applyBorder="1" applyAlignment="1">
      <alignment vertical="top" wrapText="1"/>
    </xf>
    <xf numFmtId="0" fontId="2" fillId="6" borderId="0" xfId="0" quotePrefix="1" applyFont="1" applyFill="1" applyBorder="1" applyAlignment="1">
      <alignment vertical="top" wrapText="1"/>
    </xf>
    <xf numFmtId="0" fontId="2" fillId="3" borderId="134" xfId="0" applyNumberFormat="1" applyFont="1" applyFill="1" applyBorder="1" applyAlignment="1">
      <alignment vertical="top" wrapText="1"/>
    </xf>
    <xf numFmtId="0" fontId="2" fillId="3" borderId="62" xfId="0" applyNumberFormat="1" applyFont="1" applyFill="1" applyBorder="1" applyAlignment="1">
      <alignment vertical="top" wrapText="1"/>
    </xf>
    <xf numFmtId="169" fontId="2" fillId="3" borderId="57" xfId="0" applyNumberFormat="1" applyFont="1" applyFill="1" applyBorder="1" applyAlignment="1">
      <alignment vertical="top" wrapText="1"/>
    </xf>
    <xf numFmtId="170" fontId="2" fillId="3" borderId="88" xfId="0" quotePrefix="1" applyNumberFormat="1" applyFont="1" applyFill="1" applyBorder="1" applyAlignment="1">
      <alignment vertical="top" wrapText="1"/>
    </xf>
    <xf numFmtId="170" fontId="2" fillId="3" borderId="88" xfId="0" applyNumberFormat="1" applyFont="1" applyFill="1" applyBorder="1" applyAlignment="1">
      <alignment vertical="top" wrapText="1"/>
    </xf>
    <xf numFmtId="2" fontId="2" fillId="0" borderId="0" xfId="14" applyNumberFormat="1" applyFont="1"/>
    <xf numFmtId="178" fontId="2" fillId="3" borderId="88" xfId="3" applyNumberFormat="1" applyFont="1" applyFill="1" applyBorder="1" applyAlignment="1">
      <alignment vertical="top" wrapText="1"/>
    </xf>
    <xf numFmtId="170" fontId="2" fillId="3" borderId="62" xfId="0" applyNumberFormat="1" applyFont="1" applyFill="1" applyBorder="1" applyAlignment="1">
      <alignment vertical="top" wrapText="1"/>
    </xf>
    <xf numFmtId="44" fontId="2" fillId="0" borderId="0" xfId="0" applyNumberFormat="1" applyFont="1" applyAlignment="1">
      <alignment vertical="top" wrapText="1"/>
    </xf>
    <xf numFmtId="0" fontId="2" fillId="6" borderId="5" xfId="0" quotePrefix="1" applyFont="1" applyFill="1" applyBorder="1" applyAlignment="1">
      <alignment vertical="top" wrapText="1"/>
    </xf>
    <xf numFmtId="170" fontId="2" fillId="2" borderId="0" xfId="0" applyNumberFormat="1" applyFont="1" applyFill="1" applyBorder="1" applyAlignment="1">
      <alignment vertical="top" wrapText="1"/>
    </xf>
    <xf numFmtId="0" fontId="2" fillId="2" borderId="5" xfId="0" applyFont="1" applyFill="1" applyBorder="1" applyAlignment="1">
      <alignment vertical="top" wrapText="1"/>
    </xf>
    <xf numFmtId="0" fontId="4" fillId="2" borderId="92" xfId="0" applyFont="1" applyFill="1" applyBorder="1" applyAlignment="1">
      <alignment vertical="top" wrapText="1"/>
    </xf>
    <xf numFmtId="0" fontId="2" fillId="2" borderId="92" xfId="0" applyFont="1" applyFill="1" applyBorder="1" applyAlignment="1">
      <alignment vertical="top" wrapText="1"/>
    </xf>
    <xf numFmtId="0" fontId="13" fillId="2" borderId="92" xfId="0" applyFont="1" applyFill="1" applyBorder="1" applyAlignment="1">
      <alignment vertical="top" wrapText="1"/>
    </xf>
    <xf numFmtId="0" fontId="2" fillId="2" borderId="93" xfId="0" applyFont="1" applyFill="1" applyBorder="1" applyAlignment="1">
      <alignment vertical="top" wrapText="1"/>
    </xf>
    <xf numFmtId="0" fontId="2" fillId="2" borderId="95" xfId="0" applyFont="1" applyFill="1" applyBorder="1" applyAlignment="1">
      <alignment horizontal="center" vertical="top" wrapText="1"/>
    </xf>
    <xf numFmtId="0" fontId="2" fillId="2" borderId="96" xfId="0" applyFont="1" applyFill="1" applyBorder="1" applyAlignment="1">
      <alignment vertical="top"/>
    </xf>
    <xf numFmtId="0" fontId="2" fillId="0" borderId="0" xfId="0" applyFont="1" applyFill="1" applyBorder="1" applyAlignment="1">
      <alignment horizontal="center" vertical="top" wrapText="1"/>
    </xf>
    <xf numFmtId="0" fontId="2" fillId="0" borderId="59" xfId="0" applyFont="1" applyFill="1" applyBorder="1" applyAlignment="1">
      <alignment horizontal="center" vertical="top" wrapText="1"/>
    </xf>
    <xf numFmtId="170" fontId="2" fillId="2" borderId="0" xfId="0" applyNumberFormat="1" applyFont="1" applyFill="1" applyBorder="1" applyAlignment="1">
      <alignment horizontal="center" vertical="top" wrapText="1"/>
    </xf>
    <xf numFmtId="0" fontId="2" fillId="2" borderId="0" xfId="0" applyFont="1" applyFill="1" applyAlignment="1">
      <alignment horizontal="center" vertical="top"/>
    </xf>
    <xf numFmtId="3" fontId="2" fillId="2" borderId="0" xfId="0" applyNumberFormat="1" applyFont="1" applyFill="1" applyAlignment="1">
      <alignment horizontal="center" vertical="top"/>
    </xf>
    <xf numFmtId="170" fontId="2" fillId="4" borderId="0" xfId="0" applyNumberFormat="1" applyFont="1" applyFill="1" applyBorder="1" applyAlignment="1">
      <alignment horizontal="right" vertical="top" wrapText="1"/>
    </xf>
    <xf numFmtId="0" fontId="2" fillId="2" borderId="96" xfId="0" applyFont="1" applyFill="1" applyBorder="1"/>
    <xf numFmtId="164" fontId="2" fillId="5" borderId="136" xfId="17" applyNumberFormat="1" applyFont="1" applyFill="1" applyBorder="1" applyAlignment="1">
      <alignment vertical="top" wrapText="1"/>
    </xf>
    <xf numFmtId="2" fontId="2" fillId="0" borderId="0" xfId="0" applyNumberFormat="1" applyFont="1"/>
    <xf numFmtId="5" fontId="2" fillId="3" borderId="57" xfId="0" applyNumberFormat="1" applyFont="1" applyFill="1" applyBorder="1" applyAlignment="1">
      <alignment vertical="top" wrapText="1"/>
    </xf>
    <xf numFmtId="0" fontId="2" fillId="0" borderId="129" xfId="0" applyFont="1" applyBorder="1"/>
    <xf numFmtId="0" fontId="2" fillId="0" borderId="151" xfId="0" applyFont="1" applyBorder="1"/>
    <xf numFmtId="0" fontId="2" fillId="0" borderId="59" xfId="0" applyFont="1" applyBorder="1"/>
    <xf numFmtId="0" fontId="2" fillId="0" borderId="87" xfId="0" applyFont="1" applyBorder="1"/>
    <xf numFmtId="5" fontId="2" fillId="3" borderId="57" xfId="0" applyNumberFormat="1" applyFont="1" applyFill="1" applyBorder="1"/>
    <xf numFmtId="0" fontId="2" fillId="6" borderId="59" xfId="0" applyFont="1" applyFill="1" applyBorder="1" applyAlignment="1">
      <alignment vertical="top" wrapText="1"/>
    </xf>
    <xf numFmtId="0" fontId="26" fillId="2" borderId="0" xfId="0" applyFont="1" applyFill="1" applyBorder="1" applyAlignment="1">
      <alignment horizontal="right" vertical="center" wrapText="1"/>
    </xf>
    <xf numFmtId="0" fontId="13" fillId="0" borderId="0" xfId="0" applyFont="1" applyAlignment="1">
      <alignment horizontal="right"/>
    </xf>
    <xf numFmtId="0" fontId="2" fillId="3" borderId="137" xfId="0" applyNumberFormat="1" applyFont="1" applyFill="1" applyBorder="1" applyAlignment="1" applyProtection="1">
      <alignment wrapText="1"/>
      <protection locked="0"/>
    </xf>
    <xf numFmtId="165" fontId="2" fillId="3" borderId="137" xfId="0" applyNumberFormat="1" applyFont="1" applyFill="1" applyBorder="1" applyAlignment="1" applyProtection="1">
      <alignment wrapText="1"/>
      <protection locked="0"/>
    </xf>
    <xf numFmtId="165" fontId="2" fillId="3" borderId="144" xfId="0" applyNumberFormat="1" applyFont="1" applyFill="1" applyBorder="1" applyAlignment="1" applyProtection="1">
      <alignment wrapText="1"/>
      <protection locked="0"/>
    </xf>
    <xf numFmtId="0" fontId="13" fillId="2" borderId="9" xfId="0" applyFont="1" applyFill="1" applyBorder="1" applyAlignment="1" applyProtection="1">
      <protection locked="0"/>
    </xf>
    <xf numFmtId="0" fontId="13" fillId="2" borderId="10" xfId="0" applyFont="1" applyFill="1" applyBorder="1" applyAlignment="1" applyProtection="1">
      <protection locked="0"/>
    </xf>
    <xf numFmtId="0" fontId="13" fillId="2" borderId="11" xfId="0" applyFont="1" applyFill="1" applyBorder="1" applyAlignment="1" applyProtection="1">
      <protection locked="0"/>
    </xf>
    <xf numFmtId="0" fontId="13" fillId="2" borderId="41" xfId="0" applyFont="1" applyFill="1" applyBorder="1" applyAlignment="1" applyProtection="1">
      <alignment horizontal="right" wrapText="1"/>
      <protection locked="0"/>
    </xf>
    <xf numFmtId="0" fontId="4" fillId="2" borderId="42"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71" xfId="0" applyFont="1" applyFill="1" applyBorder="1" applyAlignment="1" applyProtection="1">
      <alignment horizontal="center" wrapText="1"/>
      <protection locked="0"/>
    </xf>
    <xf numFmtId="42" fontId="2" fillId="3" borderId="98" xfId="0" applyNumberFormat="1" applyFont="1" applyFill="1" applyBorder="1" applyAlignment="1" applyProtection="1">
      <alignment wrapText="1"/>
      <protection locked="0"/>
    </xf>
    <xf numFmtId="0" fontId="2" fillId="6" borderId="102" xfId="0" applyFont="1" applyFill="1" applyBorder="1" applyAlignment="1" applyProtection="1">
      <alignment wrapText="1"/>
      <protection locked="0"/>
    </xf>
    <xf numFmtId="0" fontId="2" fillId="5" borderId="144" xfId="0" applyFont="1" applyFill="1" applyBorder="1" applyAlignment="1" applyProtection="1">
      <alignment horizontal="left" wrapText="1"/>
      <protection locked="0"/>
    </xf>
    <xf numFmtId="2" fontId="2" fillId="5" borderId="146" xfId="0" applyNumberFormat="1" applyFont="1" applyFill="1" applyBorder="1" applyAlignment="1" applyProtection="1">
      <alignment wrapText="1"/>
      <protection locked="0"/>
    </xf>
    <xf numFmtId="0" fontId="2" fillId="6" borderId="103" xfId="0" applyFont="1" applyFill="1" applyBorder="1" applyAlignment="1" applyProtection="1">
      <alignment wrapText="1"/>
      <protection locked="0"/>
    </xf>
    <xf numFmtId="0" fontId="2" fillId="6" borderId="133" xfId="0" applyFont="1" applyFill="1" applyBorder="1" applyAlignment="1" applyProtection="1">
      <alignment wrapText="1"/>
      <protection locked="0"/>
    </xf>
    <xf numFmtId="0" fontId="2" fillId="2" borderId="97" xfId="0" applyFont="1" applyFill="1" applyBorder="1" applyAlignment="1" applyProtection="1">
      <alignment horizontal="left" wrapText="1"/>
      <protection locked="0"/>
    </xf>
    <xf numFmtId="172" fontId="2" fillId="3" borderId="69" xfId="0" applyNumberFormat="1" applyFont="1" applyFill="1" applyBorder="1" applyAlignment="1" applyProtection="1">
      <alignment wrapText="1"/>
      <protection locked="0"/>
    </xf>
    <xf numFmtId="42" fontId="2" fillId="3" borderId="22" xfId="0" applyNumberFormat="1" applyFont="1" applyFill="1" applyBorder="1" applyAlignment="1" applyProtection="1">
      <alignment wrapText="1"/>
      <protection locked="0"/>
    </xf>
    <xf numFmtId="2" fontId="2" fillId="2" borderId="69" xfId="0" applyNumberFormat="1" applyFont="1" applyFill="1" applyBorder="1" applyAlignment="1" applyProtection="1">
      <alignment wrapText="1"/>
      <protection locked="0"/>
    </xf>
    <xf numFmtId="0" fontId="2" fillId="2" borderId="69" xfId="0" applyFont="1" applyFill="1" applyBorder="1" applyAlignment="1" applyProtection="1">
      <alignment wrapText="1"/>
      <protection locked="0"/>
    </xf>
    <xf numFmtId="0" fontId="2" fillId="2" borderId="70" xfId="0" applyFont="1" applyFill="1" applyBorder="1" applyAlignment="1" applyProtection="1">
      <alignment wrapText="1"/>
      <protection locked="0"/>
    </xf>
    <xf numFmtId="172" fontId="2" fillId="0" borderId="0" xfId="0" applyNumberFormat="1" applyFont="1"/>
    <xf numFmtId="43" fontId="2" fillId="0" borderId="0" xfId="0" applyNumberFormat="1" applyFont="1"/>
    <xf numFmtId="4" fontId="15" fillId="5" borderId="89" xfId="0" applyNumberFormat="1" applyFont="1" applyFill="1" applyBorder="1"/>
    <xf numFmtId="4" fontId="15" fillId="5" borderId="89" xfId="0" applyNumberFormat="1" applyFont="1" applyFill="1" applyBorder="1" applyAlignment="1">
      <alignment horizontal="right" vertical="top" wrapText="1"/>
    </xf>
    <xf numFmtId="172" fontId="2" fillId="5" borderId="8" xfId="1" applyNumberFormat="1" applyFont="1" applyFill="1" applyBorder="1" applyAlignment="1" applyProtection="1">
      <alignment wrapText="1"/>
      <protection locked="0"/>
    </xf>
    <xf numFmtId="0" fontId="2" fillId="20" borderId="0" xfId="0" applyFont="1" applyFill="1" applyAlignment="1">
      <alignment vertical="top" wrapText="1"/>
    </xf>
    <xf numFmtId="189" fontId="2" fillId="5" borderId="8" xfId="1" applyNumberFormat="1" applyFont="1" applyFill="1" applyBorder="1" applyAlignment="1" applyProtection="1">
      <alignment wrapText="1"/>
      <protection locked="0"/>
    </xf>
    <xf numFmtId="0" fontId="2" fillId="20" borderId="8" xfId="0" applyFont="1" applyFill="1" applyBorder="1" applyAlignment="1">
      <alignment vertical="top" wrapText="1"/>
    </xf>
    <xf numFmtId="189" fontId="4" fillId="5" borderId="8" xfId="1" applyNumberFormat="1" applyFont="1" applyFill="1" applyBorder="1" applyAlignment="1" applyProtection="1">
      <alignment wrapText="1"/>
      <protection locked="0"/>
    </xf>
    <xf numFmtId="0" fontId="15" fillId="20" borderId="17" xfId="0" applyFont="1" applyFill="1" applyBorder="1" applyAlignment="1">
      <alignment horizontal="left" vertical="top" wrapText="1" indent="1"/>
    </xf>
    <xf numFmtId="0" fontId="15" fillId="20" borderId="20" xfId="0" applyFont="1" applyFill="1" applyBorder="1" applyAlignment="1">
      <alignment horizontal="left" vertical="top" wrapText="1" indent="1"/>
    </xf>
    <xf numFmtId="0" fontId="6" fillId="20" borderId="81" xfId="0" applyFont="1" applyFill="1" applyBorder="1" applyAlignment="1">
      <alignment vertical="top" wrapText="1"/>
    </xf>
    <xf numFmtId="0" fontId="13" fillId="20" borderId="0" xfId="0" applyFont="1" applyFill="1" applyAlignment="1">
      <alignment vertical="top" wrapText="1"/>
    </xf>
    <xf numFmtId="0" fontId="2" fillId="20" borderId="137" xfId="0" applyFont="1" applyFill="1" applyBorder="1" applyAlignment="1" applyProtection="1">
      <alignment horizontal="left" wrapText="1"/>
      <protection locked="0"/>
    </xf>
    <xf numFmtId="0" fontId="2" fillId="20" borderId="175" xfId="0" applyFont="1" applyFill="1" applyBorder="1" applyAlignment="1" applyProtection="1">
      <alignment horizontal="left" wrapText="1"/>
      <protection locked="0"/>
    </xf>
    <xf numFmtId="0" fontId="2" fillId="20" borderId="8" xfId="0" applyFont="1" applyFill="1" applyBorder="1" applyAlignment="1" applyProtection="1">
      <alignment horizontal="left" wrapText="1"/>
      <protection locked="0"/>
    </xf>
    <xf numFmtId="0" fontId="15" fillId="20" borderId="115" xfId="0" applyFont="1" applyFill="1" applyBorder="1" applyAlignment="1">
      <alignment vertical="top" wrapText="1"/>
    </xf>
    <xf numFmtId="0" fontId="15" fillId="20" borderId="176" xfId="0" applyFont="1" applyFill="1" applyBorder="1" applyAlignment="1">
      <alignment vertical="top" wrapText="1"/>
    </xf>
    <xf numFmtId="0" fontId="15" fillId="20" borderId="117" xfId="0" applyFont="1" applyFill="1" applyBorder="1" applyAlignment="1">
      <alignment vertical="top" wrapText="1"/>
    </xf>
    <xf numFmtId="2" fontId="15" fillId="3" borderId="135" xfId="0" applyNumberFormat="1" applyFont="1" applyFill="1" applyBorder="1" applyAlignment="1">
      <alignment vertical="top" wrapText="1"/>
    </xf>
    <xf numFmtId="0" fontId="2" fillId="6" borderId="4" xfId="0" quotePrefix="1" applyFont="1" applyFill="1" applyBorder="1" applyAlignment="1">
      <alignment vertical="top" wrapText="1"/>
    </xf>
    <xf numFmtId="0" fontId="2" fillId="6" borderId="5" xfId="0" applyFont="1" applyFill="1" applyBorder="1" applyAlignment="1">
      <alignment horizontal="left" vertical="top" wrapText="1"/>
    </xf>
    <xf numFmtId="0" fontId="4" fillId="6" borderId="0" xfId="0" applyFont="1" applyFill="1" applyBorder="1" applyAlignment="1">
      <alignment horizontal="left" vertical="top" wrapText="1"/>
    </xf>
    <xf numFmtId="0" fontId="2" fillId="6" borderId="5" xfId="0" quotePrefix="1" applyFont="1" applyFill="1" applyBorder="1" applyAlignment="1">
      <alignment horizontal="left" vertical="top" wrapText="1"/>
    </xf>
    <xf numFmtId="0" fontId="2" fillId="6" borderId="0" xfId="0" applyFont="1" applyFill="1" applyBorder="1" applyAlignment="1">
      <alignment horizontal="left" vertical="top" wrapText="1"/>
    </xf>
    <xf numFmtId="0" fontId="2" fillId="6" borderId="0" xfId="0" quotePrefix="1" applyFont="1" applyFill="1" applyBorder="1" applyAlignment="1">
      <alignment horizontal="left" vertical="top" wrapText="1"/>
    </xf>
    <xf numFmtId="10" fontId="2" fillId="5" borderId="8" xfId="17" applyNumberFormat="1" applyFont="1" applyFill="1" applyBorder="1" applyAlignment="1" applyProtection="1">
      <alignment wrapText="1"/>
      <protection locked="0"/>
    </xf>
    <xf numFmtId="172" fontId="2" fillId="5" borderId="169" xfId="1" applyNumberFormat="1" applyFont="1" applyFill="1" applyBorder="1" applyAlignment="1" applyProtection="1">
      <alignment wrapText="1"/>
      <protection locked="0"/>
    </xf>
    <xf numFmtId="10" fontId="2" fillId="5" borderId="169" xfId="17" applyNumberFormat="1" applyFont="1" applyFill="1" applyBorder="1" applyAlignment="1" applyProtection="1">
      <alignment wrapText="1"/>
      <protection locked="0"/>
    </xf>
    <xf numFmtId="42" fontId="2" fillId="3" borderId="100" xfId="0" applyNumberFormat="1" applyFont="1" applyFill="1" applyBorder="1" applyAlignment="1" applyProtection="1">
      <alignment wrapText="1"/>
      <protection locked="0"/>
    </xf>
    <xf numFmtId="42" fontId="2" fillId="3" borderId="101" xfId="0" applyNumberFormat="1" applyFont="1" applyFill="1" applyBorder="1" applyAlignment="1" applyProtection="1">
      <alignment wrapText="1"/>
      <protection locked="0"/>
    </xf>
    <xf numFmtId="0" fontId="2" fillId="20" borderId="0" xfId="0" applyFont="1" applyFill="1" applyAlignment="1">
      <alignment vertical="top"/>
    </xf>
    <xf numFmtId="0" fontId="6" fillId="20" borderId="177" xfId="0" applyFont="1" applyFill="1" applyBorder="1" applyAlignment="1">
      <alignment horizontal="left" vertical="top" wrapText="1"/>
    </xf>
    <xf numFmtId="0" fontId="6" fillId="20" borderId="178" xfId="0" applyFont="1" applyFill="1" applyBorder="1" applyAlignment="1">
      <alignment horizontal="left" vertical="top" wrapText="1"/>
    </xf>
    <xf numFmtId="0" fontId="15" fillId="20" borderId="114" xfId="0" applyFont="1" applyFill="1" applyBorder="1" applyAlignment="1">
      <alignment vertical="top" wrapText="1"/>
    </xf>
    <xf numFmtId="0" fontId="15" fillId="20" borderId="116" xfId="0" applyFont="1" applyFill="1" applyBorder="1" applyAlignment="1">
      <alignment vertical="top" wrapText="1"/>
    </xf>
    <xf numFmtId="0" fontId="15" fillId="20" borderId="117" xfId="0" applyFont="1" applyFill="1" applyBorder="1" applyAlignment="1">
      <alignment horizontal="left" vertical="top" wrapText="1"/>
    </xf>
    <xf numFmtId="0" fontId="15" fillId="20" borderId="118" xfId="0" applyFont="1" applyFill="1" applyBorder="1" applyAlignment="1">
      <alignment horizontal="left" vertical="top" wrapText="1"/>
    </xf>
    <xf numFmtId="0" fontId="6" fillId="20" borderId="119" xfId="0" applyFont="1" applyFill="1" applyBorder="1" applyAlignment="1">
      <alignment vertical="top" wrapText="1"/>
    </xf>
    <xf numFmtId="0" fontId="6" fillId="20" borderId="125" xfId="0" applyFont="1" applyFill="1" applyBorder="1" applyAlignment="1">
      <alignment vertical="top" wrapText="1"/>
    </xf>
    <xf numFmtId="0" fontId="6" fillId="20" borderId="174" xfId="0" applyFont="1" applyFill="1" applyBorder="1" applyAlignment="1">
      <alignment vertical="top" wrapText="1"/>
    </xf>
    <xf numFmtId="178" fontId="15" fillId="22" borderId="139" xfId="0" applyNumberFormat="1" applyFont="1" applyFill="1" applyBorder="1" applyAlignment="1">
      <alignment vertical="top" wrapText="1"/>
    </xf>
    <xf numFmtId="0" fontId="6" fillId="20" borderId="117" xfId="0" applyFont="1" applyFill="1" applyBorder="1" applyAlignment="1">
      <alignment horizontal="left" vertical="top" wrapText="1"/>
    </xf>
    <xf numFmtId="0" fontId="6" fillId="20" borderId="118" xfId="0" applyFont="1" applyFill="1" applyBorder="1" applyAlignment="1">
      <alignment horizontal="left" vertical="top" wrapText="1"/>
    </xf>
    <xf numFmtId="178" fontId="15" fillId="22" borderId="118" xfId="0" applyNumberFormat="1" applyFont="1" applyFill="1" applyBorder="1" applyAlignment="1">
      <alignment vertical="top" wrapText="1"/>
    </xf>
    <xf numFmtId="0" fontId="2" fillId="6" borderId="55" xfId="0" applyFont="1" applyFill="1" applyBorder="1" applyAlignment="1">
      <alignment vertical="top" wrapText="1"/>
    </xf>
    <xf numFmtId="0" fontId="2" fillId="6" borderId="108" xfId="0" applyFont="1" applyFill="1" applyBorder="1" applyAlignment="1">
      <alignment vertical="top" wrapText="1"/>
    </xf>
    <xf numFmtId="0" fontId="2" fillId="6" borderId="55" xfId="0" applyFont="1" applyFill="1" applyBorder="1" applyAlignment="1">
      <alignment horizontal="left" vertical="top"/>
    </xf>
    <xf numFmtId="0" fontId="2" fillId="6" borderId="108" xfId="0" applyFont="1" applyFill="1" applyBorder="1" applyAlignment="1">
      <alignment horizontal="left" vertical="top"/>
    </xf>
    <xf numFmtId="0" fontId="13" fillId="20" borderId="161" xfId="0" applyFont="1" applyFill="1" applyBorder="1" applyAlignment="1" applyProtection="1">
      <alignment horizontal="left" wrapText="1"/>
      <protection locked="0"/>
    </xf>
    <xf numFmtId="0" fontId="4" fillId="20" borderId="149" xfId="0" applyFont="1" applyFill="1" applyBorder="1" applyAlignment="1" applyProtection="1">
      <alignment horizontal="center" wrapText="1"/>
      <protection locked="0"/>
    </xf>
    <xf numFmtId="0" fontId="2" fillId="20" borderId="136" xfId="0" applyFont="1" applyFill="1" applyBorder="1" applyAlignment="1" applyProtection="1">
      <alignment horizontal="left" wrapText="1"/>
      <protection locked="0"/>
    </xf>
    <xf numFmtId="42" fontId="2" fillId="3" borderId="99" xfId="0" applyNumberFormat="1" applyFont="1" applyFill="1" applyBorder="1" applyAlignment="1" applyProtection="1">
      <alignment wrapText="1"/>
      <protection locked="0"/>
    </xf>
    <xf numFmtId="42" fontId="2" fillId="3" borderId="179" xfId="0" applyNumberFormat="1" applyFont="1" applyFill="1" applyBorder="1" applyAlignment="1" applyProtection="1">
      <alignment wrapText="1"/>
      <protection locked="0"/>
    </xf>
    <xf numFmtId="178" fontId="15" fillId="22" borderId="79" xfId="0" applyNumberFormat="1" applyFont="1" applyFill="1" applyBorder="1" applyAlignment="1">
      <alignment vertical="top" wrapText="1"/>
    </xf>
    <xf numFmtId="0" fontId="6" fillId="20" borderId="64" xfId="0" applyFont="1" applyFill="1" applyBorder="1" applyAlignment="1">
      <alignment vertical="top" wrapText="1"/>
    </xf>
    <xf numFmtId="172" fontId="4" fillId="20" borderId="136" xfId="1" applyNumberFormat="1" applyFont="1" applyFill="1" applyBorder="1" applyAlignment="1" applyProtection="1">
      <alignment wrapText="1"/>
      <protection locked="0"/>
    </xf>
    <xf numFmtId="0" fontId="2" fillId="20" borderId="100" xfId="0" applyFont="1" applyFill="1" applyBorder="1" applyAlignment="1">
      <alignment vertical="top" wrapText="1"/>
    </xf>
    <xf numFmtId="172" fontId="4" fillId="5" borderId="137" xfId="1" applyNumberFormat="1" applyFont="1" applyFill="1" applyBorder="1" applyAlignment="1" applyProtection="1">
      <alignment wrapText="1"/>
      <protection locked="0"/>
    </xf>
    <xf numFmtId="172" fontId="2" fillId="5" borderId="135" xfId="1" applyNumberFormat="1" applyFont="1" applyFill="1" applyBorder="1" applyAlignment="1" applyProtection="1">
      <alignment wrapText="1"/>
      <protection locked="0"/>
    </xf>
    <xf numFmtId="0" fontId="4" fillId="20" borderId="136" xfId="0" applyFont="1" applyFill="1" applyBorder="1" applyAlignment="1">
      <alignment vertical="top" wrapText="1"/>
    </xf>
    <xf numFmtId="10" fontId="2" fillId="5" borderId="100" xfId="17" applyNumberFormat="1" applyFont="1" applyFill="1" applyBorder="1" applyAlignment="1" applyProtection="1">
      <alignment wrapText="1"/>
      <protection locked="0"/>
    </xf>
    <xf numFmtId="10" fontId="2" fillId="5" borderId="179" xfId="17" applyNumberFormat="1" applyFont="1" applyFill="1" applyBorder="1" applyAlignment="1" applyProtection="1">
      <alignment wrapText="1"/>
      <protection locked="0"/>
    </xf>
    <xf numFmtId="0" fontId="2" fillId="20" borderId="137" xfId="0" applyFont="1" applyFill="1" applyBorder="1" applyAlignment="1">
      <alignment vertical="top" wrapText="1"/>
    </xf>
    <xf numFmtId="0" fontId="2" fillId="20" borderId="4" xfId="0" applyFont="1" applyFill="1" applyBorder="1" applyAlignment="1">
      <alignment vertical="top" wrapText="1"/>
    </xf>
    <xf numFmtId="0" fontId="2" fillId="20" borderId="4" xfId="0" applyFont="1" applyFill="1" applyBorder="1" applyAlignment="1" applyProtection="1">
      <alignment horizontal="left" wrapText="1"/>
      <protection locked="0"/>
    </xf>
    <xf numFmtId="0" fontId="2" fillId="20" borderId="144" xfId="0" applyFont="1" applyFill="1" applyBorder="1" applyAlignment="1">
      <alignment vertical="top" wrapText="1"/>
    </xf>
    <xf numFmtId="0" fontId="2" fillId="20" borderId="165" xfId="0" applyFont="1" applyFill="1" applyBorder="1" applyAlignment="1">
      <alignment vertical="top"/>
    </xf>
    <xf numFmtId="7" fontId="2" fillId="0" borderId="57" xfId="0" applyNumberFormat="1" applyFont="1" applyFill="1" applyBorder="1" applyAlignment="1">
      <alignment vertical="top" wrapText="1"/>
    </xf>
    <xf numFmtId="0" fontId="26" fillId="2" borderId="4" xfId="0" applyFont="1" applyFill="1" applyBorder="1" applyAlignment="1">
      <alignment horizontal="center" vertical="center" wrapText="1"/>
    </xf>
    <xf numFmtId="0" fontId="68" fillId="2" borderId="94" xfId="0" applyFont="1" applyFill="1" applyBorder="1" applyAlignment="1">
      <alignment horizontal="left" vertical="center" wrapText="1"/>
    </xf>
    <xf numFmtId="0" fontId="26" fillId="2" borderId="95" xfId="0" applyFont="1" applyFill="1" applyBorder="1" applyAlignment="1">
      <alignment horizontal="center" vertical="top" wrapText="1"/>
    </xf>
    <xf numFmtId="0" fontId="26" fillId="2" borderId="95" xfId="0" applyFont="1" applyFill="1" applyBorder="1" applyAlignment="1">
      <alignment horizontal="right" vertical="center" wrapText="1"/>
    </xf>
    <xf numFmtId="0" fontId="13" fillId="2" borderId="4" xfId="0" applyFont="1" applyFill="1" applyBorder="1" applyAlignment="1">
      <alignment horizontal="left" vertical="center" wrapText="1"/>
    </xf>
    <xf numFmtId="0" fontId="13" fillId="2" borderId="0" xfId="0" applyFont="1" applyFill="1" applyBorder="1" applyAlignment="1">
      <alignment vertical="center" wrapText="1"/>
    </xf>
    <xf numFmtId="0" fontId="26" fillId="2" borderId="4" xfId="0" applyFont="1" applyFill="1" applyBorder="1" applyAlignment="1">
      <alignment horizontal="left" vertical="center" wrapText="1"/>
    </xf>
    <xf numFmtId="0" fontId="29" fillId="2" borderId="4" xfId="5" applyFont="1" applyFill="1" applyBorder="1" applyAlignment="1" applyProtection="1">
      <alignment horizontal="left" vertical="center" wrapText="1"/>
    </xf>
    <xf numFmtId="0" fontId="6" fillId="2" borderId="4" xfId="0" applyFont="1" applyFill="1" applyBorder="1" applyAlignment="1">
      <alignment horizontal="left" vertical="center" wrapText="1"/>
    </xf>
    <xf numFmtId="0" fontId="13" fillId="2" borderId="94" xfId="0" applyFont="1" applyFill="1" applyBorder="1" applyAlignment="1">
      <alignment vertical="top" wrapText="1"/>
    </xf>
    <xf numFmtId="0" fontId="6" fillId="2" borderId="94" xfId="0" applyFont="1" applyFill="1" applyBorder="1" applyAlignment="1">
      <alignment wrapText="1"/>
    </xf>
    <xf numFmtId="7" fontId="2" fillId="0" borderId="142" xfId="0" applyNumberFormat="1" applyFont="1" applyFill="1" applyBorder="1" applyAlignment="1">
      <alignment vertical="top" wrapText="1"/>
    </xf>
    <xf numFmtId="0" fontId="6" fillId="0" borderId="58" xfId="0" applyFont="1" applyFill="1" applyBorder="1"/>
    <xf numFmtId="170" fontId="4" fillId="5" borderId="136" xfId="0" applyNumberFormat="1" applyFont="1" applyFill="1" applyBorder="1" applyAlignment="1">
      <alignment vertical="top" wrapText="1"/>
    </xf>
    <xf numFmtId="0" fontId="4" fillId="5" borderId="137" xfId="1" applyNumberFormat="1" applyFont="1" applyFill="1" applyBorder="1" applyAlignment="1">
      <alignment vertical="top" wrapText="1"/>
    </xf>
    <xf numFmtId="0" fontId="2" fillId="5" borderId="136" xfId="0" applyNumberFormat="1" applyFont="1" applyFill="1" applyBorder="1" applyAlignment="1">
      <alignment vertical="top" wrapText="1"/>
    </xf>
    <xf numFmtId="0" fontId="13" fillId="2" borderId="91" xfId="0" applyFont="1" applyFill="1" applyBorder="1" applyAlignment="1">
      <alignment vertical="top" wrapText="1"/>
    </xf>
    <xf numFmtId="0" fontId="2" fillId="0" borderId="4" xfId="0" applyFont="1" applyFill="1" applyBorder="1" applyAlignment="1">
      <alignment horizontal="center" vertical="top" wrapText="1"/>
    </xf>
    <xf numFmtId="0" fontId="6" fillId="3" borderId="57" xfId="0" applyFont="1" applyFill="1" applyBorder="1" applyAlignment="1">
      <alignment vertical="top" wrapText="1"/>
    </xf>
    <xf numFmtId="0" fontId="2" fillId="2" borderId="4" xfId="0" applyFont="1" applyFill="1" applyBorder="1" applyAlignment="1">
      <alignment horizontal="center" vertical="top" wrapText="1"/>
    </xf>
    <xf numFmtId="0" fontId="2" fillId="2" borderId="4" xfId="0" applyFont="1" applyFill="1" applyBorder="1" applyAlignment="1">
      <alignment horizontal="left" vertical="top" wrapText="1"/>
    </xf>
    <xf numFmtId="0" fontId="69" fillId="20" borderId="8" xfId="0" applyFont="1" applyFill="1" applyBorder="1" applyAlignment="1">
      <alignment vertical="center" wrapText="1"/>
    </xf>
    <xf numFmtId="44" fontId="69" fillId="20" borderId="8" xfId="3" applyFont="1" applyFill="1" applyBorder="1" applyAlignment="1">
      <alignment vertical="center" wrapText="1"/>
    </xf>
    <xf numFmtId="0" fontId="2" fillId="5" borderId="136" xfId="0" applyFont="1" applyFill="1" applyBorder="1" applyAlignment="1" applyProtection="1">
      <alignment horizontal="left" wrapText="1"/>
      <protection locked="0"/>
    </xf>
    <xf numFmtId="172" fontId="2" fillId="5" borderId="147" xfId="1" applyNumberFormat="1" applyFont="1" applyFill="1" applyBorder="1" applyAlignment="1" applyProtection="1">
      <alignment wrapText="1"/>
      <protection locked="0"/>
    </xf>
    <xf numFmtId="0" fontId="2" fillId="5" borderId="105" xfId="0" applyNumberFormat="1" applyFont="1" applyFill="1" applyBorder="1" applyAlignment="1" applyProtection="1">
      <alignment wrapText="1"/>
      <protection locked="0"/>
    </xf>
    <xf numFmtId="2" fontId="2" fillId="5" borderId="134" xfId="0" applyNumberFormat="1" applyFont="1" applyFill="1" applyBorder="1" applyAlignment="1" applyProtection="1">
      <alignment wrapText="1"/>
      <protection locked="0"/>
    </xf>
    <xf numFmtId="2" fontId="2" fillId="5" borderId="8" xfId="1" applyNumberFormat="1" applyFont="1" applyFill="1" applyBorder="1" applyAlignment="1" applyProtection="1">
      <alignment wrapText="1"/>
      <protection locked="0"/>
    </xf>
    <xf numFmtId="0" fontId="31" fillId="20" borderId="0" xfId="0" applyFont="1" applyFill="1" applyAlignment="1">
      <alignment vertical="top" wrapText="1"/>
    </xf>
    <xf numFmtId="0" fontId="2" fillId="20" borderId="0" xfId="0" applyFont="1" applyFill="1" applyAlignment="1">
      <alignment horizontal="left" vertical="top" wrapText="1"/>
    </xf>
    <xf numFmtId="0" fontId="31" fillId="20" borderId="0" xfId="0" applyFont="1" applyFill="1" applyAlignment="1">
      <alignment horizontal="left" vertical="top" wrapText="1"/>
    </xf>
    <xf numFmtId="0" fontId="13" fillId="20" borderId="0" xfId="0" applyFont="1" applyFill="1" applyAlignment="1">
      <alignment horizontal="right" vertical="top" wrapText="1"/>
    </xf>
    <xf numFmtId="0" fontId="29" fillId="20" borderId="0" xfId="5" applyFont="1" applyFill="1" applyAlignment="1" applyProtection="1">
      <alignment horizontal="left" vertical="top" wrapText="1"/>
    </xf>
    <xf numFmtId="0" fontId="17" fillId="20" borderId="112" xfId="0" applyFont="1" applyFill="1" applyBorder="1" applyAlignment="1">
      <alignment vertical="center" wrapText="1"/>
    </xf>
    <xf numFmtId="0" fontId="2" fillId="20" borderId="113" xfId="0" applyFont="1" applyFill="1" applyBorder="1" applyAlignment="1">
      <alignment vertical="center" wrapText="1"/>
    </xf>
    <xf numFmtId="0" fontId="2" fillId="20" borderId="114" xfId="0" applyFont="1" applyFill="1" applyBorder="1" applyAlignment="1">
      <alignment vertical="center" wrapText="1"/>
    </xf>
    <xf numFmtId="0" fontId="2" fillId="20" borderId="98" xfId="0" applyFont="1" applyFill="1" applyBorder="1" applyAlignment="1">
      <alignment vertical="top" wrapText="1"/>
    </xf>
    <xf numFmtId="0" fontId="2" fillId="20" borderId="116" xfId="0" applyFont="1" applyFill="1" applyBorder="1" applyAlignment="1">
      <alignment vertical="top" wrapText="1"/>
    </xf>
    <xf numFmtId="0" fontId="2" fillId="20" borderId="129" xfId="0" applyFont="1" applyFill="1" applyBorder="1" applyAlignment="1">
      <alignment vertical="top" wrapText="1"/>
    </xf>
    <xf numFmtId="0" fontId="2" fillId="20" borderId="151" xfId="0" applyFont="1" applyFill="1" applyBorder="1" applyAlignment="1">
      <alignment vertical="top" wrapText="1"/>
    </xf>
    <xf numFmtId="172" fontId="2" fillId="20" borderId="0" xfId="1" applyNumberFormat="1" applyFont="1" applyFill="1" applyAlignment="1">
      <alignment vertical="top" wrapText="1"/>
    </xf>
    <xf numFmtId="178" fontId="15" fillId="22" borderId="173" xfId="0" applyNumberFormat="1" applyFont="1" applyFill="1" applyBorder="1" applyAlignment="1">
      <alignment vertical="top" wrapText="1"/>
    </xf>
    <xf numFmtId="0" fontId="17" fillId="20" borderId="24" xfId="0" applyFont="1" applyFill="1" applyBorder="1" applyAlignment="1">
      <alignment horizontal="left" vertical="center" wrapText="1"/>
    </xf>
    <xf numFmtId="0" fontId="2" fillId="20" borderId="76" xfId="0" applyFont="1" applyFill="1" applyBorder="1" applyAlignment="1">
      <alignment vertical="center" wrapText="1"/>
    </xf>
    <xf numFmtId="0" fontId="2" fillId="20" borderId="65" xfId="0" applyFont="1" applyFill="1" applyBorder="1" applyAlignment="1">
      <alignment vertical="center" wrapText="1"/>
    </xf>
    <xf numFmtId="0" fontId="2" fillId="20" borderId="66" xfId="0" applyFont="1" applyFill="1" applyBorder="1" applyAlignment="1">
      <alignment vertical="center" wrapText="1"/>
    </xf>
    <xf numFmtId="0" fontId="2" fillId="20" borderId="2" xfId="0" applyFont="1" applyFill="1" applyBorder="1" applyAlignment="1">
      <alignment vertical="top" wrapText="1"/>
    </xf>
    <xf numFmtId="0" fontId="2" fillId="20" borderId="82" xfId="0" applyFont="1" applyFill="1" applyBorder="1" applyAlignment="1">
      <alignment vertical="top" wrapText="1"/>
    </xf>
    <xf numFmtId="0" fontId="2" fillId="4" borderId="8" xfId="0" applyFont="1" applyFill="1" applyBorder="1" applyAlignment="1">
      <alignment vertical="top" wrapText="1"/>
    </xf>
    <xf numFmtId="0" fontId="2" fillId="4" borderId="22" xfId="0" applyFont="1" applyFill="1" applyBorder="1" applyAlignment="1">
      <alignment vertical="top" wrapText="1"/>
    </xf>
    <xf numFmtId="0" fontId="2" fillId="20" borderId="3" xfId="0" applyFont="1" applyFill="1" applyBorder="1" applyAlignment="1">
      <alignment vertical="top" wrapText="1"/>
    </xf>
    <xf numFmtId="0" fontId="2" fillId="20" borderId="0" xfId="0" applyFont="1" applyFill="1" applyBorder="1" applyAlignment="1">
      <alignment vertical="top"/>
    </xf>
    <xf numFmtId="0" fontId="2" fillId="20" borderId="5" xfId="0" applyFont="1" applyFill="1" applyBorder="1" applyAlignment="1">
      <alignment vertical="top" wrapText="1"/>
    </xf>
    <xf numFmtId="0" fontId="2" fillId="20" borderId="137" xfId="0" applyFont="1" applyFill="1" applyBorder="1" applyAlignment="1">
      <alignment vertical="top"/>
    </xf>
    <xf numFmtId="0" fontId="2" fillId="20" borderId="59" xfId="0" applyFont="1" applyFill="1" applyBorder="1" applyAlignment="1">
      <alignment vertical="top"/>
    </xf>
    <xf numFmtId="0" fontId="2" fillId="20" borderId="87" xfId="0" applyFont="1" applyFill="1" applyBorder="1" applyAlignment="1">
      <alignment vertical="top" wrapText="1"/>
    </xf>
    <xf numFmtId="0" fontId="2" fillId="20" borderId="0" xfId="0" applyFont="1" applyFill="1" applyBorder="1" applyAlignment="1">
      <alignment vertical="top" wrapText="1"/>
    </xf>
    <xf numFmtId="43" fontId="2" fillId="20" borderId="0" xfId="0" applyNumberFormat="1" applyFont="1" applyFill="1" applyAlignment="1">
      <alignment vertical="top" wrapText="1"/>
    </xf>
    <xf numFmtId="0" fontId="2" fillId="0" borderId="0" xfId="0" applyFont="1" applyBorder="1" applyAlignment="1">
      <alignment vertical="top" wrapText="1"/>
    </xf>
    <xf numFmtId="172" fontId="2" fillId="3" borderId="8" xfId="1" applyNumberFormat="1" applyFont="1" applyFill="1" applyBorder="1" applyAlignment="1" applyProtection="1">
      <alignment horizontal="center"/>
    </xf>
    <xf numFmtId="172" fontId="2" fillId="3" borderId="100" xfId="1" applyNumberFormat="1" applyFont="1" applyFill="1" applyBorder="1" applyAlignment="1" applyProtection="1">
      <alignment horizontal="center"/>
    </xf>
    <xf numFmtId="0" fontId="2" fillId="20" borderId="180" xfId="0" applyFont="1" applyFill="1" applyBorder="1" applyAlignment="1">
      <alignment vertical="top" wrapText="1"/>
    </xf>
    <xf numFmtId="0" fontId="2" fillId="20" borderId="166" xfId="0" applyFont="1" applyFill="1" applyBorder="1" applyAlignment="1">
      <alignment vertical="top" wrapText="1"/>
    </xf>
    <xf numFmtId="172" fontId="2" fillId="20" borderId="0" xfId="1" applyNumberFormat="1" applyFont="1" applyFill="1" applyBorder="1" applyAlignment="1">
      <alignment vertical="top" wrapText="1"/>
    </xf>
    <xf numFmtId="43" fontId="2" fillId="20" borderId="4" xfId="0" applyNumberFormat="1" applyFont="1" applyFill="1" applyBorder="1" applyAlignment="1">
      <alignment vertical="top" wrapText="1"/>
    </xf>
    <xf numFmtId="189" fontId="2" fillId="3" borderId="8" xfId="1" applyNumberFormat="1" applyFont="1" applyFill="1" applyBorder="1" applyAlignment="1" applyProtection="1">
      <alignment horizontal="center"/>
    </xf>
    <xf numFmtId="189" fontId="2" fillId="3" borderId="100" xfId="1" applyNumberFormat="1" applyFont="1" applyFill="1" applyBorder="1" applyAlignment="1" applyProtection="1">
      <alignment horizontal="center"/>
    </xf>
    <xf numFmtId="189" fontId="2" fillId="20" borderId="180" xfId="0" applyNumberFormat="1" applyFont="1" applyFill="1" applyBorder="1" applyAlignment="1">
      <alignment vertical="top" wrapText="1"/>
    </xf>
    <xf numFmtId="189" fontId="2" fillId="20" borderId="166" xfId="0" applyNumberFormat="1" applyFont="1" applyFill="1" applyBorder="1" applyAlignment="1">
      <alignment vertical="top" wrapText="1"/>
    </xf>
    <xf numFmtId="0" fontId="2" fillId="0" borderId="5" xfId="0" applyFont="1" applyBorder="1" applyAlignment="1">
      <alignment vertical="top" wrapText="1"/>
    </xf>
    <xf numFmtId="0" fontId="2" fillId="20" borderId="58" xfId="0" applyFont="1" applyFill="1" applyBorder="1" applyAlignment="1">
      <alignment vertical="top" wrapText="1"/>
    </xf>
    <xf numFmtId="0" fontId="2" fillId="0" borderId="59" xfId="0" applyFont="1" applyBorder="1" applyAlignment="1">
      <alignment vertical="top" wrapText="1"/>
    </xf>
    <xf numFmtId="172" fontId="2" fillId="3" borderId="135" xfId="1" applyNumberFormat="1" applyFont="1" applyFill="1" applyBorder="1" applyAlignment="1" applyProtection="1">
      <alignment horizontal="center"/>
    </xf>
    <xf numFmtId="0" fontId="2" fillId="20" borderId="181" xfId="0" applyFont="1" applyFill="1" applyBorder="1" applyAlignment="1">
      <alignment vertical="top" wrapText="1"/>
    </xf>
    <xf numFmtId="0" fontId="2" fillId="20" borderId="59" xfId="0" applyFont="1" applyFill="1" applyBorder="1" applyAlignment="1">
      <alignment vertical="top" wrapText="1"/>
    </xf>
    <xf numFmtId="43" fontId="2" fillId="20" borderId="165" xfId="1" applyFont="1" applyFill="1" applyBorder="1" applyAlignment="1">
      <alignment horizontal="right" vertical="top" wrapText="1"/>
    </xf>
    <xf numFmtId="43" fontId="2" fillId="20" borderId="115" xfId="1" applyFont="1" applyFill="1" applyBorder="1" applyAlignment="1">
      <alignment vertical="top" wrapText="1"/>
    </xf>
    <xf numFmtId="172" fontId="2" fillId="20" borderId="37" xfId="1" applyNumberFormat="1" applyFont="1" applyFill="1" applyBorder="1" applyAlignment="1">
      <alignment vertical="top" wrapText="1"/>
    </xf>
    <xf numFmtId="172" fontId="2" fillId="20" borderId="159" xfId="1" applyNumberFormat="1" applyFont="1" applyFill="1" applyBorder="1" applyAlignment="1">
      <alignment vertical="top" wrapText="1"/>
    </xf>
    <xf numFmtId="43" fontId="2" fillId="20" borderId="176" xfId="1" applyFont="1" applyFill="1" applyBorder="1" applyAlignment="1">
      <alignment vertical="top" wrapText="1"/>
    </xf>
    <xf numFmtId="172" fontId="4" fillId="20" borderId="137" xfId="1" applyNumberFormat="1" applyFont="1" applyFill="1" applyBorder="1" applyAlignment="1" applyProtection="1">
      <alignment wrapText="1"/>
      <protection locked="0"/>
    </xf>
    <xf numFmtId="172" fontId="15" fillId="3" borderId="8" xfId="1" applyNumberFormat="1" applyFont="1" applyFill="1" applyBorder="1" applyAlignment="1">
      <alignment vertical="top" wrapText="1"/>
    </xf>
    <xf numFmtId="0" fontId="2" fillId="6" borderId="99" xfId="0" applyFont="1" applyFill="1" applyBorder="1" applyAlignment="1" applyProtection="1">
      <alignment horizontal="left" wrapText="1"/>
      <protection locked="0"/>
    </xf>
    <xf numFmtId="15" fontId="2" fillId="6" borderId="100" xfId="0" applyNumberFormat="1" applyFont="1" applyFill="1" applyBorder="1" applyAlignment="1" applyProtection="1">
      <alignment horizontal="left" wrapText="1"/>
      <protection locked="0"/>
    </xf>
    <xf numFmtId="170" fontId="2" fillId="5" borderId="144" xfId="0" applyNumberFormat="1" applyFont="1" applyFill="1" applyBorder="1" applyAlignment="1">
      <alignment vertical="top" wrapText="1"/>
    </xf>
    <xf numFmtId="0" fontId="70" fillId="20" borderId="0" xfId="0" applyFont="1" applyFill="1" applyAlignment="1">
      <alignment vertical="top" wrapText="1"/>
    </xf>
    <xf numFmtId="0" fontId="70" fillId="20" borderId="0" xfId="0" applyFont="1" applyFill="1" applyBorder="1" applyAlignment="1">
      <alignment vertical="top" wrapText="1"/>
    </xf>
    <xf numFmtId="0" fontId="70" fillId="20" borderId="0" xfId="0" applyFont="1" applyFill="1"/>
    <xf numFmtId="0" fontId="70" fillId="20" borderId="5" xfId="0" applyFont="1" applyFill="1" applyBorder="1" applyAlignment="1">
      <alignment vertical="top" wrapText="1"/>
    </xf>
    <xf numFmtId="0" fontId="70" fillId="20" borderId="0" xfId="0" applyFont="1" applyFill="1" applyAlignment="1">
      <alignment vertical="top"/>
    </xf>
    <xf numFmtId="15" fontId="2" fillId="6" borderId="17" xfId="0" applyNumberFormat="1" applyFont="1" applyFill="1" applyBorder="1" applyAlignment="1" applyProtection="1">
      <alignment wrapText="1"/>
      <protection locked="0"/>
    </xf>
    <xf numFmtId="0" fontId="4" fillId="6" borderId="17" xfId="0" applyFont="1" applyFill="1" applyBorder="1" applyProtection="1">
      <protection locked="0"/>
    </xf>
    <xf numFmtId="14" fontId="4" fillId="6" borderId="17" xfId="0" applyNumberFormat="1" applyFont="1" applyFill="1" applyBorder="1" applyProtection="1">
      <protection locked="0"/>
    </xf>
    <xf numFmtId="14" fontId="2" fillId="6" borderId="17" xfId="0" applyNumberFormat="1" applyFont="1" applyFill="1" applyBorder="1" applyProtection="1">
      <protection locked="0"/>
    </xf>
    <xf numFmtId="15" fontId="2" fillId="6" borderId="17" xfId="0" applyNumberFormat="1" applyFont="1" applyFill="1" applyBorder="1" applyAlignment="1" applyProtection="1">
      <alignment horizontal="right" wrapText="1"/>
      <protection locked="0"/>
    </xf>
    <xf numFmtId="15" fontId="2" fillId="6" borderId="20" xfId="0" applyNumberFormat="1" applyFont="1" applyFill="1" applyBorder="1" applyProtection="1">
      <protection locked="0"/>
    </xf>
    <xf numFmtId="14" fontId="2" fillId="6" borderId="22" xfId="0" applyNumberFormat="1" applyFont="1" applyFill="1" applyBorder="1" applyAlignment="1" applyProtection="1">
      <alignment wrapText="1"/>
      <protection locked="0"/>
    </xf>
    <xf numFmtId="0" fontId="16" fillId="20" borderId="0" xfId="0" applyFont="1" applyFill="1"/>
    <xf numFmtId="2" fontId="2" fillId="5" borderId="182" xfId="0" applyNumberFormat="1" applyFont="1" applyFill="1" applyBorder="1" applyAlignment="1" applyProtection="1">
      <alignment wrapText="1"/>
      <protection locked="0"/>
    </xf>
    <xf numFmtId="0" fontId="2" fillId="6" borderId="183" xfId="0" applyFont="1" applyFill="1" applyBorder="1" applyAlignment="1" applyProtection="1">
      <alignment wrapText="1"/>
      <protection locked="0"/>
    </xf>
    <xf numFmtId="0" fontId="2" fillId="6" borderId="38" xfId="0" applyFont="1" applyFill="1" applyBorder="1" applyAlignment="1" applyProtection="1">
      <alignment wrapText="1"/>
      <protection locked="0"/>
    </xf>
    <xf numFmtId="42" fontId="2" fillId="5" borderId="99" xfId="0" applyNumberFormat="1" applyFont="1" applyFill="1" applyBorder="1" applyAlignment="1" applyProtection="1">
      <alignment wrapText="1"/>
      <protection locked="0"/>
    </xf>
    <xf numFmtId="42" fontId="2" fillId="5" borderId="100" xfId="0" applyNumberFormat="1" applyFont="1" applyFill="1" applyBorder="1" applyAlignment="1" applyProtection="1">
      <alignment wrapText="1"/>
      <protection locked="0"/>
    </xf>
    <xf numFmtId="0" fontId="2" fillId="0" borderId="4" xfId="0" applyFont="1" applyBorder="1"/>
    <xf numFmtId="0" fontId="19" fillId="0" borderId="0" xfId="0" applyFont="1"/>
    <xf numFmtId="0" fontId="0" fillId="0" borderId="5" xfId="0" applyBorder="1"/>
    <xf numFmtId="0" fontId="2" fillId="0" borderId="63" xfId="0" applyFont="1" applyBorder="1" applyAlignment="1">
      <alignment horizontal="left" vertical="top" wrapText="1"/>
    </xf>
    <xf numFmtId="0" fontId="2" fillId="6" borderId="98" xfId="5" applyNumberFormat="1" applyFont="1" applyFill="1" applyBorder="1" applyAlignment="1" applyProtection="1">
      <alignment horizontal="left" vertical="top" wrapText="1"/>
    </xf>
    <xf numFmtId="0" fontId="2" fillId="6" borderId="98" xfId="0" applyFont="1" applyFill="1" applyBorder="1" applyAlignment="1">
      <alignment horizontal="left" vertical="top" wrapText="1"/>
    </xf>
    <xf numFmtId="0" fontId="2" fillId="0" borderId="98" xfId="0" applyFont="1" applyBorder="1" applyAlignment="1">
      <alignment horizontal="left" vertical="top" wrapText="1"/>
    </xf>
    <xf numFmtId="167" fontId="0" fillId="0" borderId="98" xfId="0" applyNumberFormat="1" applyBorder="1" applyAlignment="1">
      <alignment horizontal="lef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9" fontId="0" fillId="5" borderId="15" xfId="17" applyFont="1" applyFill="1" applyBorder="1" applyAlignment="1" applyProtection="1">
      <alignment horizontal="center" vertical="center" wrapText="1"/>
      <protection locked="0"/>
    </xf>
    <xf numFmtId="9" fontId="0" fillId="5" borderId="8" xfId="17" applyFont="1" applyFill="1" applyBorder="1" applyAlignment="1" applyProtection="1">
      <alignment horizontal="center" vertical="center" wrapText="1"/>
      <protection locked="0"/>
    </xf>
    <xf numFmtId="3" fontId="12" fillId="2" borderId="15" xfId="0" applyNumberFormat="1" applyFont="1" applyFill="1" applyBorder="1" applyAlignment="1" applyProtection="1">
      <alignment horizontal="left" vertical="center" wrapText="1"/>
      <protection locked="0"/>
    </xf>
    <xf numFmtId="0" fontId="2" fillId="0" borderId="116" xfId="0" applyFont="1" applyBorder="1"/>
    <xf numFmtId="172" fontId="12" fillId="0" borderId="0" xfId="1" applyNumberFormat="1" applyFont="1" applyProtection="1"/>
    <xf numFmtId="164" fontId="2" fillId="5" borderId="62" xfId="0" applyNumberFormat="1" applyFont="1" applyFill="1" applyBorder="1" applyAlignment="1">
      <alignment vertical="top" wrapText="1"/>
    </xf>
    <xf numFmtId="3" fontId="2" fillId="5" borderId="57" xfId="0" applyNumberFormat="1" applyFont="1" applyFill="1" applyBorder="1" applyAlignment="1">
      <alignment vertical="top" wrapText="1"/>
    </xf>
    <xf numFmtId="0" fontId="2" fillId="5" borderId="62" xfId="0" applyFont="1" applyFill="1" applyBorder="1" applyAlignment="1">
      <alignment vertical="top" wrapText="1"/>
    </xf>
    <xf numFmtId="9" fontId="2" fillId="5" borderId="62" xfId="17" applyFont="1" applyFill="1" applyBorder="1" applyAlignment="1">
      <alignment vertical="top" wrapText="1"/>
    </xf>
    <xf numFmtId="0" fontId="2" fillId="5" borderId="62" xfId="0" applyFont="1" applyFill="1" applyBorder="1" applyAlignment="1">
      <alignment horizontal="right" vertical="top" wrapText="1"/>
    </xf>
    <xf numFmtId="9" fontId="2" fillId="5" borderId="62" xfId="0" applyNumberFormat="1" applyFont="1" applyFill="1" applyBorder="1" applyAlignment="1">
      <alignment vertical="top" wrapText="1"/>
    </xf>
    <xf numFmtId="10" fontId="2" fillId="5" borderId="62" xfId="0" applyNumberFormat="1" applyFont="1" applyFill="1" applyBorder="1" applyAlignment="1">
      <alignment vertical="top" wrapText="1"/>
    </xf>
    <xf numFmtId="188" fontId="2" fillId="5" borderId="62" xfId="0" applyNumberFormat="1" applyFont="1" applyFill="1" applyBorder="1" applyAlignment="1">
      <alignment vertical="top" wrapText="1"/>
    </xf>
    <xf numFmtId="164" fontId="2" fillId="5" borderId="57" xfId="0" applyNumberFormat="1" applyFont="1" applyFill="1" applyBorder="1" applyAlignment="1">
      <alignment vertical="top" wrapText="1"/>
    </xf>
    <xf numFmtId="166" fontId="2" fillId="5" borderId="62" xfId="0" applyNumberFormat="1" applyFont="1" applyFill="1" applyBorder="1" applyAlignment="1">
      <alignment vertical="top" wrapText="1"/>
    </xf>
    <xf numFmtId="0" fontId="2" fillId="6" borderId="101" xfId="0" applyFont="1" applyFill="1" applyBorder="1" applyAlignment="1" applyProtection="1">
      <alignment wrapText="1"/>
      <protection locked="0"/>
    </xf>
    <xf numFmtId="0" fontId="2" fillId="6" borderId="16" xfId="0" applyFont="1" applyFill="1" applyBorder="1" applyAlignment="1" applyProtection="1">
      <alignment horizontal="left" wrapText="1"/>
      <protection locked="0"/>
    </xf>
    <xf numFmtId="170" fontId="2" fillId="5" borderId="57" xfId="0" applyNumberFormat="1" applyFont="1" applyFill="1" applyBorder="1" applyAlignment="1">
      <alignment vertical="top" wrapText="1"/>
    </xf>
    <xf numFmtId="170" fontId="2" fillId="5" borderId="62" xfId="0" applyNumberFormat="1" applyFont="1" applyFill="1" applyBorder="1" applyAlignment="1">
      <alignment vertical="top" wrapText="1"/>
    </xf>
    <xf numFmtId="173" fontId="6" fillId="7" borderId="63" xfId="16" applyFont="1" applyFill="1" applyBorder="1" applyAlignment="1" applyProtection="1">
      <alignment vertical="top" wrapText="1"/>
    </xf>
    <xf numFmtId="0" fontId="6" fillId="7" borderId="98" xfId="0" applyFont="1" applyFill="1" applyBorder="1" applyAlignment="1">
      <alignment vertical="top" wrapText="1"/>
    </xf>
    <xf numFmtId="0" fontId="6" fillId="7" borderId="108" xfId="0" applyFont="1" applyFill="1" applyBorder="1" applyAlignment="1">
      <alignment vertical="top" wrapText="1"/>
    </xf>
    <xf numFmtId="173" fontId="40" fillId="7" borderId="63" xfId="16" applyFont="1" applyFill="1" applyBorder="1" applyAlignment="1" applyProtection="1">
      <alignment horizontal="right"/>
    </xf>
    <xf numFmtId="169" fontId="40" fillId="7" borderId="98" xfId="0" applyNumberFormat="1" applyFont="1" applyFill="1" applyBorder="1" applyAlignment="1">
      <alignment vertical="top" wrapText="1"/>
    </xf>
    <xf numFmtId="169" fontId="40" fillId="7" borderId="108" xfId="0" applyNumberFormat="1" applyFont="1" applyFill="1" applyBorder="1" applyAlignment="1">
      <alignment vertical="top" wrapText="1"/>
    </xf>
    <xf numFmtId="173" fontId="6" fillId="7" borderId="109" xfId="16" applyFont="1" applyFill="1" applyBorder="1" applyProtection="1"/>
    <xf numFmtId="169" fontId="40" fillId="7" borderId="120" xfId="0" applyNumberFormat="1" applyFont="1" applyFill="1" applyBorder="1" applyAlignment="1">
      <alignment vertical="top" wrapText="1"/>
    </xf>
    <xf numFmtId="169" fontId="40" fillId="7" borderId="111" xfId="0" applyNumberFormat="1" applyFont="1" applyFill="1" applyBorder="1" applyAlignment="1">
      <alignment vertical="top" wrapText="1"/>
    </xf>
    <xf numFmtId="172" fontId="15" fillId="7" borderId="8" xfId="1" applyNumberFormat="1" applyFont="1" applyFill="1" applyBorder="1" applyAlignment="1">
      <alignment vertical="top" wrapText="1"/>
    </xf>
    <xf numFmtId="10" fontId="15" fillId="7" borderId="8" xfId="0" applyNumberFormat="1" applyFont="1" applyFill="1" applyBorder="1" applyAlignment="1">
      <alignment vertical="top" wrapText="1"/>
    </xf>
    <xf numFmtId="169" fontId="15" fillId="7" borderId="8" xfId="0" applyNumberFormat="1" applyFont="1" applyFill="1" applyBorder="1" applyAlignment="1">
      <alignment vertical="top" wrapText="1"/>
    </xf>
    <xf numFmtId="165" fontId="15" fillId="7" borderId="22" xfId="0" applyNumberFormat="1" applyFont="1" applyFill="1" applyBorder="1" applyAlignment="1">
      <alignment vertical="top" wrapText="1"/>
    </xf>
    <xf numFmtId="0" fontId="2" fillId="7" borderId="0" xfId="0" applyFont="1" applyFill="1" applyAlignment="1">
      <alignment vertical="top" wrapText="1"/>
    </xf>
    <xf numFmtId="0" fontId="4" fillId="7" borderId="162" xfId="0" applyFont="1" applyFill="1" applyBorder="1" applyAlignment="1" applyProtection="1">
      <alignment horizontal="center" wrapText="1"/>
      <protection locked="0"/>
    </xf>
    <xf numFmtId="178" fontId="2" fillId="7" borderId="134" xfId="3" applyNumberFormat="1" applyFont="1" applyFill="1" applyBorder="1" applyAlignment="1" applyProtection="1">
      <alignment wrapText="1"/>
      <protection locked="0"/>
    </xf>
    <xf numFmtId="178" fontId="2" fillId="7" borderId="8" xfId="3" applyNumberFormat="1" applyFont="1" applyFill="1" applyBorder="1" applyAlignment="1" applyProtection="1">
      <alignment wrapText="1"/>
      <protection locked="0"/>
    </xf>
    <xf numFmtId="178" fontId="2" fillId="7" borderId="169" xfId="3" applyNumberFormat="1" applyFont="1" applyFill="1" applyBorder="1" applyAlignment="1" applyProtection="1">
      <alignment wrapText="1"/>
      <protection locked="0"/>
    </xf>
    <xf numFmtId="0" fontId="2" fillId="7" borderId="30" xfId="0" applyFont="1" applyFill="1" applyBorder="1" applyAlignment="1">
      <alignment vertical="top"/>
    </xf>
    <xf numFmtId="0" fontId="2" fillId="7" borderId="8" xfId="0" applyFont="1" applyFill="1" applyBorder="1" applyAlignment="1">
      <alignment vertical="top"/>
    </xf>
    <xf numFmtId="0" fontId="2" fillId="7" borderId="135" xfId="0" applyFont="1" applyFill="1" applyBorder="1" applyAlignment="1">
      <alignment vertical="top" wrapText="1"/>
    </xf>
    <xf numFmtId="0" fontId="2" fillId="7" borderId="8" xfId="0" applyFont="1" applyFill="1" applyBorder="1" applyAlignment="1" applyProtection="1">
      <alignment horizontal="right" wrapText="1"/>
      <protection locked="0"/>
    </xf>
    <xf numFmtId="191" fontId="2" fillId="7" borderId="8" xfId="0" applyNumberFormat="1" applyFont="1" applyFill="1" applyBorder="1" applyAlignment="1" applyProtection="1">
      <alignment horizontal="right" wrapText="1"/>
      <protection locked="0"/>
    </xf>
    <xf numFmtId="172" fontId="2" fillId="7" borderId="8" xfId="1" applyNumberFormat="1" applyFont="1" applyFill="1" applyBorder="1" applyAlignment="1" applyProtection="1">
      <alignment wrapText="1"/>
      <protection locked="0"/>
    </xf>
    <xf numFmtId="43" fontId="2" fillId="7" borderId="8" xfId="1" applyNumberFormat="1" applyFont="1" applyFill="1" applyBorder="1" applyAlignment="1" applyProtection="1">
      <alignment wrapText="1"/>
      <protection locked="0"/>
    </xf>
    <xf numFmtId="9" fontId="2" fillId="7" borderId="8" xfId="17" applyFont="1" applyFill="1" applyBorder="1" applyAlignment="1" applyProtection="1">
      <alignment wrapText="1"/>
      <protection locked="0"/>
    </xf>
    <xf numFmtId="190" fontId="2" fillId="7" borderId="8" xfId="1" applyNumberFormat="1" applyFont="1" applyFill="1" applyBorder="1" applyAlignment="1" applyProtection="1">
      <alignment wrapText="1"/>
      <protection locked="0"/>
    </xf>
    <xf numFmtId="0" fontId="2" fillId="7" borderId="2" xfId="0" applyFont="1" applyFill="1" applyBorder="1" applyAlignment="1">
      <alignment vertical="top"/>
    </xf>
    <xf numFmtId="172" fontId="2" fillId="7" borderId="37" xfId="1" applyNumberFormat="1" applyFont="1" applyFill="1" applyBorder="1" applyAlignment="1">
      <alignment vertical="top" wrapText="1"/>
    </xf>
    <xf numFmtId="0" fontId="2" fillId="7" borderId="0" xfId="0" applyFont="1" applyFill="1" applyBorder="1" applyAlignment="1">
      <alignment vertical="top" wrapText="1"/>
    </xf>
    <xf numFmtId="189" fontId="2" fillId="7" borderId="8" xfId="1" applyNumberFormat="1" applyFont="1" applyFill="1" applyBorder="1" applyAlignment="1" applyProtection="1">
      <alignment wrapText="1"/>
      <protection locked="0"/>
    </xf>
    <xf numFmtId="189" fontId="4" fillId="7" borderId="8" xfId="1" applyNumberFormat="1" applyFont="1" applyFill="1" applyBorder="1" applyAlignment="1" applyProtection="1">
      <alignment wrapText="1"/>
      <protection locked="0"/>
    </xf>
    <xf numFmtId="172" fontId="2" fillId="7" borderId="135" xfId="1" applyNumberFormat="1" applyFont="1" applyFill="1" applyBorder="1" applyAlignment="1" applyProtection="1">
      <alignment wrapText="1"/>
      <protection locked="0"/>
    </xf>
    <xf numFmtId="172" fontId="2" fillId="7" borderId="169" xfId="1" applyNumberFormat="1" applyFont="1" applyFill="1" applyBorder="1" applyAlignment="1" applyProtection="1">
      <alignment wrapText="1"/>
      <protection locked="0"/>
    </xf>
    <xf numFmtId="0" fontId="2" fillId="7" borderId="0" xfId="0" applyFont="1" applyFill="1" applyBorder="1" applyAlignment="1" applyProtection="1">
      <alignment horizontal="left" wrapText="1"/>
      <protection locked="0"/>
    </xf>
    <xf numFmtId="0" fontId="2" fillId="7" borderId="0" xfId="0" applyFont="1" applyFill="1" applyAlignment="1">
      <alignment vertical="top"/>
    </xf>
    <xf numFmtId="0" fontId="2" fillId="6" borderId="62" xfId="0" applyFont="1" applyFill="1" applyBorder="1" applyAlignment="1" applyProtection="1">
      <alignment vertical="top" wrapText="1"/>
      <protection locked="0"/>
    </xf>
    <xf numFmtId="0" fontId="2" fillId="6" borderId="88" xfId="0" applyFont="1" applyFill="1" applyBorder="1" applyAlignment="1" applyProtection="1">
      <alignment vertical="top" wrapText="1"/>
      <protection locked="0"/>
    </xf>
    <xf numFmtId="0" fontId="2" fillId="6" borderId="89" xfId="0" applyFont="1" applyFill="1" applyBorder="1" applyAlignment="1" applyProtection="1">
      <alignment vertical="top" wrapText="1"/>
      <protection locked="0"/>
    </xf>
    <xf numFmtId="0" fontId="4" fillId="20" borderId="0" xfId="0" applyFont="1" applyFill="1" applyAlignment="1" applyProtection="1">
      <protection locked="0"/>
    </xf>
    <xf numFmtId="0" fontId="16" fillId="20" borderId="0" xfId="0" applyFont="1" applyFill="1" applyAlignment="1" applyProtection="1">
      <alignment wrapText="1"/>
      <protection locked="0"/>
    </xf>
    <xf numFmtId="39" fontId="2" fillId="5" borderId="99" xfId="0" applyNumberFormat="1" applyFont="1" applyFill="1" applyBorder="1" applyAlignment="1" applyProtection="1">
      <alignment wrapText="1"/>
      <protection locked="0"/>
    </xf>
    <xf numFmtId="39" fontId="2" fillId="5" borderId="100" xfId="0" applyNumberFormat="1" applyFont="1" applyFill="1" applyBorder="1" applyAlignment="1" applyProtection="1">
      <alignment wrapText="1"/>
      <protection locked="0"/>
    </xf>
    <xf numFmtId="0" fontId="14" fillId="0" borderId="136" xfId="0" applyFont="1" applyBorder="1" applyAlignment="1" applyProtection="1">
      <alignment horizontal="left"/>
      <protection locked="0"/>
    </xf>
    <xf numFmtId="0" fontId="0" fillId="0" borderId="134" xfId="0" applyBorder="1" applyAlignment="1" applyProtection="1">
      <protection locked="0"/>
    </xf>
    <xf numFmtId="0" fontId="0" fillId="0" borderId="99" xfId="0" applyBorder="1" applyAlignment="1" applyProtection="1">
      <protection locked="0"/>
    </xf>
    <xf numFmtId="0" fontId="2" fillId="6" borderId="5" xfId="0" applyFont="1" applyFill="1" applyBorder="1" applyAlignment="1">
      <alignment horizontal="left" vertical="top" wrapText="1"/>
    </xf>
    <xf numFmtId="0" fontId="2" fillId="6" borderId="87" xfId="0" applyFont="1" applyFill="1" applyBorder="1" applyAlignment="1">
      <alignment horizontal="left" vertical="top" wrapText="1"/>
    </xf>
    <xf numFmtId="7" fontId="6" fillId="3" borderId="62" xfId="0" applyNumberFormat="1" applyFont="1" applyFill="1" applyBorder="1" applyAlignment="1">
      <alignment horizontal="left" vertical="top" wrapText="1"/>
    </xf>
    <xf numFmtId="0" fontId="6" fillId="3" borderId="57" xfId="0" applyFont="1" applyFill="1" applyBorder="1" applyAlignment="1">
      <alignment horizontal="left" vertical="top" wrapText="1"/>
    </xf>
    <xf numFmtId="0" fontId="2" fillId="6" borderId="0" xfId="0" quotePrefix="1" applyFont="1" applyFill="1" applyAlignment="1">
      <alignment horizontal="left"/>
    </xf>
    <xf numFmtId="0" fontId="2" fillId="6" borderId="5" xfId="0" quotePrefix="1" applyFont="1" applyFill="1" applyBorder="1" applyAlignment="1">
      <alignment horizontal="left"/>
    </xf>
    <xf numFmtId="0" fontId="4" fillId="0" borderId="0" xfId="0" applyFont="1" applyAlignment="1">
      <alignment horizontal="center" wrapText="1"/>
    </xf>
    <xf numFmtId="0" fontId="4" fillId="0" borderId="59" xfId="0" applyFont="1" applyBorder="1" applyAlignment="1">
      <alignment horizontal="center" wrapText="1"/>
    </xf>
    <xf numFmtId="0" fontId="4" fillId="6" borderId="0" xfId="0" applyFont="1" applyFill="1" applyBorder="1" applyAlignment="1">
      <alignment horizontal="left" vertical="top" wrapText="1"/>
    </xf>
    <xf numFmtId="0" fontId="4" fillId="6" borderId="5" xfId="0" applyFont="1" applyFill="1" applyBorder="1" applyAlignment="1">
      <alignment horizontal="left" vertical="top" wrapText="1"/>
    </xf>
    <xf numFmtId="0" fontId="2" fillId="6" borderId="0" xfId="0" applyFont="1" applyFill="1" applyAlignment="1">
      <alignment horizontal="left" vertical="top" wrapText="1"/>
    </xf>
    <xf numFmtId="0" fontId="4" fillId="6" borderId="0" xfId="0" applyFont="1" applyFill="1" applyBorder="1" applyAlignment="1">
      <alignment horizontal="right" vertical="top" wrapText="1"/>
    </xf>
    <xf numFmtId="0" fontId="4" fillId="6" borderId="5" xfId="0" applyFont="1" applyFill="1" applyBorder="1" applyAlignment="1">
      <alignment horizontal="right" vertical="top" wrapText="1"/>
    </xf>
    <xf numFmtId="0" fontId="2" fillId="6" borderId="0" xfId="0" quotePrefix="1"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4" xfId="0" quotePrefix="1" applyFont="1" applyFill="1" applyBorder="1" applyAlignment="1">
      <alignment horizontal="left" vertical="top" wrapText="1"/>
    </xf>
    <xf numFmtId="0" fontId="0" fillId="6" borderId="5" xfId="0" quotePrefix="1" applyFill="1" applyBorder="1" applyAlignment="1">
      <alignment horizontal="left" vertical="top" wrapText="1"/>
    </xf>
    <xf numFmtId="0" fontId="2" fillId="6" borderId="4" xfId="0" quotePrefix="1" applyFont="1" applyFill="1" applyBorder="1" applyAlignment="1">
      <alignment horizontal="left" vertical="top" wrapText="1" indent="1"/>
    </xf>
    <xf numFmtId="0" fontId="2" fillId="6" borderId="5" xfId="0" quotePrefix="1" applyFont="1" applyFill="1" applyBorder="1" applyAlignment="1">
      <alignment horizontal="left" vertical="top" wrapText="1" indent="1"/>
    </xf>
    <xf numFmtId="0" fontId="2" fillId="6" borderId="4" xfId="0" applyFont="1" applyFill="1" applyBorder="1" applyAlignment="1">
      <alignment horizontal="left" vertical="top" wrapText="1"/>
    </xf>
    <xf numFmtId="0" fontId="0" fillId="6" borderId="4" xfId="0" quotePrefix="1" applyFill="1" applyBorder="1" applyAlignment="1">
      <alignment horizontal="left" vertical="top" wrapText="1"/>
    </xf>
    <xf numFmtId="0" fontId="32" fillId="2" borderId="1" xfId="0" applyFont="1" applyFill="1" applyBorder="1" applyAlignment="1">
      <alignment horizontal="center" vertical="top" wrapText="1"/>
    </xf>
    <xf numFmtId="0" fontId="26" fillId="2" borderId="2" xfId="0" applyFont="1" applyFill="1" applyBorder="1" applyAlignment="1">
      <alignment horizontal="center" vertical="top" wrapText="1"/>
    </xf>
    <xf numFmtId="0" fontId="26" fillId="2" borderId="79" xfId="0" applyFont="1" applyFill="1" applyBorder="1" applyAlignment="1">
      <alignment horizontal="center" vertical="top" wrapText="1"/>
    </xf>
    <xf numFmtId="0" fontId="26" fillId="2" borderId="64" xfId="0" applyFont="1" applyFill="1" applyBorder="1" applyAlignment="1">
      <alignment horizontal="center" vertical="top" wrapText="1"/>
    </xf>
    <xf numFmtId="0" fontId="13" fillId="5" borderId="142" xfId="0" applyFont="1" applyFill="1" applyBorder="1" applyAlignment="1">
      <alignment horizontal="left" vertical="center" wrapText="1"/>
    </xf>
    <xf numFmtId="0" fontId="13" fillId="5" borderId="79" xfId="0" applyFont="1" applyFill="1" applyBorder="1" applyAlignment="1">
      <alignment horizontal="left" vertical="center" wrapText="1"/>
    </xf>
    <xf numFmtId="0" fontId="13" fillId="5" borderId="64" xfId="0" applyFont="1" applyFill="1" applyBorder="1" applyAlignment="1">
      <alignment horizontal="left" vertical="center" wrapText="1"/>
    </xf>
    <xf numFmtId="0" fontId="26" fillId="2" borderId="0" xfId="0" applyFont="1" applyFill="1" applyBorder="1" applyAlignment="1">
      <alignment horizontal="right" vertical="center" wrapText="1"/>
    </xf>
    <xf numFmtId="0" fontId="2" fillId="6" borderId="0" xfId="0" applyFont="1" applyFill="1" applyBorder="1" applyAlignment="1">
      <alignment horizontal="left" vertical="top" wrapText="1"/>
    </xf>
    <xf numFmtId="0" fontId="2" fillId="4" borderId="4" xfId="0" applyFont="1" applyFill="1" applyBorder="1" applyAlignment="1">
      <alignment horizontal="left" vertical="top" wrapText="1"/>
    </xf>
    <xf numFmtId="0" fontId="13" fillId="2" borderId="95" xfId="0" applyFont="1" applyFill="1" applyBorder="1" applyAlignment="1">
      <alignment horizontal="left" vertical="top" wrapText="1"/>
    </xf>
    <xf numFmtId="0" fontId="13" fillId="2" borderId="96" xfId="0" applyFont="1" applyFill="1" applyBorder="1" applyAlignment="1">
      <alignment horizontal="left" vertical="top" wrapText="1"/>
    </xf>
    <xf numFmtId="0" fontId="2" fillId="6" borderId="0" xfId="0" quotePrefix="1" applyFont="1" applyFill="1" applyBorder="1" applyAlignment="1">
      <alignment horizontal="left" vertical="top" wrapText="1"/>
    </xf>
    <xf numFmtId="0" fontId="2" fillId="0" borderId="0" xfId="0" applyFont="1" applyFill="1" applyBorder="1" applyAlignment="1">
      <alignment horizontal="left" vertical="center" wrapText="1"/>
    </xf>
    <xf numFmtId="0" fontId="2" fillId="6" borderId="154" xfId="0" applyFont="1" applyFill="1" applyBorder="1" applyAlignment="1">
      <alignment horizontal="left" vertical="top" wrapText="1"/>
    </xf>
    <xf numFmtId="0" fontId="2" fillId="6" borderId="155" xfId="0" applyFont="1" applyFill="1" applyBorder="1" applyAlignment="1">
      <alignment horizontal="left" vertical="top" wrapText="1"/>
    </xf>
    <xf numFmtId="0" fontId="2" fillId="6" borderId="184" xfId="0" applyFont="1" applyFill="1" applyBorder="1" applyAlignment="1" applyProtection="1">
      <alignment horizontal="left" vertical="top" wrapText="1"/>
      <protection locked="0"/>
    </xf>
    <xf numFmtId="0" fontId="2" fillId="6" borderId="45" xfId="0" applyFont="1" applyFill="1" applyBorder="1" applyAlignment="1" applyProtection="1">
      <alignment horizontal="left" vertical="top" wrapText="1"/>
      <protection locked="0"/>
    </xf>
    <xf numFmtId="0" fontId="2" fillId="6" borderId="31" xfId="0" applyFont="1" applyFill="1" applyBorder="1" applyAlignment="1" applyProtection="1">
      <alignment horizontal="left" vertical="top" wrapText="1"/>
      <protection locked="0"/>
    </xf>
    <xf numFmtId="0" fontId="2" fillId="6" borderId="44" xfId="0" applyFont="1" applyFill="1" applyBorder="1" applyAlignment="1" applyProtection="1">
      <alignment wrapText="1"/>
      <protection locked="0"/>
    </xf>
    <xf numFmtId="0" fontId="2" fillId="0" borderId="0" xfId="0" applyFont="1" applyBorder="1" applyAlignment="1"/>
    <xf numFmtId="0" fontId="2" fillId="0" borderId="5" xfId="0" applyFont="1" applyBorder="1" applyAlignment="1"/>
    <xf numFmtId="0" fontId="2" fillId="6" borderId="156" xfId="0" applyFont="1" applyFill="1" applyBorder="1" applyAlignment="1" applyProtection="1">
      <alignment wrapText="1"/>
      <protection locked="0"/>
    </xf>
    <xf numFmtId="0" fontId="2" fillId="0" borderId="59" xfId="0" applyFont="1" applyBorder="1" applyAlignment="1"/>
    <xf numFmtId="0" fontId="2" fillId="0" borderId="87" xfId="0" applyFont="1" applyBorder="1" applyAlignment="1"/>
    <xf numFmtId="0" fontId="4" fillId="2" borderId="59" xfId="0" applyFont="1" applyFill="1" applyBorder="1" applyAlignment="1" applyProtection="1">
      <alignment horizontal="center" wrapText="1"/>
      <protection locked="0"/>
    </xf>
    <xf numFmtId="0" fontId="2" fillId="0" borderId="0" xfId="0" applyFont="1" applyAlignment="1">
      <alignment horizontal="left" wrapText="1"/>
    </xf>
    <xf numFmtId="0" fontId="2" fillId="6" borderId="148" xfId="0" applyFont="1" applyFill="1" applyBorder="1" applyAlignment="1" applyProtection="1">
      <alignment wrapText="1"/>
      <protection locked="0"/>
    </xf>
    <xf numFmtId="0" fontId="2" fillId="0" borderId="148" xfId="0" applyFont="1" applyBorder="1" applyAlignment="1"/>
    <xf numFmtId="0" fontId="2" fillId="0" borderId="152" xfId="0" applyFont="1" applyBorder="1" applyAlignment="1"/>
    <xf numFmtId="0" fontId="2" fillId="6" borderId="157" xfId="0" applyFont="1" applyFill="1" applyBorder="1" applyAlignment="1" applyProtection="1">
      <alignment wrapText="1"/>
      <protection locked="0"/>
    </xf>
    <xf numFmtId="0" fontId="2" fillId="0" borderId="2" xfId="0" applyFont="1" applyBorder="1" applyAlignment="1"/>
    <xf numFmtId="0" fontId="2" fillId="0" borderId="3" xfId="0" applyFont="1" applyBorder="1" applyAlignment="1"/>
    <xf numFmtId="2" fontId="5" fillId="2" borderId="4" xfId="5" applyNumberFormat="1" applyFill="1" applyBorder="1" applyAlignment="1" applyProtection="1">
      <alignment horizontal="left" vertical="top" wrapText="1"/>
      <protection locked="0"/>
    </xf>
    <xf numFmtId="2" fontId="5" fillId="2" borderId="0" xfId="5" applyNumberFormat="1" applyFill="1" applyBorder="1" applyAlignment="1" applyProtection="1">
      <alignment horizontal="left" vertical="top" wrapText="1"/>
      <protection locked="0"/>
    </xf>
    <xf numFmtId="0" fontId="12" fillId="2" borderId="0" xfId="0" applyFont="1" applyFill="1" applyBorder="1" applyAlignment="1" applyProtection="1">
      <alignment horizontal="left" vertical="top" wrapText="1"/>
      <protection locked="0"/>
    </xf>
    <xf numFmtId="2" fontId="12" fillId="2" borderId="0" xfId="0" applyNumberFormat="1" applyFont="1" applyFill="1" applyBorder="1" applyAlignment="1" applyProtection="1">
      <alignment horizontal="left" vertical="top" wrapText="1"/>
      <protection locked="0"/>
    </xf>
    <xf numFmtId="2" fontId="5" fillId="0" borderId="4" xfId="5" applyNumberFormat="1" applyFill="1" applyBorder="1" applyAlignment="1" applyProtection="1">
      <alignment horizontal="left" vertical="top" wrapText="1"/>
      <protection locked="0"/>
    </xf>
    <xf numFmtId="2" fontId="12" fillId="0" borderId="0" xfId="0" applyNumberFormat="1" applyFont="1" applyFill="1" applyBorder="1" applyAlignment="1" applyProtection="1">
      <alignment horizontal="left" vertical="top" wrapText="1"/>
      <protection locked="0"/>
    </xf>
    <xf numFmtId="0" fontId="2" fillId="6" borderId="142" xfId="0" applyFont="1" applyFill="1" applyBorder="1" applyAlignment="1">
      <alignment horizontal="left" vertical="top" wrapText="1"/>
    </xf>
    <xf numFmtId="0" fontId="2" fillId="7" borderId="64" xfId="0" applyFont="1" applyFill="1" applyBorder="1" applyAlignment="1">
      <alignment horizontal="left" vertical="top" wrapText="1"/>
    </xf>
    <xf numFmtId="0" fontId="2" fillId="6" borderId="55" xfId="0" applyFont="1" applyFill="1" applyBorder="1" applyAlignment="1">
      <alignment horizontal="left" vertical="top" wrapText="1"/>
    </xf>
    <xf numFmtId="0" fontId="2" fillId="6" borderId="116" xfId="0" applyFont="1" applyFill="1" applyBorder="1" applyAlignment="1">
      <alignment horizontal="left" vertical="top" wrapText="1"/>
    </xf>
    <xf numFmtId="0" fontId="15" fillId="22" borderId="115" xfId="0" applyFont="1" applyFill="1" applyBorder="1" applyAlignment="1">
      <alignment horizontal="left" vertical="top" wrapText="1"/>
    </xf>
    <xf numFmtId="0" fontId="15" fillId="22" borderId="98" xfId="0" applyFont="1" applyFill="1" applyBorder="1" applyAlignment="1">
      <alignment horizontal="left" vertical="top" wrapText="1"/>
    </xf>
    <xf numFmtId="0" fontId="15" fillId="22" borderId="127" xfId="0" applyFont="1" applyFill="1" applyBorder="1" applyAlignment="1">
      <alignment horizontal="left" vertical="top" wrapText="1"/>
    </xf>
    <xf numFmtId="0" fontId="15" fillId="22" borderId="113" xfId="0" applyFont="1" applyFill="1" applyBorder="1" applyAlignment="1">
      <alignment horizontal="left" vertical="top" wrapText="1"/>
    </xf>
    <xf numFmtId="0" fontId="15" fillId="22" borderId="63" xfId="0" applyFont="1" applyFill="1" applyBorder="1" applyAlignment="1">
      <alignment horizontal="left" vertical="top" wrapText="1"/>
    </xf>
    <xf numFmtId="0" fontId="15" fillId="22" borderId="172" xfId="0" applyFont="1" applyFill="1" applyBorder="1" applyAlignment="1">
      <alignment horizontal="left" vertical="top" wrapText="1"/>
    </xf>
    <xf numFmtId="0" fontId="15" fillId="22" borderId="173" xfId="0" applyFont="1" applyFill="1" applyBorder="1" applyAlignment="1">
      <alignment horizontal="left" vertical="top" wrapText="1"/>
    </xf>
    <xf numFmtId="0" fontId="15" fillId="22" borderId="142" xfId="0" applyFont="1" applyFill="1" applyBorder="1" applyAlignment="1">
      <alignment horizontal="left" vertical="top" wrapText="1"/>
    </xf>
    <xf numFmtId="0" fontId="15" fillId="22" borderId="79" xfId="0" applyFont="1" applyFill="1" applyBorder="1" applyAlignment="1">
      <alignment horizontal="left" vertical="top" wrapText="1"/>
    </xf>
    <xf numFmtId="0" fontId="15" fillId="22" borderId="172" xfId="0" applyFont="1" applyFill="1" applyBorder="1" applyAlignment="1">
      <alignment horizontal="left" vertical="top"/>
    </xf>
    <xf numFmtId="0" fontId="15" fillId="22" borderId="173" xfId="0" applyFont="1" applyFill="1" applyBorder="1" applyAlignment="1">
      <alignment horizontal="left" vertical="top"/>
    </xf>
    <xf numFmtId="0" fontId="6" fillId="20" borderId="112" xfId="0" applyFont="1" applyFill="1" applyBorder="1" applyAlignment="1">
      <alignment horizontal="left" vertical="top" wrapText="1"/>
    </xf>
    <xf numFmtId="0" fontId="6" fillId="20" borderId="113" xfId="0" applyFont="1" applyFill="1" applyBorder="1" applyAlignment="1">
      <alignment horizontal="left" vertical="top" wrapText="1"/>
    </xf>
    <xf numFmtId="0" fontId="15" fillId="22" borderId="138" xfId="0" applyFont="1" applyFill="1" applyBorder="1" applyAlignment="1">
      <alignment horizontal="left" vertical="top" wrapText="1"/>
    </xf>
    <xf numFmtId="0" fontId="15" fillId="22" borderId="139" xfId="0" applyFont="1" applyFill="1" applyBorder="1" applyAlignment="1">
      <alignment horizontal="left" vertical="top" wrapText="1"/>
    </xf>
    <xf numFmtId="0" fontId="2" fillId="6" borderId="108" xfId="0" applyFont="1" applyFill="1" applyBorder="1" applyAlignment="1">
      <alignment horizontal="left" vertical="top" wrapText="1"/>
    </xf>
    <xf numFmtId="0" fontId="2" fillId="6" borderId="61" xfId="0" applyFont="1" applyFill="1" applyBorder="1" applyAlignment="1">
      <alignment horizontal="left" vertical="top" wrapText="1"/>
    </xf>
    <xf numFmtId="0" fontId="2" fillId="6" borderId="111" xfId="0" applyFont="1" applyFill="1" applyBorder="1" applyAlignment="1">
      <alignment horizontal="left" vertical="top" wrapText="1"/>
    </xf>
    <xf numFmtId="0" fontId="15" fillId="20" borderId="0" xfId="0" applyFont="1" applyFill="1" applyAlignment="1">
      <alignment horizontal="left" vertical="top" wrapText="1"/>
    </xf>
    <xf numFmtId="0" fontId="2" fillId="6" borderId="55" xfId="0" applyFont="1" applyFill="1" applyBorder="1" applyAlignment="1" applyProtection="1">
      <alignment horizontal="left" vertical="top" wrapText="1"/>
      <protection locked="0"/>
    </xf>
    <xf numFmtId="0" fontId="2" fillId="6" borderId="98" xfId="0" applyFont="1" applyFill="1" applyBorder="1" applyAlignment="1" applyProtection="1">
      <alignment horizontal="left" vertical="top" wrapText="1"/>
      <protection locked="0"/>
    </xf>
    <xf numFmtId="0" fontId="2" fillId="6" borderId="18" xfId="0" applyFont="1" applyFill="1" applyBorder="1" applyAlignment="1" applyProtection="1">
      <alignment horizontal="left" vertical="top" wrapText="1"/>
      <protection locked="0"/>
    </xf>
    <xf numFmtId="0" fontId="6" fillId="20" borderId="63" xfId="0" applyFont="1" applyFill="1" applyBorder="1" applyAlignment="1">
      <alignment horizontal="left" vertical="top" wrapText="1"/>
    </xf>
    <xf numFmtId="0" fontId="6" fillId="20" borderId="98" xfId="0" applyFont="1" applyFill="1" applyBorder="1" applyAlignment="1">
      <alignment horizontal="left" vertical="top" wrapText="1"/>
    </xf>
    <xf numFmtId="0" fontId="2" fillId="20" borderId="118" xfId="0" applyFont="1" applyFill="1" applyBorder="1" applyAlignment="1">
      <alignment horizontal="left" vertical="top" wrapText="1"/>
    </xf>
    <xf numFmtId="0" fontId="2" fillId="20" borderId="119" xfId="0" applyFont="1" applyFill="1" applyBorder="1" applyAlignment="1">
      <alignment horizontal="left" vertical="top" wrapText="1"/>
    </xf>
    <xf numFmtId="0" fontId="17" fillId="20" borderId="40" xfId="0" applyFont="1" applyFill="1" applyBorder="1" applyAlignment="1">
      <alignment horizontal="left" vertical="top" wrapText="1"/>
    </xf>
    <xf numFmtId="0" fontId="17" fillId="20" borderId="106" xfId="0" applyFont="1" applyFill="1" applyBorder="1" applyAlignment="1">
      <alignment horizontal="left" vertical="top" wrapText="1"/>
    </xf>
    <xf numFmtId="0" fontId="2" fillId="20" borderId="107" xfId="0" applyFont="1" applyFill="1" applyBorder="1" applyAlignment="1">
      <alignment vertical="top" wrapText="1"/>
    </xf>
    <xf numFmtId="0" fontId="2" fillId="20" borderId="98" xfId="0" applyFont="1" applyFill="1" applyBorder="1" applyAlignment="1">
      <alignment horizontal="left" vertical="top" wrapText="1"/>
    </xf>
    <xf numFmtId="0" fontId="2" fillId="20" borderId="116" xfId="0" applyFont="1" applyFill="1" applyBorder="1" applyAlignment="1">
      <alignment horizontal="left" vertical="top" wrapText="1"/>
    </xf>
    <xf numFmtId="0" fontId="2" fillId="20" borderId="129" xfId="0" applyFont="1" applyFill="1" applyBorder="1" applyAlignment="1">
      <alignment horizontal="left" vertical="top" wrapText="1"/>
    </xf>
    <xf numFmtId="0" fontId="2" fillId="20" borderId="151" xfId="0" applyFont="1" applyFill="1" applyBorder="1" applyAlignment="1">
      <alignment horizontal="left" vertical="top" wrapText="1"/>
    </xf>
    <xf numFmtId="0" fontId="15" fillId="22" borderId="63" xfId="0" applyFont="1" applyFill="1" applyBorder="1" applyAlignment="1">
      <alignment horizontal="left" vertical="top"/>
    </xf>
    <xf numFmtId="0" fontId="15" fillId="22" borderId="98" xfId="0" applyFont="1" applyFill="1" applyBorder="1" applyAlignment="1">
      <alignment horizontal="left" vertical="top"/>
    </xf>
    <xf numFmtId="173" fontId="18" fillId="7" borderId="40" xfId="16" applyFont="1" applyFill="1" applyBorder="1" applyAlignment="1" applyProtection="1">
      <alignment horizontal="left"/>
    </xf>
    <xf numFmtId="173" fontId="18" fillId="7" borderId="106" xfId="16" applyFont="1" applyFill="1" applyBorder="1" applyAlignment="1" applyProtection="1">
      <alignment horizontal="left"/>
    </xf>
    <xf numFmtId="173" fontId="18" fillId="7" borderId="107" xfId="16" applyFont="1" applyFill="1" applyBorder="1" applyAlignment="1" applyProtection="1">
      <alignment horizontal="left"/>
    </xf>
    <xf numFmtId="0" fontId="0" fillId="0" borderId="65" xfId="0" applyBorder="1" applyAlignment="1">
      <alignment horizontal="left" wrapText="1"/>
    </xf>
    <xf numFmtId="173" fontId="18" fillId="0" borderId="75" xfId="16" applyFont="1" applyBorder="1" applyAlignment="1" applyProtection="1">
      <alignment horizontal="left"/>
    </xf>
    <xf numFmtId="173" fontId="18" fillId="0" borderId="76" xfId="16" applyFont="1" applyBorder="1" applyAlignment="1" applyProtection="1">
      <alignment horizontal="left"/>
    </xf>
    <xf numFmtId="173" fontId="18" fillId="0" borderId="142" xfId="16" applyFont="1" applyBorder="1" applyAlignment="1" applyProtection="1">
      <alignment horizontal="left"/>
    </xf>
    <xf numFmtId="173" fontId="18" fillId="0" borderId="79" xfId="16" applyFont="1" applyBorder="1" applyAlignment="1" applyProtection="1">
      <alignment horizontal="left"/>
    </xf>
    <xf numFmtId="173" fontId="12" fillId="0" borderId="63" xfId="16" applyFont="1" applyBorder="1" applyAlignment="1" applyProtection="1">
      <alignment horizontal="left" vertical="center" wrapText="1"/>
    </xf>
    <xf numFmtId="173" fontId="12" fillId="0" borderId="98" xfId="16" applyFont="1" applyBorder="1" applyAlignment="1" applyProtection="1">
      <alignment horizontal="left" vertical="center" wrapText="1"/>
    </xf>
    <xf numFmtId="173" fontId="12" fillId="0" borderId="127" xfId="16" applyFont="1" applyBorder="1" applyAlignment="1" applyProtection="1">
      <alignment horizontal="left" vertical="center" wrapText="1"/>
    </xf>
    <xf numFmtId="173" fontId="12" fillId="0" borderId="113" xfId="16" applyFont="1" applyBorder="1" applyAlignment="1" applyProtection="1">
      <alignment horizontal="left" vertical="center" wrapText="1"/>
    </xf>
    <xf numFmtId="173" fontId="12" fillId="0" borderId="109" xfId="16" applyFont="1" applyBorder="1" applyAlignment="1" applyProtection="1">
      <alignment horizontal="left" vertical="center" wrapText="1"/>
    </xf>
    <xf numFmtId="173" fontId="12" fillId="0" borderId="120" xfId="16" applyFont="1" applyBorder="1" applyAlignment="1" applyProtection="1">
      <alignment horizontal="left" vertical="center" wrapText="1"/>
    </xf>
    <xf numFmtId="0" fontId="2" fillId="19" borderId="8" xfId="0" applyFont="1" applyFill="1" applyBorder="1" applyAlignment="1">
      <alignment horizontal="left"/>
    </xf>
    <xf numFmtId="9" fontId="0" fillId="5" borderId="8" xfId="17" applyFont="1" applyFill="1" applyBorder="1" applyAlignment="1">
      <alignment horizontal="center" vertical="top" wrapText="1"/>
    </xf>
    <xf numFmtId="173" fontId="18" fillId="0" borderId="9" xfId="16" applyFont="1" applyBorder="1" applyAlignment="1" applyProtection="1">
      <alignment wrapText="1"/>
    </xf>
    <xf numFmtId="173" fontId="18" fillId="0" borderId="167" xfId="16" applyFont="1" applyBorder="1" applyAlignment="1" applyProtection="1">
      <alignment wrapText="1"/>
    </xf>
    <xf numFmtId="173" fontId="18" fillId="20" borderId="46" xfId="16" applyFont="1" applyFill="1" applyBorder="1" applyAlignment="1" applyProtection="1">
      <alignment wrapText="1"/>
    </xf>
    <xf numFmtId="0" fontId="0" fillId="20" borderId="47" xfId="0" applyFill="1" applyBorder="1" applyAlignment="1" applyProtection="1">
      <alignment wrapText="1"/>
    </xf>
    <xf numFmtId="0" fontId="4" fillId="0" borderId="2" xfId="0" applyFont="1" applyFill="1" applyBorder="1" applyAlignment="1">
      <alignment horizontal="left" vertical="center" wrapText="1"/>
    </xf>
    <xf numFmtId="0" fontId="4" fillId="0" borderId="3" xfId="0" applyFont="1" applyFill="1" applyBorder="1" applyAlignment="1">
      <alignment horizontal="left" vertical="center" wrapText="1"/>
    </xf>
    <xf numFmtId="0" fontId="4" fillId="0" borderId="0" xfId="0" applyFont="1" applyFill="1" applyBorder="1" applyAlignment="1">
      <alignment horizontal="center"/>
    </xf>
    <xf numFmtId="0" fontId="4" fillId="0" borderId="5" xfId="0" applyFont="1" applyFill="1" applyBorder="1" applyAlignment="1">
      <alignment horizontal="center"/>
    </xf>
    <xf numFmtId="0" fontId="46" fillId="0" borderId="4" xfId="0" applyFont="1" applyFill="1" applyBorder="1" applyAlignment="1">
      <alignment horizontal="center"/>
    </xf>
    <xf numFmtId="0" fontId="46" fillId="0" borderId="0" xfId="0" applyFont="1" applyFill="1" applyBorder="1" applyAlignment="1">
      <alignment horizontal="center"/>
    </xf>
    <xf numFmtId="0" fontId="5" fillId="0" borderId="58" xfId="5" applyBorder="1" applyAlignment="1" applyProtection="1">
      <alignment horizontal="left"/>
    </xf>
    <xf numFmtId="0" fontId="5" fillId="0" borderId="59" xfId="5" applyBorder="1" applyAlignment="1" applyProtection="1">
      <alignment horizontal="left"/>
    </xf>
    <xf numFmtId="0" fontId="5" fillId="0" borderId="87" xfId="5" applyBorder="1" applyAlignment="1" applyProtection="1">
      <alignment horizontal="left"/>
    </xf>
    <xf numFmtId="0" fontId="4" fillId="3" borderId="4" xfId="0" applyFont="1" applyFill="1" applyBorder="1" applyAlignment="1">
      <alignment horizontal="center"/>
    </xf>
    <xf numFmtId="0" fontId="4" fillId="3" borderId="0" xfId="0" applyFont="1" applyFill="1" applyBorder="1" applyAlignment="1">
      <alignment horizontal="center"/>
    </xf>
    <xf numFmtId="0" fontId="4" fillId="0" borderId="0"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6" fillId="0" borderId="4" xfId="0" applyFont="1" applyFill="1" applyBorder="1" applyAlignment="1">
      <alignment horizontal="left" wrapText="1"/>
    </xf>
    <xf numFmtId="0" fontId="46" fillId="0" borderId="0" xfId="0" applyFont="1" applyFill="1" applyBorder="1" applyAlignment="1">
      <alignment horizontal="left" wrapText="1"/>
    </xf>
    <xf numFmtId="0" fontId="46" fillId="0" borderId="5" xfId="0" applyFont="1" applyFill="1" applyBorder="1" applyAlignment="1">
      <alignment horizontal="left" wrapText="1"/>
    </xf>
    <xf numFmtId="0" fontId="46" fillId="0" borderId="4" xfId="0" applyFont="1" applyFill="1" applyBorder="1" applyAlignment="1">
      <alignment horizontal="left"/>
    </xf>
    <xf numFmtId="0" fontId="46" fillId="0" borderId="0" xfId="0" applyFont="1" applyFill="1" applyBorder="1" applyAlignment="1">
      <alignment horizontal="left"/>
    </xf>
    <xf numFmtId="0" fontId="46" fillId="0" borderId="5" xfId="0" applyFont="1" applyFill="1" applyBorder="1" applyAlignment="1">
      <alignment horizontal="left"/>
    </xf>
    <xf numFmtId="0" fontId="43" fillId="13" borderId="0" xfId="0" applyFont="1" applyFill="1" applyAlignment="1">
      <alignment horizontal="left"/>
    </xf>
    <xf numFmtId="0" fontId="44" fillId="0" borderId="0" xfId="0" applyFont="1" applyFill="1" applyBorder="1" applyAlignment="1" applyProtection="1">
      <alignment horizontal="left"/>
    </xf>
    <xf numFmtId="0" fontId="44" fillId="0" borderId="59" xfId="0" applyFont="1" applyFill="1" applyBorder="1" applyAlignment="1" applyProtection="1">
      <alignment horizontal="left"/>
    </xf>
    <xf numFmtId="0" fontId="44" fillId="3" borderId="4" xfId="0" applyFont="1" applyFill="1" applyBorder="1" applyAlignment="1">
      <alignment horizontal="left"/>
    </xf>
    <xf numFmtId="0" fontId="44" fillId="3" borderId="0" xfId="0" applyFont="1" applyFill="1" applyBorder="1" applyAlignment="1">
      <alignment horizontal="left"/>
    </xf>
    <xf numFmtId="0" fontId="4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2" fillId="0" borderId="2" xfId="0" applyFont="1" applyFill="1" applyBorder="1" applyAlignment="1">
      <alignment horizontal="left" wrapText="1"/>
    </xf>
    <xf numFmtId="0" fontId="46" fillId="0" borderId="2" xfId="0" applyFont="1" applyFill="1" applyBorder="1" applyAlignment="1">
      <alignment horizontal="left" wrapText="1"/>
    </xf>
    <xf numFmtId="0" fontId="43" fillId="13" borderId="0" xfId="0" applyFont="1" applyFill="1" applyBorder="1" applyAlignment="1">
      <alignment horizontal="left" wrapText="1"/>
    </xf>
    <xf numFmtId="0" fontId="0" fillId="0" borderId="59" xfId="0" applyBorder="1" applyAlignment="1">
      <alignment horizontal="left"/>
    </xf>
    <xf numFmtId="0" fontId="4" fillId="0" borderId="2" xfId="0" applyFont="1" applyFill="1" applyBorder="1" applyAlignment="1">
      <alignment horizontal="center"/>
    </xf>
    <xf numFmtId="0" fontId="8" fillId="0" borderId="4" xfId="0" applyFont="1" applyFill="1" applyBorder="1" applyAlignment="1">
      <alignment wrapText="1"/>
    </xf>
    <xf numFmtId="0" fontId="8" fillId="0" borderId="0" xfId="0" applyFont="1" applyFill="1" applyBorder="1" applyAlignment="1">
      <alignment wrapText="1"/>
    </xf>
    <xf numFmtId="0" fontId="8" fillId="0" borderId="5" xfId="0" applyFont="1" applyFill="1" applyBorder="1" applyAlignment="1">
      <alignment wrapText="1"/>
    </xf>
    <xf numFmtId="0" fontId="9" fillId="3" borderId="4" xfId="0" applyFont="1" applyFill="1" applyBorder="1" applyAlignment="1">
      <alignment horizontal="left" vertical="center" wrapText="1"/>
    </xf>
    <xf numFmtId="0" fontId="9" fillId="3" borderId="0" xfId="0" applyFont="1" applyFill="1" applyBorder="1" applyAlignment="1">
      <alignment horizontal="left" vertical="center" wrapText="1"/>
    </xf>
    <xf numFmtId="0" fontId="9" fillId="3" borderId="5" xfId="0" applyFont="1" applyFill="1" applyBorder="1" applyAlignment="1">
      <alignment horizontal="left" vertical="center" wrapText="1"/>
    </xf>
    <xf numFmtId="0" fontId="6" fillId="0" borderId="24" xfId="0" applyFont="1" applyBorder="1" applyAlignment="1">
      <alignment horizontal="left"/>
    </xf>
    <xf numFmtId="0" fontId="6" fillId="0" borderId="66" xfId="0" applyFont="1" applyBorder="1" applyAlignment="1">
      <alignment horizontal="left"/>
    </xf>
    <xf numFmtId="0" fontId="8" fillId="2" borderId="4" xfId="0" applyFont="1" applyFill="1" applyBorder="1" applyAlignment="1">
      <alignment horizontal="left" wrapText="1"/>
    </xf>
    <xf numFmtId="0" fontId="8" fillId="2" borderId="0" xfId="0" applyFont="1" applyFill="1" applyBorder="1" applyAlignment="1">
      <alignment horizontal="left" wrapText="1"/>
    </xf>
    <xf numFmtId="0" fontId="8" fillId="2" borderId="5" xfId="0" applyFont="1" applyFill="1" applyBorder="1" applyAlignment="1">
      <alignment horizontal="left" wrapText="1"/>
    </xf>
    <xf numFmtId="0" fontId="7" fillId="13" borderId="0" xfId="0" applyFont="1" applyFill="1" applyBorder="1" applyAlignment="1">
      <alignment wrapText="1"/>
    </xf>
    <xf numFmtId="0" fontId="0" fillId="0" borderId="0" xfId="0" applyBorder="1"/>
    <xf numFmtId="0" fontId="8" fillId="0" borderId="59" xfId="0" applyFont="1" applyFill="1" applyBorder="1" applyAlignment="1">
      <alignment horizontal="left" wrapText="1"/>
    </xf>
    <xf numFmtId="0" fontId="9" fillId="2" borderId="2" xfId="0" applyFont="1" applyFill="1" applyBorder="1" applyAlignment="1">
      <alignment horizontal="center" vertical="center" wrapText="1"/>
    </xf>
    <xf numFmtId="0" fontId="8" fillId="2" borderId="4" xfId="0" applyFont="1" applyFill="1" applyBorder="1" applyAlignment="1">
      <alignment wrapText="1"/>
    </xf>
    <xf numFmtId="0" fontId="8" fillId="2" borderId="0" xfId="0" applyFont="1" applyFill="1" applyBorder="1" applyAlignment="1">
      <alignment wrapText="1"/>
    </xf>
    <xf numFmtId="0" fontId="8" fillId="2" borderId="5" xfId="0" applyFont="1" applyFill="1" applyBorder="1" applyAlignment="1">
      <alignment wrapText="1"/>
    </xf>
    <xf numFmtId="0" fontId="2" fillId="0" borderId="126" xfId="0" applyFont="1" applyBorder="1" applyAlignment="1">
      <alignment horizontal="left" vertical="top" wrapText="1"/>
    </xf>
    <xf numFmtId="0" fontId="0" fillId="0" borderId="153" xfId="0" applyBorder="1" applyAlignment="1">
      <alignment horizontal="left" vertical="top" wrapText="1"/>
    </xf>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39" fillId="2" borderId="58" xfId="5" applyFont="1" applyFill="1" applyBorder="1" applyAlignment="1" applyProtection="1">
      <alignment horizontal="left" wrapText="1"/>
    </xf>
    <xf numFmtId="0" fontId="39" fillId="2" borderId="59" xfId="5" applyFont="1" applyFill="1" applyBorder="1" applyAlignment="1" applyProtection="1">
      <alignment horizontal="left" wrapText="1"/>
    </xf>
    <xf numFmtId="0" fontId="39" fillId="2" borderId="87" xfId="5" applyFont="1" applyFill="1" applyBorder="1" applyAlignment="1" applyProtection="1">
      <alignment horizontal="left" wrapText="1"/>
    </xf>
    <xf numFmtId="0" fontId="6" fillId="0" borderId="24" xfId="0" applyFont="1" applyBorder="1" applyAlignment="1">
      <alignment horizontal="left" wrapText="1"/>
    </xf>
    <xf numFmtId="0" fontId="6" fillId="0" borderId="66" xfId="0" applyFont="1" applyBorder="1" applyAlignment="1">
      <alignment horizontal="left" wrapText="1"/>
    </xf>
    <xf numFmtId="173" fontId="18"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8" fillId="3" borderId="13" xfId="0" applyFont="1" applyFill="1" applyBorder="1" applyAlignment="1" applyProtection="1">
      <alignment wrapText="1"/>
    </xf>
    <xf numFmtId="0" fontId="19" fillId="3" borderId="16" xfId="0" applyFont="1" applyFill="1" applyBorder="1" applyAlignment="1" applyProtection="1">
      <alignment wrapText="1"/>
    </xf>
  </cellXfs>
  <cellStyles count="22">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 xfId="21" xr:uid="{4A5DBA91-CF31-4E57-B105-1F3A7CDACD5F}"/>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FF3300"/>
      <color rgb="FF0000FF"/>
      <color rgb="FFFFA2A1"/>
      <color rgb="FFFFFF66"/>
      <color rgb="FFFFCC99"/>
      <color rgb="FF97B757"/>
      <color rgb="FFB54E4B"/>
      <color rgb="FFF5FFE6"/>
      <color rgb="FFE4FDC2"/>
      <color rgb="FFDAFD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Yearly Replacement Costs</c:v>
                </c:pt>
                <c:pt idx="9">
                  <c:v>Principal Payment</c:v>
                </c:pt>
                <c:pt idx="10">
                  <c:v>Cash for Working Capital Reserve</c:v>
                </c:pt>
                <c:pt idx="11">
                  <c:v>Other Variable Operating Costs</c:v>
                </c:pt>
                <c:pt idx="12">
                  <c:v>Decommissioning Costs</c:v>
                </c:pt>
                <c:pt idx="13">
                  <c:v>Other Raw Material Cost</c:v>
                </c:pt>
                <c:pt idx="14">
                  <c:v>Other Non-Depreciable Capital Costs</c:v>
                </c:pt>
                <c:pt idx="15">
                  <c:v>Taxes</c:v>
                </c:pt>
              </c:strCache>
            </c:strRef>
          </c:cat>
          <c:val>
            <c:numRef>
              <c:f>'Tornado Charts &amp; Risk Analysis'!$I$155:$I$170</c:f>
              <c:numCache>
                <c:formatCode>_("$"* #,##0.00_);_("$"* \(#,##0.00\);_("$"* "-"??_);_(@_)</c:formatCode>
                <c:ptCount val="16"/>
                <c:pt idx="0">
                  <c:v>1.613041943883486</c:v>
                </c:pt>
                <c:pt idx="1">
                  <c:v>6.4102250076355253E-3</c:v>
                </c:pt>
                <c:pt idx="2">
                  <c:v>0</c:v>
                </c:pt>
                <c:pt idx="4">
                  <c:v>1.1859544970057232</c:v>
                </c:pt>
                <c:pt idx="5">
                  <c:v>0.16870131664336135</c:v>
                </c:pt>
                <c:pt idx="6">
                  <c:v>0.11951113617208094</c:v>
                </c:pt>
                <c:pt idx="7">
                  <c:v>6.2902365970455856E-2</c:v>
                </c:pt>
                <c:pt idx="8">
                  <c:v>3.0847670627014306E-2</c:v>
                </c:pt>
                <c:pt idx="9">
                  <c:v>2.6396165603925568E-2</c:v>
                </c:pt>
                <c:pt idx="10">
                  <c:v>1.8331334564253857E-2</c:v>
                </c:pt>
                <c:pt idx="11">
                  <c:v>1.585391162923162E-2</c:v>
                </c:pt>
                <c:pt idx="12">
                  <c:v>6.4102250076355253E-3</c:v>
                </c:pt>
                <c:pt idx="13">
                  <c:v>0</c:v>
                </c:pt>
                <c:pt idx="14">
                  <c:v>0</c:v>
                </c:pt>
                <c:pt idx="15">
                  <c:v>-1.545645433256042E-2</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1.613041943883486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6.4102250076355253E-3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1.1859544970057232</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0.16870131664336135</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0.11951113617208094</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6.2902365970455856E-2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3.0847670627014306E-2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Principal Payment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2.6396165603925568E-2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1.8331334564253857E-2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Other Variable Operating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1.585391162923162E-2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Decommissioning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6.4102250076355253E-3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Raw Material Cost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0</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0</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Taxes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-1.545645433256042E-2</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1.6194521688911214</c:v>
                </c:pt>
                <c:pt idx="1">
                  <c:v>1.6194521688911216</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(90%, 86%, 82%)</c:v>
                </c:pt>
                <c:pt idx="2">
                  <c:v>Total Capital Investment
($1,281K, $1,349K, $1,416K) </c:v>
                </c:pt>
                <c:pt idx="3">
                  <c:v>Total Fixed Operating Cost
($0,075K, $0,078K, $0,082K) </c:v>
                </c:pt>
                <c:pt idx="4">
                  <c:v>Plant Design Capacity (kg of H2/day)
(1,575, 1,500, 1,425) </c:v>
                </c:pt>
                <c:pt idx="5">
                  <c:v>After-tax Real IRR
(8%, 8%, 8%)</c:v>
                </c:pt>
                <c:pt idx="6">
                  <c:v>Utilities Consumption (% of baseline)
(95%, 100%, 105%)</c:v>
                </c:pt>
              </c:strCache>
            </c:strRef>
          </c:cat>
          <c:val>
            <c:numRef>
              <c:f>'Tornado Charts &amp; Risk Analysis'!$H$101:$H$107</c:f>
              <c:numCache>
                <c:formatCode>General</c:formatCode>
                <c:ptCount val="7"/>
                <c:pt idx="0">
                  <c:v>1.552676433372211</c:v>
                </c:pt>
                <c:pt idx="1">
                  <c:v>1.5942256665851611</c:v>
                </c:pt>
                <c:pt idx="2">
                  <c:v>1.6008516158864692</c:v>
                </c:pt>
                <c:pt idx="3">
                  <c:v>1.6044546943808315</c:v>
                </c:pt>
                <c:pt idx="4">
                  <c:v>1.6079482607095905</c:v>
                </c:pt>
                <c:pt idx="5">
                  <c:v>1.6107217244721268</c:v>
                </c:pt>
                <c:pt idx="6">
                  <c:v>1.613041943883486</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(90%, 86%, 82%)</c:v>
                </c:pt>
                <c:pt idx="2">
                  <c:v>Total Capital Investment
($1,281K, $1,349K, $1,416K) </c:v>
                </c:pt>
                <c:pt idx="3">
                  <c:v>Total Fixed Operating Cost
($0,075K, $0,078K, $0,082K) </c:v>
                </c:pt>
                <c:pt idx="4">
                  <c:v>Plant Design Capacity (kg of H2/day)
(1,575, 1,500, 1,425) </c:v>
                </c:pt>
                <c:pt idx="5">
                  <c:v>After-tax Real IRR
(8%, 8%, 8%)</c:v>
                </c:pt>
                <c:pt idx="6">
                  <c:v>Utilities Consumption (% of baseline)
(95%, 100%, 105%)</c:v>
                </c:pt>
              </c:strCache>
            </c:strRef>
          </c:cat>
          <c:val>
            <c:numRef>
              <c:f>'Tornado Charts &amp; Risk Analysis'!$I$101:$I$107</c:f>
              <c:numCache>
                <c:formatCode>General</c:formatCode>
                <c:ptCount val="7"/>
                <c:pt idx="0">
                  <c:v>6.0365510511275033E-2</c:v>
                </c:pt>
                <c:pt idx="1">
                  <c:v>1.8816277298324913E-2</c:v>
                </c:pt>
                <c:pt idx="2">
                  <c:v>1.2190327997016803E-2</c:v>
                </c:pt>
                <c:pt idx="3">
                  <c:v>8.5872495026544371E-3</c:v>
                </c:pt>
                <c:pt idx="4">
                  <c:v>5.0936831738954691E-3</c:v>
                </c:pt>
                <c:pt idx="5">
                  <c:v>2.3202194113591812E-3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(90%, 86%, 82%)</c:v>
                </c:pt>
                <c:pt idx="2">
                  <c:v>Total Capital Investment
($1,281K, $1,349K, $1,416K) </c:v>
                </c:pt>
                <c:pt idx="3">
                  <c:v>Total Fixed Operating Cost
($0,075K, $0,078K, $0,082K) </c:v>
                </c:pt>
                <c:pt idx="4">
                  <c:v>Plant Design Capacity (kg of H2/day)
(1,575, 1,500, 1,425) </c:v>
                </c:pt>
                <c:pt idx="5">
                  <c:v>After-tax Real IRR
(8%, 8%, 8%)</c:v>
                </c:pt>
                <c:pt idx="6">
                  <c:v>Utilities Consumption (% of baseline)
(95%, 100%, 105%)</c:v>
                </c:pt>
              </c:strCache>
            </c:strRef>
          </c:cat>
          <c:val>
            <c:numRef>
              <c:f>'Tornado Charts &amp; Risk Analysis'!$J$101:$J$107</c:f>
              <c:numCache>
                <c:formatCode>General</c:formatCode>
                <c:ptCount val="7"/>
                <c:pt idx="0">
                  <c:v>6.0365510511276588E-2</c:v>
                </c:pt>
                <c:pt idx="1">
                  <c:v>2.0796938066572679E-2</c:v>
                </c:pt>
                <c:pt idx="2">
                  <c:v>1.2190327997017469E-2</c:v>
                </c:pt>
                <c:pt idx="3">
                  <c:v>8.5872495026557694E-3</c:v>
                </c:pt>
                <c:pt idx="4">
                  <c:v>5.5240852739839585E-3</c:v>
                </c:pt>
                <c:pt idx="5">
                  <c:v>2.4485960681763785E-3</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1.552676433372211</c:v>
                </c:pt>
                <c:pt idx="1">
                  <c:v>1.5942256665851611</c:v>
                </c:pt>
                <c:pt idx="2">
                  <c:v>1.6008516158864692</c:v>
                </c:pt>
                <c:pt idx="3">
                  <c:v>1.6044546943808315</c:v>
                </c:pt>
                <c:pt idx="4">
                  <c:v>1.6079482607095905</c:v>
                </c:pt>
                <c:pt idx="5">
                  <c:v>1.6107217244721268</c:v>
                </c:pt>
                <c:pt idx="6">
                  <c:v>1.613041943883486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1.6734074543947626</c:v>
                </c:pt>
                <c:pt idx="1">
                  <c:v>1.6338388819500587</c:v>
                </c:pt>
                <c:pt idx="2">
                  <c:v>1.6252322718805035</c:v>
                </c:pt>
                <c:pt idx="3">
                  <c:v>1.6216291933861418</c:v>
                </c:pt>
                <c:pt idx="4">
                  <c:v>1.6185660291574699</c:v>
                </c:pt>
                <c:pt idx="5">
                  <c:v>1.6154905399516624</c:v>
                </c:pt>
                <c:pt idx="6">
                  <c:v>1.613041943883486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1.613041943883486</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1.613041943883486</c:v>
                </c:pt>
                <c:pt idx="1">
                  <c:v>1.552676433372211</c:v>
                </c:pt>
                <c:pt idx="2">
                  <c:v>1.5338601560738854</c:v>
                </c:pt>
                <c:pt idx="3">
                  <c:v>1.52225031988625</c:v>
                </c:pt>
                <c:pt idx="4">
                  <c:v>1.5142125186838609</c:v>
                </c:pt>
                <c:pt idx="5">
                  <c:v>1.5142125186838609</c:v>
                </c:pt>
                <c:pt idx="6">
                  <c:v>1.5142125186838609</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6.0365510511275033E-2</c:v>
                </c:pt>
                <c:pt idx="2">
                  <c:v>1.8816277298325579E-2</c:v>
                </c:pt>
                <c:pt idx="3">
                  <c:v>1.1609836187635336E-2</c:v>
                </c:pt>
                <c:pt idx="4">
                  <c:v>8.0378012023891721E-3</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1.5407253800784875</c:v>
                </c:pt>
                <c:pt idx="1">
                  <c:v>1.5484436344396486</c:v>
                </c:pt>
                <c:pt idx="2">
                  <c:v>1.5561618888008097</c:v>
                </c:pt>
                <c:pt idx="3">
                  <c:v>1.5638801431619709</c:v>
                </c:pt>
                <c:pt idx="4">
                  <c:v>1.571598397523132</c:v>
                </c:pt>
                <c:pt idx="5">
                  <c:v>1.5793166518842932</c:v>
                </c:pt>
                <c:pt idx="6">
                  <c:v>1.5870349062454543</c:v>
                </c:pt>
                <c:pt idx="7">
                  <c:v>1.5947531606066154</c:v>
                </c:pt>
                <c:pt idx="8">
                  <c:v>1.6024714149677766</c:v>
                </c:pt>
                <c:pt idx="9">
                  <c:v>1.6101896693289377</c:v>
                </c:pt>
                <c:pt idx="10">
                  <c:v>1.6179079236900988</c:v>
                </c:pt>
                <c:pt idx="11">
                  <c:v>1.62562617805126</c:v>
                </c:pt>
                <c:pt idx="12">
                  <c:v>1.6333444324124211</c:v>
                </c:pt>
                <c:pt idx="13">
                  <c:v>1.6410626867735822</c:v>
                </c:pt>
                <c:pt idx="14">
                  <c:v>1.6487809411347434</c:v>
                </c:pt>
                <c:pt idx="15">
                  <c:v>1.6564991954959045</c:v>
                </c:pt>
                <c:pt idx="16">
                  <c:v>1.6642174498570657</c:v>
                </c:pt>
                <c:pt idx="17">
                  <c:v>1.6719357042182268</c:v>
                </c:pt>
                <c:pt idx="18">
                  <c:v>1.6796539585793879</c:v>
                </c:pt>
                <c:pt idx="19">
                  <c:v>1.6873727129405491</c:v>
                </c:pt>
              </c:numCache>
            </c:numRef>
          </c:xVal>
          <c:yVal>
            <c:numRef>
              <c:f>'Tornado Charts &amp; Risk Analysis'!$I$202:$I$221</c:f>
              <c:numCache>
                <c:formatCode>General</c:formatCode>
                <c:ptCount val="20"/>
                <c:pt idx="0">
                  <c:v>2E-3</c:v>
                </c:pt>
                <c:pt idx="1">
                  <c:v>6.0000000000000001E-3</c:v>
                </c:pt>
                <c:pt idx="2">
                  <c:v>0.02</c:v>
                </c:pt>
                <c:pt idx="3">
                  <c:v>4.8500000000000001E-2</c:v>
                </c:pt>
                <c:pt idx="4">
                  <c:v>9.8000000000000004E-2</c:v>
                </c:pt>
                <c:pt idx="5">
                  <c:v>0.14949999999999999</c:v>
                </c:pt>
                <c:pt idx="6">
                  <c:v>0.22099999999999997</c:v>
                </c:pt>
                <c:pt idx="7">
                  <c:v>0.3105</c:v>
                </c:pt>
                <c:pt idx="8">
                  <c:v>0.40700000000000003</c:v>
                </c:pt>
                <c:pt idx="9">
                  <c:v>0.52350000000000008</c:v>
                </c:pt>
                <c:pt idx="10">
                  <c:v>0.62400000000000011</c:v>
                </c:pt>
                <c:pt idx="11">
                  <c:v>0.72400000000000009</c:v>
                </c:pt>
                <c:pt idx="12">
                  <c:v>0.81300000000000006</c:v>
                </c:pt>
                <c:pt idx="13">
                  <c:v>0.88750000000000007</c:v>
                </c:pt>
                <c:pt idx="14">
                  <c:v>0.93100000000000005</c:v>
                </c:pt>
                <c:pt idx="15">
                  <c:v>0.96300000000000008</c:v>
                </c:pt>
                <c:pt idx="16">
                  <c:v>0.98250000000000004</c:v>
                </c:pt>
                <c:pt idx="17">
                  <c:v>0.99399999999999999</c:v>
                </c:pt>
                <c:pt idx="18">
                  <c:v>0.999</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1.5407253800784875</c:v>
                </c:pt>
                <c:pt idx="1">
                  <c:v>1.5484436344396486</c:v>
                </c:pt>
                <c:pt idx="2">
                  <c:v>1.5561618888008097</c:v>
                </c:pt>
                <c:pt idx="3">
                  <c:v>1.5638801431619709</c:v>
                </c:pt>
                <c:pt idx="4">
                  <c:v>1.571598397523132</c:v>
                </c:pt>
                <c:pt idx="5">
                  <c:v>1.5793166518842932</c:v>
                </c:pt>
                <c:pt idx="6">
                  <c:v>1.5870349062454543</c:v>
                </c:pt>
                <c:pt idx="7">
                  <c:v>1.5947531606066154</c:v>
                </c:pt>
                <c:pt idx="8">
                  <c:v>1.6024714149677766</c:v>
                </c:pt>
                <c:pt idx="9">
                  <c:v>1.6101896693289377</c:v>
                </c:pt>
                <c:pt idx="10">
                  <c:v>1.6179079236900988</c:v>
                </c:pt>
                <c:pt idx="11">
                  <c:v>1.62562617805126</c:v>
                </c:pt>
                <c:pt idx="12">
                  <c:v>1.6333444324124211</c:v>
                </c:pt>
                <c:pt idx="13">
                  <c:v>1.6410626867735822</c:v>
                </c:pt>
                <c:pt idx="14">
                  <c:v>1.6487809411347434</c:v>
                </c:pt>
                <c:pt idx="15">
                  <c:v>1.6564991954959045</c:v>
                </c:pt>
                <c:pt idx="16">
                  <c:v>1.6642174498570657</c:v>
                </c:pt>
                <c:pt idx="17">
                  <c:v>1.6719357042182268</c:v>
                </c:pt>
                <c:pt idx="18">
                  <c:v>1.6796539585793879</c:v>
                </c:pt>
                <c:pt idx="19">
                  <c:v>1.6873727129405491</c:v>
                </c:pt>
              </c:numCache>
            </c:numRef>
          </c:xVal>
          <c:yVal>
            <c:numRef>
              <c:f>'Tornado Charts &amp; Risk Analysis'!$H$202:$H$221</c:f>
              <c:numCache>
                <c:formatCode>General</c:formatCode>
                <c:ptCount val="20"/>
                <c:pt idx="0">
                  <c:v>2E-3</c:v>
                </c:pt>
                <c:pt idx="1">
                  <c:v>4.0000000000000001E-3</c:v>
                </c:pt>
                <c:pt idx="2">
                  <c:v>1.4E-2</c:v>
                </c:pt>
                <c:pt idx="3">
                  <c:v>2.8500000000000001E-2</c:v>
                </c:pt>
                <c:pt idx="4">
                  <c:v>4.9500000000000002E-2</c:v>
                </c:pt>
                <c:pt idx="5">
                  <c:v>5.1499999999999997E-2</c:v>
                </c:pt>
                <c:pt idx="6">
                  <c:v>7.1499999999999994E-2</c:v>
                </c:pt>
                <c:pt idx="7">
                  <c:v>8.9499999999999996E-2</c:v>
                </c:pt>
                <c:pt idx="8">
                  <c:v>9.6500000000000002E-2</c:v>
                </c:pt>
                <c:pt idx="9">
                  <c:v>0.11650000000000001</c:v>
                </c:pt>
                <c:pt idx="10">
                  <c:v>0.10050000000000001</c:v>
                </c:pt>
                <c:pt idx="11">
                  <c:v>0.1</c:v>
                </c:pt>
                <c:pt idx="12">
                  <c:v>8.8999999999999996E-2</c:v>
                </c:pt>
                <c:pt idx="13">
                  <c:v>7.4499999999999997E-2</c:v>
                </c:pt>
                <c:pt idx="14">
                  <c:v>4.3499999999999997E-2</c:v>
                </c:pt>
                <c:pt idx="15">
                  <c:v>3.2000000000000001E-2</c:v>
                </c:pt>
                <c:pt idx="16">
                  <c:v>1.95E-2</c:v>
                </c:pt>
                <c:pt idx="17">
                  <c:v>1.15E-2</c:v>
                </c:pt>
                <c:pt idx="18">
                  <c:v>5.0000000000000001E-3</c:v>
                </c:pt>
                <c:pt idx="19">
                  <c:v>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checked="Checked" fmlaLink="Lists!$AA$7"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1986643</xdr:colOff>
      <xdr:row>2</xdr:row>
      <xdr:rowOff>32640</xdr:rowOff>
    </xdr:from>
    <xdr:to>
      <xdr:col>1</xdr:col>
      <xdr:colOff>5364209</xdr:colOff>
      <xdr:row>4</xdr:row>
      <xdr:rowOff>96332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7620</xdr:colOff>
      <xdr:row>8</xdr:row>
      <xdr:rowOff>45720</xdr:rowOff>
    </xdr:from>
    <xdr:to>
      <xdr:col>1</xdr:col>
      <xdr:colOff>8366760</xdr:colOff>
      <xdr:row>34</xdr:row>
      <xdr:rowOff>45720</xdr:rowOff>
    </xdr:to>
    <xdr:pic>
      <xdr:nvPicPr>
        <xdr:cNvPr id="8" name="Picture 9">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 y="1318260"/>
          <a:ext cx="8359140" cy="435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223</xdr:row>
      <xdr:rowOff>0</xdr:rowOff>
    </xdr:from>
    <xdr:to>
      <xdr:col>2</xdr:col>
      <xdr:colOff>76200</xdr:colOff>
      <xdr:row>224</xdr:row>
      <xdr:rowOff>36438</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02480" y="52920900"/>
          <a:ext cx="76200" cy="2040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190373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1704" y="34030793"/>
          <a:ext cx="2938374" cy="3775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5055" y="34753475"/>
          <a:ext cx="1250385" cy="39624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81161" y="34762440"/>
          <a:ext cx="1004046" cy="40008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151</xdr:row>
      <xdr:rowOff>17930</xdr:rowOff>
    </xdr:from>
    <xdr:to>
      <xdr:col>4</xdr:col>
      <xdr:colOff>762001</xdr:colOff>
      <xdr:row>151</xdr:row>
      <xdr:rowOff>209775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1380" y="40190570"/>
          <a:ext cx="2120601" cy="19184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098649" y="21709048"/>
          <a:ext cx="1318592" cy="266037"/>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1550" y="21988811"/>
          <a:ext cx="1338944" cy="6197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Link to Detail Sheet</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213360</xdr:rowOff>
        </xdr:from>
        <xdr:to>
          <xdr:col>3</xdr:col>
          <xdr:colOff>1066800</xdr:colOff>
          <xdr:row>41</xdr:row>
          <xdr:rowOff>213360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213360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113</xdr:row>
          <xdr:rowOff>0</xdr:rowOff>
        </xdr:from>
        <xdr:to>
          <xdr:col>3</xdr:col>
          <xdr:colOff>1066800</xdr:colOff>
          <xdr:row>114</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116</xdr:row>
          <xdr:rowOff>22860</xdr:rowOff>
        </xdr:from>
        <xdr:to>
          <xdr:col>3</xdr:col>
          <xdr:colOff>1066800</xdr:colOff>
          <xdr:row>116</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130</xdr:row>
      <xdr:rowOff>187569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6094095" y="34027989"/>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130</xdr:row>
      <xdr:rowOff>187569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3009900" y="34027989"/>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0.1835</cdr:x>
      <cdr:y>0.16957</cdr:y>
    </cdr:to>
    <cdr:sp macro="" textlink="'Tornado Charts &amp; Risk Analysis'!$H$155">
      <cdr:nvSpPr>
        <cdr:cNvPr id="3" name="TextBox 2"/>
        <cdr:cNvSpPr txBox="1"/>
      </cdr:nvSpPr>
      <cdr:spPr>
        <a:xfrm xmlns:a="http://schemas.openxmlformats.org/drawingml/2006/main">
          <a:off x="0" y="52465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0.15698</cdr:x>
      <cdr:y>0.2218</cdr:y>
    </cdr:to>
    <cdr:sp macro="" textlink="'Tornado Charts &amp; Risk Analysis'!$H$156">
      <cdr:nvSpPr>
        <cdr:cNvPr id="4" name="TextBox 1"/>
        <cdr:cNvSpPr txBox="1"/>
      </cdr:nvSpPr>
      <cdr:spPr>
        <a:xfrm xmlns:a="http://schemas.openxmlformats.org/drawingml/2006/main">
          <a:off x="0" y="760113"/>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0.17355</cdr:x>
      <cdr:y>0.27282</cdr:y>
    </cdr:to>
    <cdr:sp macro="" textlink="'Tornado Charts &amp; Risk Analysis'!$H$157">
      <cdr:nvSpPr>
        <cdr:cNvPr id="5" name="TextBox 1"/>
        <cdr:cNvSpPr txBox="1"/>
      </cdr:nvSpPr>
      <cdr:spPr>
        <a:xfrm xmlns:a="http://schemas.openxmlformats.org/drawingml/2006/main">
          <a:off x="0" y="990117"/>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0.16691</cdr:x>
      <cdr:y>0.37686</cdr:y>
    </cdr:to>
    <cdr:sp macro="" textlink="'Tornado Charts &amp; Risk Analysis'!$H$159">
      <cdr:nvSpPr>
        <cdr:cNvPr id="6" name="TextBox 1"/>
        <cdr:cNvSpPr txBox="1"/>
      </cdr:nvSpPr>
      <cdr:spPr>
        <a:xfrm xmlns:a="http://schemas.openxmlformats.org/drawingml/2006/main">
          <a:off x="0" y="1459141"/>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0.21668</cdr:x>
      <cdr:y>0.42803</cdr:y>
    </cdr:to>
    <cdr:sp macro="" textlink="'Tornado Charts &amp; Risk Analysis'!$H$160">
      <cdr:nvSpPr>
        <cdr:cNvPr id="7" name="TextBox 1"/>
        <cdr:cNvSpPr txBox="1"/>
      </cdr:nvSpPr>
      <cdr:spPr>
        <a:xfrm xmlns:a="http://schemas.openxmlformats.org/drawingml/2006/main">
          <a:off x="0" y="1689821"/>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0.31511</cdr:x>
      <cdr:y>0.47999</cdr:y>
    </cdr:to>
    <cdr:sp macro="" textlink="'Tornado Charts &amp; Risk Analysis'!$H$161">
      <cdr:nvSpPr>
        <cdr:cNvPr id="8" name="TextBox 1"/>
        <cdr:cNvSpPr txBox="1"/>
      </cdr:nvSpPr>
      <cdr:spPr>
        <a:xfrm xmlns:a="http://schemas.openxmlformats.org/drawingml/2006/main">
          <a:off x="0" y="1924063"/>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0.14259</cdr:x>
      <cdr:y>0.53162</cdr:y>
    </cdr:to>
    <cdr:sp macro="" textlink="'Tornado Charts &amp; Risk Analysis'!$H$162">
      <cdr:nvSpPr>
        <cdr:cNvPr id="9" name="TextBox 1"/>
        <cdr:cNvSpPr txBox="1"/>
      </cdr:nvSpPr>
      <cdr:spPr>
        <a:xfrm xmlns:a="http://schemas.openxmlformats.org/drawingml/2006/main">
          <a:off x="0" y="2156817"/>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0.26422</cdr:x>
      <cdr:y>0.58341</cdr:y>
    </cdr:to>
    <cdr:sp macro="" textlink="'Tornado Charts &amp; Risk Analysis'!$H$163">
      <cdr:nvSpPr>
        <cdr:cNvPr id="10" name="TextBox 1"/>
        <cdr:cNvSpPr txBox="1"/>
      </cdr:nvSpPr>
      <cdr:spPr>
        <a:xfrm xmlns:a="http://schemas.openxmlformats.org/drawingml/2006/main">
          <a:off x="0" y="2390292"/>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0.18902</cdr:x>
      <cdr:y>0.63565</cdr:y>
    </cdr:to>
    <cdr:sp macro="" textlink="'Tornado Charts &amp; Risk Analysis'!$H$164">
      <cdr:nvSpPr>
        <cdr:cNvPr id="11" name="TextBox 1"/>
        <cdr:cNvSpPr txBox="1"/>
      </cdr:nvSpPr>
      <cdr:spPr>
        <a:xfrm xmlns:a="http://schemas.openxmlformats.org/drawingml/2006/main">
          <a:off x="0" y="2625796"/>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0.30627</cdr:x>
      <cdr:y>0.68651</cdr:y>
    </cdr:to>
    <cdr:sp macro="" textlink="'Tornado Charts &amp; Risk Analysis'!$H$165">
      <cdr:nvSpPr>
        <cdr:cNvPr id="12" name="TextBox 1"/>
        <cdr:cNvSpPr txBox="1"/>
      </cdr:nvSpPr>
      <cdr:spPr>
        <a:xfrm xmlns:a="http://schemas.openxmlformats.org/drawingml/2006/main">
          <a:off x="0" y="2855034"/>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0.32946</cdr:x>
      <cdr:y>0.73875</cdr:y>
    </cdr:to>
    <cdr:sp macro="" textlink="'Tornado Charts &amp; Risk Analysis'!$H$166">
      <cdr:nvSpPr>
        <cdr:cNvPr id="13" name="TextBox 1"/>
        <cdr:cNvSpPr txBox="1"/>
      </cdr:nvSpPr>
      <cdr:spPr>
        <a:xfrm xmlns:a="http://schemas.openxmlformats.org/drawingml/2006/main">
          <a:off x="0" y="309053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0.24207</cdr:x>
      <cdr:y>0.79037</cdr:y>
    </cdr:to>
    <cdr:sp macro="" textlink="'Tornado Charts &amp; Risk Analysis'!$H$167">
      <cdr:nvSpPr>
        <cdr:cNvPr id="14" name="TextBox 1"/>
        <cdr:cNvSpPr txBox="1"/>
      </cdr:nvSpPr>
      <cdr:spPr>
        <a:xfrm xmlns:a="http://schemas.openxmlformats.org/drawingml/2006/main">
          <a:off x="0" y="3323291"/>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0.24651</cdr:x>
      <cdr:y>0.84206</cdr:y>
    </cdr:to>
    <cdr:sp macro="" textlink="'Tornado Charts &amp; Risk Analysis'!$H$168">
      <cdr:nvSpPr>
        <cdr:cNvPr id="15" name="TextBox 1"/>
        <cdr:cNvSpPr txBox="1"/>
      </cdr:nvSpPr>
      <cdr:spPr>
        <a:xfrm xmlns:a="http://schemas.openxmlformats.org/drawingml/2006/main">
          <a:off x="0" y="3556271"/>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0.35712</cdr:x>
      <cdr:y>0.8938</cdr:y>
    </cdr:to>
    <cdr:sp macro="" textlink="'Tornado Charts &amp; Risk Analysis'!$H$169">
      <cdr:nvSpPr>
        <cdr:cNvPr id="16" name="TextBox 1"/>
        <cdr:cNvSpPr txBox="1"/>
      </cdr:nvSpPr>
      <cdr:spPr>
        <a:xfrm xmlns:a="http://schemas.openxmlformats.org/drawingml/2006/main">
          <a:off x="0" y="3789521"/>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0.08285</cdr:x>
      <cdr:y>0.94575</cdr:y>
    </cdr:to>
    <cdr:sp macro="" textlink="'Tornado Charts &amp; Risk Analysis'!$H$170">
      <cdr:nvSpPr>
        <cdr:cNvPr id="17" name="TextBox 1"/>
        <cdr:cNvSpPr txBox="1"/>
      </cdr:nvSpPr>
      <cdr:spPr>
        <a:xfrm xmlns:a="http://schemas.openxmlformats.org/drawingml/2006/main">
          <a:off x="0" y="402376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editAs="oneCell">
    <xdr:from>
      <xdr:col>1</xdr:col>
      <xdr:colOff>0</xdr:colOff>
      <xdr:row>40</xdr:row>
      <xdr:rowOff>0</xdr:rowOff>
    </xdr:from>
    <xdr:to>
      <xdr:col>5</xdr:col>
      <xdr:colOff>1267609</xdr:colOff>
      <xdr:row>56</xdr:row>
      <xdr:rowOff>56029</xdr:rowOff>
    </xdr:to>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637929"/>
          <a:ext cx="7802880" cy="278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182880</xdr:colOff>
          <xdr:row>30</xdr:row>
          <xdr:rowOff>175260</xdr:rowOff>
        </xdr:from>
        <xdr:to>
          <xdr:col>3</xdr:col>
          <xdr:colOff>1097280</xdr:colOff>
          <xdr:row>32</xdr:row>
          <xdr:rowOff>7620</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71853" y="1605752"/>
          <a:ext cx="6471150" cy="1404148"/>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Principal Payment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Other Variable Operating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Decommissioning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 </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 </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(90%, 86%, 82%)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($1,281K, $1,349K, $1,416K)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($0,075K, $0,078K, $0,082K)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(1,575, 1,500, 1,425)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251460</xdr:colOff>
          <xdr:row>1</xdr:row>
          <xdr:rowOff>22860</xdr:rowOff>
        </xdr:from>
        <xdr:to>
          <xdr:col>13</xdr:col>
          <xdr:colOff>38100</xdr:colOff>
          <xdr:row>4</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68</xdr:row>
          <xdr:rowOff>60960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5.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9"/>
  <sheetViews>
    <sheetView topLeftCell="B1" zoomScale="85" zoomScaleNormal="85" workbookViewId="0">
      <selection activeCell="B2" sqref="B2"/>
    </sheetView>
  </sheetViews>
  <sheetFormatPr defaultRowHeight="13.2" x14ac:dyDescent="0.25"/>
  <cols>
    <col min="2" max="2" width="36.6640625" customWidth="1"/>
    <col min="3" max="3" width="44.6640625" customWidth="1"/>
    <col min="4" max="4" width="64.88671875" customWidth="1"/>
    <col min="5" max="5" width="126.44140625" customWidth="1"/>
  </cols>
  <sheetData>
    <row r="2" spans="2:4" ht="39" customHeight="1" x14ac:dyDescent="0.5">
      <c r="B2" s="681" t="s">
        <v>404</v>
      </c>
    </row>
    <row r="4" spans="2:4" ht="13.8" thickBot="1" x14ac:dyDescent="0.3"/>
    <row r="5" spans="2:4" ht="27" thickTop="1" x14ac:dyDescent="0.25">
      <c r="B5" s="683" t="s">
        <v>210</v>
      </c>
      <c r="C5" s="1433" t="s">
        <v>1752</v>
      </c>
      <c r="D5" s="1033"/>
    </row>
    <row r="6" spans="2:4" x14ac:dyDescent="0.25">
      <c r="B6" s="684" t="s">
        <v>211</v>
      </c>
      <c r="C6" s="1032" t="s">
        <v>1340</v>
      </c>
      <c r="D6" s="1033"/>
    </row>
    <row r="7" spans="2:4" x14ac:dyDescent="0.25">
      <c r="B7" s="684" t="s">
        <v>212</v>
      </c>
      <c r="C7" s="1032" t="s">
        <v>1249</v>
      </c>
      <c r="D7" s="1033"/>
    </row>
    <row r="8" spans="2:4" x14ac:dyDescent="0.25">
      <c r="B8" s="684" t="s">
        <v>213</v>
      </c>
      <c r="C8" s="1032" t="s">
        <v>1250</v>
      </c>
      <c r="D8" s="1033"/>
    </row>
    <row r="9" spans="2:4" x14ac:dyDescent="0.25">
      <c r="B9" s="684" t="s">
        <v>214</v>
      </c>
      <c r="C9" s="819" t="s">
        <v>1251</v>
      </c>
      <c r="D9" s="685"/>
    </row>
    <row r="10" spans="2:4" x14ac:dyDescent="0.25">
      <c r="B10" s="684" t="s">
        <v>215</v>
      </c>
      <c r="C10" s="1032" t="s">
        <v>818</v>
      </c>
      <c r="D10" s="1033"/>
    </row>
    <row r="11" spans="2:4" x14ac:dyDescent="0.25">
      <c r="B11" s="684" t="s">
        <v>216</v>
      </c>
      <c r="C11" s="1434">
        <v>43137</v>
      </c>
      <c r="D11" s="1121"/>
    </row>
    <row r="12" spans="2:4" ht="13.8" thickBot="1" x14ac:dyDescent="0.3">
      <c r="B12" s="686" t="s">
        <v>217</v>
      </c>
      <c r="C12" s="1479" t="s">
        <v>1204</v>
      </c>
      <c r="D12" s="1033"/>
    </row>
    <row r="13" spans="2:4" ht="14.4" thickTop="1" thickBot="1" x14ac:dyDescent="0.3">
      <c r="B13" s="687"/>
      <c r="C13" s="1151"/>
      <c r="D13" s="1122"/>
    </row>
    <row r="14" spans="2:4" ht="13.8" thickTop="1" x14ac:dyDescent="0.25">
      <c r="B14" s="683" t="s">
        <v>218</v>
      </c>
      <c r="C14" s="1480">
        <v>1500</v>
      </c>
      <c r="D14" s="1123"/>
    </row>
    <row r="15" spans="2:4" x14ac:dyDescent="0.25">
      <c r="B15" s="684" t="s">
        <v>219</v>
      </c>
      <c r="C15" s="1177">
        <v>2015</v>
      </c>
      <c r="D15" s="688"/>
    </row>
    <row r="16" spans="2:4" x14ac:dyDescent="0.25">
      <c r="B16" s="684" t="s">
        <v>220</v>
      </c>
      <c r="C16" s="1178"/>
      <c r="D16" s="1123"/>
    </row>
    <row r="17" spans="2:4" x14ac:dyDescent="0.25">
      <c r="B17" s="684" t="s">
        <v>221</v>
      </c>
      <c r="C17" s="1178" t="s">
        <v>1341</v>
      </c>
      <c r="D17" s="1123"/>
    </row>
    <row r="18" spans="2:4" x14ac:dyDescent="0.25">
      <c r="B18" s="684" t="s">
        <v>222</v>
      </c>
      <c r="C18" s="1178"/>
      <c r="D18" s="689"/>
    </row>
    <row r="19" spans="2:4" x14ac:dyDescent="0.25">
      <c r="B19" s="684" t="s">
        <v>223</v>
      </c>
      <c r="C19" s="1178"/>
      <c r="D19" s="1123"/>
    </row>
    <row r="20" spans="2:4" x14ac:dyDescent="0.25">
      <c r="B20" s="684" t="s">
        <v>224</v>
      </c>
      <c r="C20" s="1178" t="s">
        <v>1341</v>
      </c>
      <c r="D20" s="1123"/>
    </row>
    <row r="21" spans="2:4" x14ac:dyDescent="0.25">
      <c r="B21" s="684" t="s">
        <v>225</v>
      </c>
      <c r="C21" s="1178" t="s">
        <v>1341</v>
      </c>
      <c r="D21" s="1123"/>
    </row>
    <row r="22" spans="2:4" ht="26.4" x14ac:dyDescent="0.25">
      <c r="B22" s="690" t="s">
        <v>226</v>
      </c>
      <c r="C22" s="1177" t="s">
        <v>1342</v>
      </c>
      <c r="D22" s="1123"/>
    </row>
    <row r="23" spans="2:4" x14ac:dyDescent="0.25">
      <c r="B23" s="690" t="s">
        <v>227</v>
      </c>
      <c r="C23" s="1178" t="s">
        <v>1343</v>
      </c>
      <c r="D23" s="1123"/>
    </row>
    <row r="24" spans="2:4" ht="13.8" thickBot="1" x14ac:dyDescent="0.3">
      <c r="B24" s="686" t="s">
        <v>228</v>
      </c>
      <c r="C24" s="1179" t="s">
        <v>1344</v>
      </c>
      <c r="D24" s="1123"/>
    </row>
    <row r="25" spans="2:4" ht="14.4" thickTop="1" thickBot="1" x14ac:dyDescent="0.3">
      <c r="B25" s="691"/>
      <c r="C25" s="1123"/>
      <c r="D25" s="1123"/>
    </row>
    <row r="26" spans="2:4" x14ac:dyDescent="0.25">
      <c r="B26" s="1526" t="s">
        <v>229</v>
      </c>
      <c r="C26" s="1527"/>
      <c r="D26" s="1528"/>
    </row>
    <row r="27" spans="2:4" x14ac:dyDescent="0.25">
      <c r="B27" s="1125" t="s">
        <v>230</v>
      </c>
      <c r="C27" s="692" t="s">
        <v>231</v>
      </c>
      <c r="D27" s="1126" t="s">
        <v>1012</v>
      </c>
    </row>
    <row r="28" spans="2:4" ht="26.4" x14ac:dyDescent="0.25">
      <c r="B28" s="1441">
        <v>44679</v>
      </c>
      <c r="C28" s="983" t="s">
        <v>1205</v>
      </c>
      <c r="D28" s="1178" t="s">
        <v>1601</v>
      </c>
    </row>
    <row r="29" spans="2:4" x14ac:dyDescent="0.25">
      <c r="B29" s="1441"/>
      <c r="C29" s="983"/>
      <c r="D29" s="1178"/>
    </row>
    <row r="30" spans="2:4" x14ac:dyDescent="0.25">
      <c r="B30" s="1441">
        <v>44131</v>
      </c>
      <c r="C30" s="983" t="s">
        <v>1205</v>
      </c>
      <c r="D30" s="1178" t="s">
        <v>1345</v>
      </c>
    </row>
    <row r="31" spans="2:4" x14ac:dyDescent="0.25">
      <c r="B31" s="1441"/>
      <c r="C31" s="983"/>
      <c r="D31" s="1178"/>
    </row>
    <row r="32" spans="2:4" x14ac:dyDescent="0.25">
      <c r="B32" s="1441">
        <v>42080.372844907404</v>
      </c>
      <c r="C32" s="983" t="s">
        <v>1346</v>
      </c>
      <c r="D32" s="1178" t="s">
        <v>1347</v>
      </c>
    </row>
    <row r="33" spans="2:4" x14ac:dyDescent="0.25">
      <c r="B33" s="1441">
        <v>42080.372844907404</v>
      </c>
      <c r="C33" s="983" t="s">
        <v>1346</v>
      </c>
      <c r="D33" s="1178" t="s">
        <v>1348</v>
      </c>
    </row>
    <row r="34" spans="2:4" x14ac:dyDescent="0.25">
      <c r="B34" s="1441">
        <v>42080.372844907404</v>
      </c>
      <c r="C34" s="983" t="s">
        <v>1346</v>
      </c>
      <c r="D34" s="1178" t="s">
        <v>1349</v>
      </c>
    </row>
    <row r="35" spans="2:4" x14ac:dyDescent="0.25">
      <c r="B35" s="1441">
        <v>42080.372844907404</v>
      </c>
      <c r="C35" s="983" t="s">
        <v>1346</v>
      </c>
      <c r="D35" s="1178" t="s">
        <v>1350</v>
      </c>
    </row>
    <row r="36" spans="2:4" x14ac:dyDescent="0.25">
      <c r="B36" s="1441">
        <v>42080.372844907404</v>
      </c>
      <c r="C36" s="983" t="s">
        <v>1346</v>
      </c>
      <c r="D36" s="1178" t="s">
        <v>1351</v>
      </c>
    </row>
    <row r="37" spans="2:4" x14ac:dyDescent="0.25">
      <c r="B37" s="1441">
        <v>42080.372844907404</v>
      </c>
      <c r="C37" s="983" t="s">
        <v>1346</v>
      </c>
      <c r="D37" s="1178" t="s">
        <v>1352</v>
      </c>
    </row>
    <row r="38" spans="2:4" x14ac:dyDescent="0.25">
      <c r="B38" s="1441"/>
      <c r="C38" s="983"/>
      <c r="D38" s="1178"/>
    </row>
    <row r="39" spans="2:4" x14ac:dyDescent="0.25">
      <c r="B39" s="1442" t="s">
        <v>1353</v>
      </c>
      <c r="C39" s="1124"/>
      <c r="D39" s="1178"/>
    </row>
    <row r="40" spans="2:4" x14ac:dyDescent="0.25">
      <c r="B40" s="1443">
        <v>40966</v>
      </c>
      <c r="C40" s="1124" t="s">
        <v>1354</v>
      </c>
      <c r="D40" s="1178" t="s">
        <v>1355</v>
      </c>
    </row>
    <row r="41" spans="2:4" x14ac:dyDescent="0.25">
      <c r="B41" s="1442" t="s">
        <v>1356</v>
      </c>
      <c r="C41" s="1124"/>
      <c r="D41" s="1178"/>
    </row>
    <row r="42" spans="2:4" x14ac:dyDescent="0.25">
      <c r="B42" s="1444">
        <v>40140</v>
      </c>
      <c r="C42" s="1124" t="s">
        <v>1357</v>
      </c>
      <c r="D42" s="1178" t="s">
        <v>1358</v>
      </c>
    </row>
    <row r="43" spans="2:4" x14ac:dyDescent="0.25">
      <c r="B43" s="1444">
        <v>39714</v>
      </c>
      <c r="C43" s="1124" t="s">
        <v>1354</v>
      </c>
      <c r="D43" s="1178" t="s">
        <v>1359</v>
      </c>
    </row>
    <row r="44" spans="2:4" x14ac:dyDescent="0.25">
      <c r="B44" s="1441">
        <v>39591</v>
      </c>
      <c r="C44" s="983" t="s">
        <v>1622</v>
      </c>
      <c r="D44" s="1178" t="s">
        <v>1623</v>
      </c>
    </row>
    <row r="45" spans="2:4" ht="26.4" x14ac:dyDescent="0.25">
      <c r="B45" s="1445">
        <v>39497</v>
      </c>
      <c r="C45" s="983" t="s">
        <v>1360</v>
      </c>
      <c r="D45" s="1178" t="s">
        <v>1361</v>
      </c>
    </row>
    <row r="46" spans="2:4" x14ac:dyDescent="0.25">
      <c r="B46" s="1441"/>
      <c r="C46" s="983"/>
      <c r="D46" s="1178"/>
    </row>
    <row r="47" spans="2:4" x14ac:dyDescent="0.25">
      <c r="B47" s="1441"/>
      <c r="C47" s="983"/>
      <c r="D47" s="1178"/>
    </row>
    <row r="48" spans="2:4" ht="13.8" thickBot="1" x14ac:dyDescent="0.3">
      <c r="B48" s="1446"/>
      <c r="C48" s="1447"/>
      <c r="D48" s="1179"/>
    </row>
    <row r="49" ht="13.8" thickTop="1" x14ac:dyDescent="0.25"/>
  </sheetData>
  <mergeCells count="1">
    <mergeCell ref="B26:D26"/>
  </mergeCells>
  <phoneticPr fontId="0"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workbookViewId="0">
      <selection activeCell="B12" sqref="B12"/>
    </sheetView>
  </sheetViews>
  <sheetFormatPr defaultRowHeight="13.2" x14ac:dyDescent="0.25"/>
  <cols>
    <col min="2" max="2" width="122" customWidth="1"/>
    <col min="3" max="3" width="41.6640625" customWidth="1"/>
    <col min="4" max="4" width="79.6640625" customWidth="1"/>
    <col min="5" max="5" width="17.33203125" customWidth="1"/>
  </cols>
  <sheetData>
    <row r="2" spans="2:2" ht="21" x14ac:dyDescent="0.5">
      <c r="B2" s="681" t="s">
        <v>405</v>
      </c>
    </row>
    <row r="4" spans="2:2" x14ac:dyDescent="0.25">
      <c r="B4" s="682" t="s">
        <v>205</v>
      </c>
    </row>
    <row r="5" spans="2:2" x14ac:dyDescent="0.25">
      <c r="B5" s="1034" t="s">
        <v>1624</v>
      </c>
    </row>
    <row r="6" spans="2:2" x14ac:dyDescent="0.25">
      <c r="B6" s="208"/>
    </row>
    <row r="7" spans="2:2" x14ac:dyDescent="0.25">
      <c r="B7" s="208"/>
    </row>
    <row r="8" spans="2:2" ht="13.8" thickBot="1" x14ac:dyDescent="0.3">
      <c r="B8" s="682" t="s">
        <v>206</v>
      </c>
    </row>
    <row r="9" spans="2:2" ht="92.4" x14ac:dyDescent="0.25">
      <c r="B9" s="1519" t="s">
        <v>1753</v>
      </c>
    </row>
    <row r="10" spans="2:2" ht="105.6" x14ac:dyDescent="0.25">
      <c r="B10" s="1520" t="s">
        <v>1754</v>
      </c>
    </row>
    <row r="11" spans="2:2" ht="66.599999999999994" thickBot="1" x14ac:dyDescent="0.3">
      <c r="B11" s="1521" t="s">
        <v>2601</v>
      </c>
    </row>
    <row r="13" spans="2:2" x14ac:dyDescent="0.25">
      <c r="B13" s="682" t="s">
        <v>207</v>
      </c>
    </row>
    <row r="14" spans="2:2" ht="92.4" x14ac:dyDescent="0.25">
      <c r="B14" s="1034" t="s">
        <v>1362</v>
      </c>
    </row>
    <row r="15" spans="2:2" x14ac:dyDescent="0.25">
      <c r="B15" s="208"/>
    </row>
    <row r="16" spans="2:2" x14ac:dyDescent="0.25">
      <c r="B16" s="208"/>
    </row>
    <row r="17" spans="2:2" x14ac:dyDescent="0.25">
      <c r="B17" s="682" t="s">
        <v>208</v>
      </c>
    </row>
    <row r="18" spans="2:2" x14ac:dyDescent="0.25">
      <c r="B18" s="1034" t="s">
        <v>1625</v>
      </c>
    </row>
    <row r="19" spans="2:2" x14ac:dyDescent="0.25">
      <c r="B19" s="208"/>
    </row>
    <row r="20" spans="2:2" x14ac:dyDescent="0.25">
      <c r="B20" s="1150" t="s">
        <v>209</v>
      </c>
    </row>
    <row r="21" spans="2:2" x14ac:dyDescent="0.25">
      <c r="B21" s="820"/>
    </row>
    <row r="22" spans="2:2" x14ac:dyDescent="0.25">
      <c r="B22" s="1034"/>
    </row>
    <row r="23" spans="2:2" x14ac:dyDescent="0.25">
      <c r="B23" s="1034"/>
    </row>
    <row r="24" spans="2:2" x14ac:dyDescent="0.25">
      <c r="B24" s="1034"/>
    </row>
    <row r="25" spans="2:2" x14ac:dyDescent="0.25">
      <c r="B25" s="820"/>
    </row>
    <row r="78" ht="81" customHeight="1" x14ac:dyDescent="0.25"/>
    <row r="80" ht="97.5" customHeight="1" x14ac:dyDescent="0.25"/>
    <row r="82" ht="68.25" customHeight="1" x14ac:dyDescent="0.25"/>
    <row r="84" ht="63" customHeight="1" x14ac:dyDescent="0.25"/>
    <row r="86" ht="63.75" customHeight="1" x14ac:dyDescent="0.25"/>
    <row r="88"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B4177"/>
  <sheetViews>
    <sheetView zoomScale="70" zoomScaleNormal="70" workbookViewId="0"/>
  </sheetViews>
  <sheetFormatPr defaultRowHeight="13.2" customHeight="1" x14ac:dyDescent="0.25"/>
  <cols>
    <col min="2" max="2" width="163.21875" customWidth="1"/>
    <col min="3" max="53" width="8.88671875" customWidth="1"/>
    <col min="258" max="267" width="8.88671875" customWidth="1"/>
    <col min="514" max="523" width="8.88671875" customWidth="1"/>
    <col min="770" max="779" width="8.88671875" customWidth="1"/>
    <col min="1026" max="1035" width="8.88671875" customWidth="1"/>
    <col min="1282" max="1291" width="8.88671875" customWidth="1"/>
    <col min="1538" max="1547" width="8.88671875" customWidth="1"/>
    <col min="1794" max="1803" width="8.88671875" customWidth="1"/>
    <col min="2050" max="2059" width="8.88671875" customWidth="1"/>
    <col min="2306" max="2315" width="8.88671875" customWidth="1"/>
    <col min="2562" max="2571" width="8.88671875" customWidth="1"/>
    <col min="2818" max="2827" width="8.88671875" customWidth="1"/>
    <col min="3074" max="3083" width="8.88671875" customWidth="1"/>
    <col min="3330" max="3339" width="8.88671875" customWidth="1"/>
    <col min="3586" max="3595" width="8.88671875" customWidth="1"/>
    <col min="3842" max="3851" width="8.88671875" customWidth="1"/>
    <col min="4098" max="4107" width="8.88671875" customWidth="1"/>
    <col min="4354" max="4363" width="8.88671875" customWidth="1"/>
    <col min="4610" max="4619" width="8.88671875" customWidth="1"/>
    <col min="4866" max="4875" width="8.88671875" customWidth="1"/>
    <col min="5122" max="5131" width="8.88671875" customWidth="1"/>
    <col min="5378" max="5387" width="8.88671875" customWidth="1"/>
    <col min="5634" max="5643" width="8.88671875" customWidth="1"/>
    <col min="5890" max="5899" width="8.88671875" customWidth="1"/>
    <col min="6146" max="6155" width="8.88671875" customWidth="1"/>
    <col min="6402" max="6411" width="8.88671875" customWidth="1"/>
    <col min="6658" max="6667" width="8.88671875" customWidth="1"/>
    <col min="6914" max="6923" width="8.88671875" customWidth="1"/>
    <col min="7170" max="7179" width="8.88671875" customWidth="1"/>
    <col min="7426" max="7435" width="8.88671875" customWidth="1"/>
    <col min="7682" max="7691" width="8.88671875" customWidth="1"/>
    <col min="7938" max="7947" width="8.88671875" customWidth="1"/>
    <col min="8194" max="8203" width="8.88671875" customWidth="1"/>
    <col min="8450" max="8459" width="8.88671875" customWidth="1"/>
    <col min="8706" max="8715" width="8.88671875" customWidth="1"/>
    <col min="8962" max="8971" width="8.88671875" customWidth="1"/>
    <col min="9218" max="9227" width="8.88671875" customWidth="1"/>
    <col min="9474" max="9483" width="8.88671875" customWidth="1"/>
    <col min="9730" max="9739" width="8.88671875" customWidth="1"/>
    <col min="9986" max="9995" width="8.88671875" customWidth="1"/>
    <col min="10242" max="10251" width="8.88671875" customWidth="1"/>
    <col min="10498" max="10507" width="8.88671875" customWidth="1"/>
    <col min="10754" max="10763" width="8.88671875" customWidth="1"/>
    <col min="11010" max="11019" width="8.88671875" customWidth="1"/>
    <col min="11266" max="11275" width="8.88671875" customWidth="1"/>
    <col min="11522" max="11531" width="8.88671875" customWidth="1"/>
    <col min="11778" max="11787" width="8.88671875" customWidth="1"/>
    <col min="12034" max="12043" width="8.88671875" customWidth="1"/>
    <col min="12290" max="12299" width="8.88671875" customWidth="1"/>
    <col min="12546" max="12555" width="8.88671875" customWidth="1"/>
    <col min="12802" max="12811" width="8.88671875" customWidth="1"/>
    <col min="13058" max="13067" width="8.88671875" customWidth="1"/>
    <col min="13314" max="13323" width="8.88671875" customWidth="1"/>
    <col min="13570" max="13579" width="8.88671875" customWidth="1"/>
    <col min="13826" max="13835" width="8.88671875" customWidth="1"/>
    <col min="14082" max="14091" width="8.88671875" customWidth="1"/>
    <col min="14338" max="14347" width="8.88671875" customWidth="1"/>
    <col min="14594" max="14603" width="8.88671875" customWidth="1"/>
    <col min="14850" max="14859" width="8.88671875" customWidth="1"/>
    <col min="15106" max="15115" width="8.88671875" customWidth="1"/>
    <col min="15362" max="15371" width="8.88671875" customWidth="1"/>
    <col min="15618" max="15627" width="8.88671875" customWidth="1"/>
    <col min="15874" max="15883" width="8.88671875" customWidth="1"/>
    <col min="16130" max="16139" width="8.88671875" customWidth="1"/>
  </cols>
  <sheetData>
    <row r="1" spans="1:2" x14ac:dyDescent="0.25">
      <c r="A1" s="879"/>
      <c r="B1" s="879"/>
    </row>
    <row r="2" spans="1:2" ht="21" x14ac:dyDescent="0.5">
      <c r="A2" s="879"/>
      <c r="B2" s="1154" t="s">
        <v>406</v>
      </c>
    </row>
    <row r="3" spans="1:2" x14ac:dyDescent="0.25">
      <c r="A3" s="879"/>
      <c r="B3" s="879"/>
    </row>
    <row r="4" spans="1:2" x14ac:dyDescent="0.25">
      <c r="A4" s="879"/>
      <c r="B4" s="879"/>
    </row>
    <row r="5" spans="1:2" x14ac:dyDescent="0.25">
      <c r="A5" s="879"/>
      <c r="B5" s="879"/>
    </row>
    <row r="6" spans="1:2" x14ac:dyDescent="0.25">
      <c r="A6" s="879"/>
      <c r="B6" s="1522"/>
    </row>
    <row r="7" spans="1:2" x14ac:dyDescent="0.25">
      <c r="A7" s="879"/>
      <c r="B7" s="682" t="s">
        <v>203</v>
      </c>
    </row>
    <row r="8" spans="1:2" ht="13.95" customHeight="1" x14ac:dyDescent="0.25">
      <c r="A8" s="879"/>
      <c r="B8" s="1034"/>
    </row>
    <row r="9" spans="1:2" x14ac:dyDescent="0.25">
      <c r="A9" s="879"/>
      <c r="B9" s="1152"/>
    </row>
    <row r="10" spans="1:2" x14ac:dyDescent="0.25">
      <c r="A10" s="879"/>
      <c r="B10" s="1152"/>
    </row>
    <row r="11" spans="1:2" x14ac:dyDescent="0.25">
      <c r="A11" s="879"/>
      <c r="B11" s="1152"/>
    </row>
    <row r="12" spans="1:2" x14ac:dyDescent="0.25">
      <c r="A12" s="879"/>
      <c r="B12" s="1152"/>
    </row>
    <row r="13" spans="1:2" x14ac:dyDescent="0.25">
      <c r="A13" s="879"/>
      <c r="B13" s="1152"/>
    </row>
    <row r="14" spans="1:2" x14ac:dyDescent="0.25">
      <c r="A14" s="879"/>
      <c r="B14" s="1152"/>
    </row>
    <row r="15" spans="1:2" x14ac:dyDescent="0.25">
      <c r="A15" s="879"/>
      <c r="B15" s="1152"/>
    </row>
    <row r="16" spans="1:2" x14ac:dyDescent="0.25">
      <c r="A16" s="879"/>
      <c r="B16" s="1152"/>
    </row>
    <row r="17" spans="1:2" x14ac:dyDescent="0.25">
      <c r="A17" s="879"/>
      <c r="B17" s="1152"/>
    </row>
    <row r="18" spans="1:2" x14ac:dyDescent="0.25">
      <c r="A18" s="879"/>
      <c r="B18" s="1152"/>
    </row>
    <row r="19" spans="1:2" x14ac:dyDescent="0.25">
      <c r="A19" s="879"/>
      <c r="B19" s="1152"/>
    </row>
    <row r="20" spans="1:2" x14ac:dyDescent="0.25">
      <c r="A20" s="879"/>
      <c r="B20" s="1152"/>
    </row>
    <row r="21" spans="1:2" x14ac:dyDescent="0.25">
      <c r="A21" s="879"/>
      <c r="B21" s="1152"/>
    </row>
    <row r="22" spans="1:2" x14ac:dyDescent="0.25">
      <c r="A22" s="879"/>
      <c r="B22" s="1152"/>
    </row>
    <row r="23" spans="1:2" x14ac:dyDescent="0.25">
      <c r="A23" s="879"/>
      <c r="B23" s="1152"/>
    </row>
    <row r="24" spans="1:2" x14ac:dyDescent="0.25">
      <c r="A24" s="879"/>
      <c r="B24" s="1152"/>
    </row>
    <row r="25" spans="1:2" x14ac:dyDescent="0.25">
      <c r="A25" s="879"/>
      <c r="B25" s="1152"/>
    </row>
    <row r="26" spans="1:2" x14ac:dyDescent="0.25">
      <c r="A26" s="879"/>
      <c r="B26" s="1152"/>
    </row>
    <row r="27" spans="1:2" x14ac:dyDescent="0.25">
      <c r="A27" s="879"/>
      <c r="B27" s="1152"/>
    </row>
    <row r="28" spans="1:2" x14ac:dyDescent="0.25">
      <c r="A28" s="879"/>
      <c r="B28" s="1152"/>
    </row>
    <row r="29" spans="1:2" x14ac:dyDescent="0.25">
      <c r="A29" s="879"/>
      <c r="B29" s="1152"/>
    </row>
    <row r="30" spans="1:2" x14ac:dyDescent="0.25">
      <c r="A30" s="879"/>
      <c r="B30" s="1152"/>
    </row>
    <row r="31" spans="1:2" x14ac:dyDescent="0.25">
      <c r="A31" s="879"/>
      <c r="B31" s="1152"/>
    </row>
    <row r="32" spans="1:2" x14ac:dyDescent="0.25">
      <c r="A32" s="879"/>
      <c r="B32" s="1152"/>
    </row>
    <row r="33" spans="1:2" x14ac:dyDescent="0.25">
      <c r="A33" s="879"/>
      <c r="B33" s="1152"/>
    </row>
    <row r="34" spans="1:2" x14ac:dyDescent="0.25">
      <c r="A34" s="879"/>
      <c r="B34" s="1152"/>
    </row>
    <row r="35" spans="1:2" x14ac:dyDescent="0.25">
      <c r="A35" s="879"/>
      <c r="B35" s="1152"/>
    </row>
    <row r="36" spans="1:2" x14ac:dyDescent="0.25">
      <c r="A36" s="879"/>
      <c r="B36" s="1152"/>
    </row>
    <row r="37" spans="1:2" x14ac:dyDescent="0.25">
      <c r="A37" s="879"/>
      <c r="B37" s="1152"/>
    </row>
    <row r="38" spans="1:2" x14ac:dyDescent="0.25">
      <c r="A38" s="879"/>
      <c r="B38" s="1153" t="s">
        <v>204</v>
      </c>
    </row>
    <row r="39" spans="1:2" x14ac:dyDescent="0.25">
      <c r="A39" s="879"/>
      <c r="B39" s="1034"/>
    </row>
    <row r="40" spans="1:2" x14ac:dyDescent="0.25">
      <c r="A40" s="879"/>
      <c r="B40" s="1523"/>
    </row>
    <row r="41" spans="1:2" x14ac:dyDescent="0.25">
      <c r="A41" s="879"/>
      <c r="B41" s="1448" t="s">
        <v>1755</v>
      </c>
    </row>
    <row r="42" spans="1:2" x14ac:dyDescent="0.25">
      <c r="A42" s="879"/>
      <c r="B42" s="1448" t="s">
        <v>1363</v>
      </c>
    </row>
    <row r="43" spans="1:2" x14ac:dyDescent="0.25">
      <c r="A43" s="879"/>
      <c r="B43" s="1448" t="s">
        <v>1364</v>
      </c>
    </row>
    <row r="44" spans="1:2" x14ac:dyDescent="0.25">
      <c r="A44" s="879"/>
      <c r="B44" s="1448" t="s">
        <v>1365</v>
      </c>
    </row>
    <row r="45" spans="1:2" x14ac:dyDescent="0.25">
      <c r="A45" s="879"/>
      <c r="B45" s="1448" t="s">
        <v>1756</v>
      </c>
    </row>
    <row r="46" spans="1:2" x14ac:dyDescent="0.25">
      <c r="A46" s="879"/>
      <c r="B46" s="1448" t="s">
        <v>1366</v>
      </c>
    </row>
    <row r="47" spans="1:2" x14ac:dyDescent="0.25">
      <c r="A47" s="879"/>
      <c r="B47" s="1448" t="s">
        <v>1757</v>
      </c>
    </row>
    <row r="48" spans="1:2" x14ac:dyDescent="0.25">
      <c r="A48" s="879"/>
      <c r="B48" s="1448" t="s">
        <v>1366</v>
      </c>
    </row>
    <row r="49" spans="1:2" x14ac:dyDescent="0.25">
      <c r="A49" s="879"/>
      <c r="B49" s="1448" t="s">
        <v>1758</v>
      </c>
    </row>
    <row r="50" spans="1:2" x14ac:dyDescent="0.25">
      <c r="A50" s="879"/>
      <c r="B50" s="1448" t="s">
        <v>1365</v>
      </c>
    </row>
    <row r="51" spans="1:2" x14ac:dyDescent="0.25">
      <c r="A51" s="879"/>
      <c r="B51" s="1448" t="s">
        <v>1367</v>
      </c>
    </row>
    <row r="52" spans="1:2" x14ac:dyDescent="0.25">
      <c r="A52" s="879"/>
      <c r="B52" s="1448" t="s">
        <v>1368</v>
      </c>
    </row>
    <row r="53" spans="1:2" x14ac:dyDescent="0.25">
      <c r="A53" s="879"/>
      <c r="B53" s="1448" t="s">
        <v>1365</v>
      </c>
    </row>
    <row r="54" spans="1:2" x14ac:dyDescent="0.25">
      <c r="A54" s="879"/>
      <c r="B54" s="1448" t="s">
        <v>1458</v>
      </c>
    </row>
    <row r="55" spans="1:2" x14ac:dyDescent="0.25">
      <c r="A55" s="879"/>
      <c r="B55" s="1448" t="s">
        <v>1459</v>
      </c>
    </row>
    <row r="56" spans="1:2" x14ac:dyDescent="0.25">
      <c r="A56" s="879"/>
      <c r="B56" s="1448" t="s">
        <v>1508</v>
      </c>
    </row>
    <row r="57" spans="1:2" x14ac:dyDescent="0.25">
      <c r="A57" s="879"/>
      <c r="B57" s="1448" t="s">
        <v>1626</v>
      </c>
    </row>
    <row r="58" spans="1:2" x14ac:dyDescent="0.25">
      <c r="A58" s="879"/>
      <c r="B58" s="1448" t="s">
        <v>1759</v>
      </c>
    </row>
    <row r="59" spans="1:2" x14ac:dyDescent="0.25">
      <c r="A59" s="879"/>
      <c r="B59" s="1448" t="s">
        <v>1760</v>
      </c>
    </row>
    <row r="60" spans="1:2" x14ac:dyDescent="0.25">
      <c r="A60" s="879"/>
      <c r="B60" s="1448" t="s">
        <v>1761</v>
      </c>
    </row>
    <row r="61" spans="1:2" x14ac:dyDescent="0.25">
      <c r="A61" s="879"/>
      <c r="B61" s="1448" t="s">
        <v>1627</v>
      </c>
    </row>
    <row r="62" spans="1:2" x14ac:dyDescent="0.25">
      <c r="A62" s="879"/>
      <c r="B62" s="1448" t="s">
        <v>1628</v>
      </c>
    </row>
    <row r="63" spans="1:2" x14ac:dyDescent="0.25">
      <c r="A63" s="879"/>
      <c r="B63" s="1448" t="s">
        <v>1762</v>
      </c>
    </row>
    <row r="64" spans="1:2" x14ac:dyDescent="0.25">
      <c r="A64" s="879"/>
      <c r="B64" s="1448" t="s">
        <v>1460</v>
      </c>
    </row>
    <row r="65" spans="1:2" x14ac:dyDescent="0.25">
      <c r="A65" s="879"/>
      <c r="B65" s="1448" t="s">
        <v>1380</v>
      </c>
    </row>
    <row r="66" spans="1:2" x14ac:dyDescent="0.25">
      <c r="A66" s="879"/>
      <c r="B66" s="1448" t="s">
        <v>1365</v>
      </c>
    </row>
    <row r="67" spans="1:2" x14ac:dyDescent="0.25">
      <c r="A67" s="879"/>
      <c r="B67" s="1448" t="s">
        <v>1458</v>
      </c>
    </row>
    <row r="68" spans="1:2" x14ac:dyDescent="0.25">
      <c r="A68" s="879"/>
      <c r="B68" s="1448" t="s">
        <v>1461</v>
      </c>
    </row>
    <row r="69" spans="1:2" x14ac:dyDescent="0.25">
      <c r="A69" s="879"/>
      <c r="B69" s="1448" t="s">
        <v>1629</v>
      </c>
    </row>
    <row r="70" spans="1:2" x14ac:dyDescent="0.25">
      <c r="A70" s="879"/>
      <c r="B70" s="1448" t="s">
        <v>1630</v>
      </c>
    </row>
    <row r="71" spans="1:2" x14ac:dyDescent="0.25">
      <c r="A71" s="879"/>
      <c r="B71" s="1448" t="s">
        <v>1763</v>
      </c>
    </row>
    <row r="72" spans="1:2" x14ac:dyDescent="0.25">
      <c r="A72" s="879"/>
      <c r="B72" s="1448" t="s">
        <v>1631</v>
      </c>
    </row>
    <row r="73" spans="1:2" x14ac:dyDescent="0.25">
      <c r="A73" s="879"/>
      <c r="B73" s="1448" t="s">
        <v>1632</v>
      </c>
    </row>
    <row r="74" spans="1:2" x14ac:dyDescent="0.25">
      <c r="A74" s="879"/>
      <c r="B74" s="1448" t="s">
        <v>1633</v>
      </c>
    </row>
    <row r="75" spans="1:2" x14ac:dyDescent="0.25">
      <c r="A75" s="879"/>
      <c r="B75" s="1448" t="s">
        <v>1634</v>
      </c>
    </row>
    <row r="76" spans="1:2" x14ac:dyDescent="0.25">
      <c r="A76" s="879"/>
      <c r="B76" s="1448" t="s">
        <v>1462</v>
      </c>
    </row>
    <row r="77" spans="1:2" x14ac:dyDescent="0.25">
      <c r="A77" s="879"/>
      <c r="B77" s="1448" t="s">
        <v>1463</v>
      </c>
    </row>
    <row r="78" spans="1:2" x14ac:dyDescent="0.25">
      <c r="A78" s="879"/>
      <c r="B78" s="1448" t="s">
        <v>1464</v>
      </c>
    </row>
    <row r="79" spans="1:2" x14ac:dyDescent="0.25">
      <c r="A79" s="879"/>
      <c r="B79" s="1448" t="s">
        <v>1465</v>
      </c>
    </row>
    <row r="80" spans="1:2" x14ac:dyDescent="0.25">
      <c r="A80" s="879"/>
      <c r="B80" s="1448" t="s">
        <v>1466</v>
      </c>
    </row>
    <row r="81" spans="1:2" x14ac:dyDescent="0.25">
      <c r="A81" s="879"/>
      <c r="B81" s="1448" t="s">
        <v>1467</v>
      </c>
    </row>
    <row r="82" spans="1:2" x14ac:dyDescent="0.25">
      <c r="A82" s="879"/>
      <c r="B82" s="1448" t="s">
        <v>1764</v>
      </c>
    </row>
    <row r="83" spans="1:2" x14ac:dyDescent="0.25">
      <c r="A83" s="879"/>
      <c r="B83" s="1448" t="s">
        <v>1468</v>
      </c>
    </row>
    <row r="84" spans="1:2" x14ac:dyDescent="0.25">
      <c r="A84" s="879"/>
      <c r="B84" s="1448" t="s">
        <v>1635</v>
      </c>
    </row>
    <row r="85" spans="1:2" ht="12.75" customHeight="1" x14ac:dyDescent="0.25">
      <c r="A85" s="879"/>
      <c r="B85" s="1448" t="s">
        <v>1765</v>
      </c>
    </row>
    <row r="86" spans="1:2" x14ac:dyDescent="0.25">
      <c r="A86" s="879"/>
      <c r="B86" s="1448" t="s">
        <v>1636</v>
      </c>
    </row>
    <row r="87" spans="1:2" x14ac:dyDescent="0.25">
      <c r="A87" s="879"/>
      <c r="B87" s="1448" t="s">
        <v>1469</v>
      </c>
    </row>
    <row r="88" spans="1:2" x14ac:dyDescent="0.25">
      <c r="A88" s="879"/>
      <c r="B88" s="1448" t="s">
        <v>1575</v>
      </c>
    </row>
    <row r="89" spans="1:2" x14ac:dyDescent="0.25">
      <c r="A89" s="879"/>
      <c r="B89" s="1448" t="s">
        <v>1637</v>
      </c>
    </row>
    <row r="90" spans="1:2" x14ac:dyDescent="0.25">
      <c r="A90" s="879"/>
      <c r="B90" s="1448" t="s">
        <v>1471</v>
      </c>
    </row>
    <row r="91" spans="1:2" x14ac:dyDescent="0.25">
      <c r="A91" s="879"/>
      <c r="B91" s="1448" t="s">
        <v>1472</v>
      </c>
    </row>
    <row r="92" spans="1:2" x14ac:dyDescent="0.25">
      <c r="A92" s="879"/>
      <c r="B92" s="1448" t="s">
        <v>1473</v>
      </c>
    </row>
    <row r="93" spans="1:2" x14ac:dyDescent="0.25">
      <c r="A93" s="879"/>
      <c r="B93" s="1448" t="s">
        <v>1638</v>
      </c>
    </row>
    <row r="94" spans="1:2" x14ac:dyDescent="0.25">
      <c r="A94" s="879"/>
      <c r="B94" s="1448" t="s">
        <v>1639</v>
      </c>
    </row>
    <row r="95" spans="1:2" x14ac:dyDescent="0.25">
      <c r="A95" s="879"/>
      <c r="B95" s="1448" t="s">
        <v>1474</v>
      </c>
    </row>
    <row r="96" spans="1:2" x14ac:dyDescent="0.25">
      <c r="A96" s="879"/>
      <c r="B96" s="1448" t="s">
        <v>1475</v>
      </c>
    </row>
    <row r="97" spans="1:2" x14ac:dyDescent="0.25">
      <c r="A97" s="879"/>
      <c r="B97" s="1448" t="s">
        <v>1476</v>
      </c>
    </row>
    <row r="98" spans="1:2" x14ac:dyDescent="0.25">
      <c r="A98" s="879"/>
      <c r="B98" s="1448" t="s">
        <v>1640</v>
      </c>
    </row>
    <row r="99" spans="1:2" x14ac:dyDescent="0.25">
      <c r="A99" s="879"/>
      <c r="B99" s="1448" t="s">
        <v>1641</v>
      </c>
    </row>
    <row r="100" spans="1:2" x14ac:dyDescent="0.25">
      <c r="A100" s="879"/>
      <c r="B100" s="1448" t="s">
        <v>1477</v>
      </c>
    </row>
    <row r="101" spans="1:2" x14ac:dyDescent="0.25">
      <c r="A101" s="879"/>
      <c r="B101" s="1448" t="s">
        <v>1478</v>
      </c>
    </row>
    <row r="102" spans="1:2" x14ac:dyDescent="0.25">
      <c r="A102" s="879"/>
      <c r="B102" s="1448" t="s">
        <v>1642</v>
      </c>
    </row>
    <row r="103" spans="1:2" x14ac:dyDescent="0.25">
      <c r="A103" s="879"/>
      <c r="B103" s="1448" t="s">
        <v>1576</v>
      </c>
    </row>
    <row r="104" spans="1:2" x14ac:dyDescent="0.25">
      <c r="A104" s="879"/>
      <c r="B104" s="1448" t="s">
        <v>1643</v>
      </c>
    </row>
    <row r="105" spans="1:2" x14ac:dyDescent="0.25">
      <c r="A105" s="879"/>
      <c r="B105" s="1448" t="s">
        <v>1644</v>
      </c>
    </row>
    <row r="106" spans="1:2" x14ac:dyDescent="0.25">
      <c r="A106" s="879"/>
      <c r="B106" s="1448" t="s">
        <v>1645</v>
      </c>
    </row>
    <row r="107" spans="1:2" x14ac:dyDescent="0.25">
      <c r="A107" s="879"/>
      <c r="B107" s="1448" t="s">
        <v>1646</v>
      </c>
    </row>
    <row r="108" spans="1:2" ht="14.4" customHeight="1" x14ac:dyDescent="0.25">
      <c r="A108" s="879"/>
      <c r="B108" s="1448" t="s">
        <v>1647</v>
      </c>
    </row>
    <row r="109" spans="1:2" x14ac:dyDescent="0.25">
      <c r="A109" s="879"/>
      <c r="B109" s="1448" t="s">
        <v>1648</v>
      </c>
    </row>
    <row r="110" spans="1:2" x14ac:dyDescent="0.25">
      <c r="A110" s="879"/>
      <c r="B110" s="1448" t="s">
        <v>1649</v>
      </c>
    </row>
    <row r="111" spans="1:2" x14ac:dyDescent="0.25">
      <c r="A111" s="879"/>
      <c r="B111" s="1448" t="s">
        <v>1479</v>
      </c>
    </row>
    <row r="112" spans="1:2" x14ac:dyDescent="0.25">
      <c r="A112" s="879"/>
      <c r="B112" s="1448" t="s">
        <v>1480</v>
      </c>
    </row>
    <row r="113" spans="1:2" x14ac:dyDescent="0.25">
      <c r="A113" s="879"/>
      <c r="B113" s="1448" t="s">
        <v>1481</v>
      </c>
    </row>
    <row r="114" spans="1:2" x14ac:dyDescent="0.25">
      <c r="A114" s="879"/>
      <c r="B114" s="1448" t="s">
        <v>1482</v>
      </c>
    </row>
    <row r="115" spans="1:2" x14ac:dyDescent="0.25">
      <c r="A115" s="879"/>
      <c r="B115" s="1448" t="s">
        <v>1428</v>
      </c>
    </row>
    <row r="116" spans="1:2" ht="14.4" customHeight="1" x14ac:dyDescent="0.25">
      <c r="A116" s="879"/>
      <c r="B116" s="1448" t="s">
        <v>1365</v>
      </c>
    </row>
    <row r="117" spans="1:2" x14ac:dyDescent="0.25">
      <c r="A117" s="879"/>
      <c r="B117" s="1448" t="s">
        <v>1447</v>
      </c>
    </row>
    <row r="118" spans="1:2" x14ac:dyDescent="0.25">
      <c r="A118" s="879"/>
      <c r="B118" s="1448" t="s">
        <v>1365</v>
      </c>
    </row>
    <row r="119" spans="1:2" x14ac:dyDescent="0.25">
      <c r="A119" s="879"/>
      <c r="B119" s="1448" t="s">
        <v>1448</v>
      </c>
    </row>
    <row r="120" spans="1:2" ht="15.6" customHeight="1" x14ac:dyDescent="0.25">
      <c r="A120" s="879"/>
      <c r="B120" s="1448" t="s">
        <v>1449</v>
      </c>
    </row>
    <row r="121" spans="1:2" x14ac:dyDescent="0.25">
      <c r="A121" s="879"/>
      <c r="B121" s="1448" t="s">
        <v>1450</v>
      </c>
    </row>
    <row r="122" spans="1:2" x14ac:dyDescent="0.25">
      <c r="A122" s="879"/>
      <c r="B122" s="1448" t="s">
        <v>1650</v>
      </c>
    </row>
    <row r="123" spans="1:2" x14ac:dyDescent="0.25">
      <c r="A123" s="879"/>
      <c r="B123" s="1448" t="s">
        <v>1651</v>
      </c>
    </row>
    <row r="124" spans="1:2" x14ac:dyDescent="0.25">
      <c r="A124" s="879"/>
      <c r="B124" s="1448" t="s">
        <v>1766</v>
      </c>
    </row>
    <row r="125" spans="1:2" x14ac:dyDescent="0.25">
      <c r="A125" s="879"/>
      <c r="B125" s="1448" t="s">
        <v>1652</v>
      </c>
    </row>
    <row r="126" spans="1:2" x14ac:dyDescent="0.25">
      <c r="A126" s="879"/>
      <c r="B126" s="1448" t="s">
        <v>1451</v>
      </c>
    </row>
    <row r="127" spans="1:2" x14ac:dyDescent="0.25">
      <c r="A127" s="879"/>
      <c r="B127" s="1448" t="s">
        <v>1483</v>
      </c>
    </row>
    <row r="128" spans="1:2" x14ac:dyDescent="0.25">
      <c r="A128" s="879"/>
      <c r="B128" s="1448" t="s">
        <v>1653</v>
      </c>
    </row>
    <row r="129" spans="1:2" x14ac:dyDescent="0.25">
      <c r="A129" s="879"/>
      <c r="B129" s="1448" t="s">
        <v>1654</v>
      </c>
    </row>
    <row r="130" spans="1:2" x14ac:dyDescent="0.25">
      <c r="A130" s="879"/>
      <c r="B130" s="1448" t="s">
        <v>1452</v>
      </c>
    </row>
    <row r="131" spans="1:2" x14ac:dyDescent="0.25">
      <c r="A131" s="879"/>
      <c r="B131" s="1448" t="s">
        <v>1484</v>
      </c>
    </row>
    <row r="132" spans="1:2" x14ac:dyDescent="0.25">
      <c r="A132" s="879"/>
      <c r="B132" s="1448" t="s">
        <v>1453</v>
      </c>
    </row>
    <row r="133" spans="1:2" x14ac:dyDescent="0.25">
      <c r="A133" s="879"/>
      <c r="B133" s="1448" t="s">
        <v>1767</v>
      </c>
    </row>
    <row r="134" spans="1:2" x14ac:dyDescent="0.25">
      <c r="A134" s="879"/>
      <c r="B134" s="1448" t="s">
        <v>1655</v>
      </c>
    </row>
    <row r="135" spans="1:2" x14ac:dyDescent="0.25">
      <c r="A135" s="879"/>
      <c r="B135" s="1448" t="s">
        <v>1768</v>
      </c>
    </row>
    <row r="136" spans="1:2" x14ac:dyDescent="0.25">
      <c r="A136" s="879"/>
      <c r="B136" s="1448" t="s">
        <v>1454</v>
      </c>
    </row>
    <row r="137" spans="1:2" x14ac:dyDescent="0.25">
      <c r="A137" s="879"/>
      <c r="B137" s="1448" t="s">
        <v>1365</v>
      </c>
    </row>
    <row r="138" spans="1:2" x14ac:dyDescent="0.25">
      <c r="A138" s="879"/>
      <c r="B138" s="1448" t="s">
        <v>1448</v>
      </c>
    </row>
    <row r="139" spans="1:2" x14ac:dyDescent="0.25">
      <c r="A139" s="879"/>
      <c r="B139" s="1448" t="s">
        <v>1449</v>
      </c>
    </row>
    <row r="140" spans="1:2" x14ac:dyDescent="0.25">
      <c r="A140" s="879"/>
      <c r="B140" s="1448" t="s">
        <v>1450</v>
      </c>
    </row>
    <row r="141" spans="1:2" x14ac:dyDescent="0.25">
      <c r="A141" s="879"/>
      <c r="B141" s="1448" t="s">
        <v>1650</v>
      </c>
    </row>
    <row r="142" spans="1:2" x14ac:dyDescent="0.25">
      <c r="A142" s="879"/>
      <c r="B142" s="1448" t="s">
        <v>1651</v>
      </c>
    </row>
    <row r="143" spans="1:2" x14ac:dyDescent="0.25">
      <c r="A143" s="879"/>
      <c r="B143" s="1448" t="s">
        <v>1766</v>
      </c>
    </row>
    <row r="144" spans="1:2" x14ac:dyDescent="0.25">
      <c r="A144" s="879"/>
      <c r="B144" s="1448" t="s">
        <v>1652</v>
      </c>
    </row>
    <row r="145" spans="1:2" x14ac:dyDescent="0.25">
      <c r="A145" s="879"/>
      <c r="B145" s="1448" t="s">
        <v>1451</v>
      </c>
    </row>
    <row r="146" spans="1:2" x14ac:dyDescent="0.25">
      <c r="A146" s="879"/>
      <c r="B146" s="1448" t="s">
        <v>1483</v>
      </c>
    </row>
    <row r="147" spans="1:2" x14ac:dyDescent="0.25">
      <c r="A147" s="879"/>
      <c r="B147" s="1448" t="s">
        <v>1653</v>
      </c>
    </row>
    <row r="148" spans="1:2" x14ac:dyDescent="0.25">
      <c r="A148" s="879"/>
      <c r="B148" s="1448" t="s">
        <v>1654</v>
      </c>
    </row>
    <row r="149" spans="1:2" x14ac:dyDescent="0.25">
      <c r="A149" s="879"/>
      <c r="B149" s="1448" t="s">
        <v>1452</v>
      </c>
    </row>
    <row r="150" spans="1:2" x14ac:dyDescent="0.25">
      <c r="A150" s="879"/>
      <c r="B150" s="1448" t="s">
        <v>1484</v>
      </c>
    </row>
    <row r="151" spans="1:2" x14ac:dyDescent="0.25">
      <c r="A151" s="879"/>
      <c r="B151" s="1448" t="s">
        <v>1453</v>
      </c>
    </row>
    <row r="152" spans="1:2" x14ac:dyDescent="0.25">
      <c r="A152" s="879"/>
      <c r="B152" s="1448" t="s">
        <v>1767</v>
      </c>
    </row>
    <row r="153" spans="1:2" x14ac:dyDescent="0.25">
      <c r="A153" s="879"/>
      <c r="B153" s="1448" t="s">
        <v>1655</v>
      </c>
    </row>
    <row r="154" spans="1:2" x14ac:dyDescent="0.25">
      <c r="A154" s="879"/>
      <c r="B154" s="1448" t="s">
        <v>1768</v>
      </c>
    </row>
    <row r="155" spans="1:2" x14ac:dyDescent="0.25">
      <c r="A155" s="879"/>
      <c r="B155" s="1448" t="s">
        <v>1656</v>
      </c>
    </row>
    <row r="156" spans="1:2" x14ac:dyDescent="0.25">
      <c r="A156" s="879"/>
      <c r="B156" s="1448" t="s">
        <v>1365</v>
      </c>
    </row>
    <row r="157" spans="1:2" x14ac:dyDescent="0.25">
      <c r="A157" s="879"/>
      <c r="B157" s="1448" t="s">
        <v>1657</v>
      </c>
    </row>
    <row r="158" spans="1:2" x14ac:dyDescent="0.25">
      <c r="A158" s="879"/>
      <c r="B158" s="1448" t="s">
        <v>1658</v>
      </c>
    </row>
    <row r="159" spans="1:2" x14ac:dyDescent="0.25">
      <c r="A159" s="879"/>
      <c r="B159" s="1448" t="s">
        <v>1659</v>
      </c>
    </row>
    <row r="160" spans="1:2" x14ac:dyDescent="0.25">
      <c r="A160" s="879"/>
      <c r="B160" s="1448" t="s">
        <v>1660</v>
      </c>
    </row>
    <row r="161" spans="1:2" x14ac:dyDescent="0.25">
      <c r="A161" s="879"/>
      <c r="B161" s="1448" t="s">
        <v>1661</v>
      </c>
    </row>
    <row r="162" spans="1:2" x14ac:dyDescent="0.25">
      <c r="A162" s="879"/>
      <c r="B162" s="1448" t="s">
        <v>1662</v>
      </c>
    </row>
    <row r="163" spans="1:2" x14ac:dyDescent="0.25">
      <c r="A163" s="879"/>
      <c r="B163" s="1448" t="s">
        <v>1663</v>
      </c>
    </row>
    <row r="164" spans="1:2" x14ac:dyDescent="0.25">
      <c r="A164" s="879"/>
      <c r="B164" s="1448" t="s">
        <v>1664</v>
      </c>
    </row>
    <row r="165" spans="1:2" x14ac:dyDescent="0.25">
      <c r="A165" s="879"/>
      <c r="B165" s="1448" t="s">
        <v>1665</v>
      </c>
    </row>
    <row r="166" spans="1:2" x14ac:dyDescent="0.25">
      <c r="A166" s="879"/>
      <c r="B166" s="1448" t="s">
        <v>1666</v>
      </c>
    </row>
    <row r="167" spans="1:2" x14ac:dyDescent="0.25">
      <c r="A167" s="879"/>
      <c r="B167" s="1448" t="s">
        <v>1667</v>
      </c>
    </row>
    <row r="168" spans="1:2" x14ac:dyDescent="0.25">
      <c r="A168" s="879"/>
      <c r="B168" s="1448" t="s">
        <v>1668</v>
      </c>
    </row>
    <row r="169" spans="1:2" x14ac:dyDescent="0.25">
      <c r="A169" s="879"/>
      <c r="B169" s="1448" t="s">
        <v>1669</v>
      </c>
    </row>
    <row r="170" spans="1:2" x14ac:dyDescent="0.25">
      <c r="A170" s="879"/>
      <c r="B170" s="1448" t="s">
        <v>1670</v>
      </c>
    </row>
    <row r="171" spans="1:2" x14ac:dyDescent="0.25">
      <c r="A171" s="879"/>
      <c r="B171" s="1448" t="s">
        <v>1671</v>
      </c>
    </row>
    <row r="172" spans="1:2" x14ac:dyDescent="0.25">
      <c r="A172" s="879"/>
      <c r="B172" s="1448" t="s">
        <v>1769</v>
      </c>
    </row>
    <row r="173" spans="1:2" x14ac:dyDescent="0.25">
      <c r="A173" s="879"/>
      <c r="B173" s="1448" t="s">
        <v>1365</v>
      </c>
    </row>
    <row r="174" spans="1:2" x14ac:dyDescent="0.25">
      <c r="A174" s="879"/>
      <c r="B174" s="1448" t="s">
        <v>1770</v>
      </c>
    </row>
    <row r="175" spans="1:2" x14ac:dyDescent="0.25">
      <c r="A175" s="879"/>
      <c r="B175" s="1448" t="s">
        <v>1771</v>
      </c>
    </row>
    <row r="176" spans="1:2" x14ac:dyDescent="0.25">
      <c r="A176" s="879"/>
      <c r="B176" s="1448" t="s">
        <v>1772</v>
      </c>
    </row>
    <row r="177" spans="1:2" x14ac:dyDescent="0.25">
      <c r="A177" s="879"/>
      <c r="B177" s="1448" t="s">
        <v>1365</v>
      </c>
    </row>
    <row r="178" spans="1:2" x14ac:dyDescent="0.25">
      <c r="A178" s="879"/>
      <c r="B178" s="1448" t="s">
        <v>1773</v>
      </c>
    </row>
    <row r="179" spans="1:2" x14ac:dyDescent="0.25">
      <c r="A179" s="879"/>
      <c r="B179" s="1448"/>
    </row>
    <row r="180" spans="1:2" x14ac:dyDescent="0.25">
      <c r="A180" s="879"/>
      <c r="B180" s="1448"/>
    </row>
    <row r="181" spans="1:2" x14ac:dyDescent="0.25">
      <c r="A181" s="879"/>
      <c r="B181" s="1448" t="s">
        <v>1366</v>
      </c>
    </row>
    <row r="182" spans="1:2" x14ac:dyDescent="0.25">
      <c r="A182" s="879"/>
      <c r="B182" s="1448" t="s">
        <v>1774</v>
      </c>
    </row>
    <row r="183" spans="1:2" x14ac:dyDescent="0.25">
      <c r="A183" s="879"/>
      <c r="B183" s="1448" t="s">
        <v>1366</v>
      </c>
    </row>
    <row r="184" spans="1:2" x14ac:dyDescent="0.25">
      <c r="A184" s="879"/>
      <c r="B184" s="1448" t="s">
        <v>1674</v>
      </c>
    </row>
    <row r="185" spans="1:2" x14ac:dyDescent="0.25">
      <c r="A185" s="879"/>
      <c r="B185" s="1448" t="s">
        <v>1365</v>
      </c>
    </row>
    <row r="186" spans="1:2" x14ac:dyDescent="0.25">
      <c r="A186" s="879"/>
      <c r="B186" s="1448" t="s">
        <v>1367</v>
      </c>
    </row>
    <row r="187" spans="1:2" x14ac:dyDescent="0.25">
      <c r="A187" s="879"/>
      <c r="B187" s="1448" t="s">
        <v>1368</v>
      </c>
    </row>
    <row r="188" spans="1:2" x14ac:dyDescent="0.25">
      <c r="A188" s="879"/>
      <c r="B188" s="1448" t="s">
        <v>1365</v>
      </c>
    </row>
    <row r="189" spans="1:2" x14ac:dyDescent="0.25">
      <c r="A189" s="879"/>
      <c r="B189" s="1448" t="s">
        <v>1458</v>
      </c>
    </row>
    <row r="190" spans="1:2" x14ac:dyDescent="0.25">
      <c r="A190" s="879"/>
      <c r="B190" s="1448" t="s">
        <v>1459</v>
      </c>
    </row>
    <row r="191" spans="1:2" x14ac:dyDescent="0.25">
      <c r="A191" s="879"/>
      <c r="B191" s="1448" t="s">
        <v>1775</v>
      </c>
    </row>
    <row r="192" spans="1:2" x14ac:dyDescent="0.25">
      <c r="A192" s="879"/>
      <c r="B192" s="1448" t="s">
        <v>1685</v>
      </c>
    </row>
    <row r="193" spans="1:2" x14ac:dyDescent="0.25">
      <c r="A193" s="879"/>
      <c r="B193" s="1448" t="s">
        <v>1776</v>
      </c>
    </row>
    <row r="194" spans="1:2" x14ac:dyDescent="0.25">
      <c r="A194" s="879"/>
      <c r="B194" s="1448" t="s">
        <v>1777</v>
      </c>
    </row>
    <row r="195" spans="1:2" x14ac:dyDescent="0.25">
      <c r="A195" s="879"/>
      <c r="B195" s="1448" t="s">
        <v>1778</v>
      </c>
    </row>
    <row r="196" spans="1:2" x14ac:dyDescent="0.25">
      <c r="A196" s="879"/>
      <c r="B196" s="1448" t="s">
        <v>1779</v>
      </c>
    </row>
    <row r="197" spans="1:2" x14ac:dyDescent="0.25">
      <c r="A197" s="879"/>
      <c r="B197" s="1448" t="s">
        <v>1723</v>
      </c>
    </row>
    <row r="198" spans="1:2" x14ac:dyDescent="0.25">
      <c r="A198" s="879"/>
      <c r="B198" s="1448" t="s">
        <v>1780</v>
      </c>
    </row>
    <row r="199" spans="1:2" x14ac:dyDescent="0.25">
      <c r="A199" s="879"/>
      <c r="B199" s="1448" t="s">
        <v>1460</v>
      </c>
    </row>
    <row r="200" spans="1:2" x14ac:dyDescent="0.25">
      <c r="A200" s="879"/>
      <c r="B200" s="1448" t="s">
        <v>1380</v>
      </c>
    </row>
    <row r="201" spans="1:2" x14ac:dyDescent="0.25">
      <c r="A201" s="879"/>
      <c r="B201" s="1448" t="s">
        <v>1365</v>
      </c>
    </row>
    <row r="202" spans="1:2" x14ac:dyDescent="0.25">
      <c r="A202" s="879"/>
      <c r="B202" s="1448" t="s">
        <v>1458</v>
      </c>
    </row>
    <row r="203" spans="1:2" x14ac:dyDescent="0.25">
      <c r="A203" s="879"/>
      <c r="B203" s="1448" t="s">
        <v>1781</v>
      </c>
    </row>
    <row r="204" spans="1:2" x14ac:dyDescent="0.25">
      <c r="A204" s="879"/>
      <c r="B204" s="1448" t="s">
        <v>1782</v>
      </c>
    </row>
    <row r="205" spans="1:2" x14ac:dyDescent="0.25">
      <c r="A205" s="879"/>
      <c r="B205" s="1448" t="s">
        <v>1783</v>
      </c>
    </row>
    <row r="206" spans="1:2" x14ac:dyDescent="0.25">
      <c r="A206" s="879"/>
      <c r="B206" s="1448" t="s">
        <v>1784</v>
      </c>
    </row>
    <row r="207" spans="1:2" x14ac:dyDescent="0.25">
      <c r="A207" s="879"/>
      <c r="B207" s="1448" t="s">
        <v>1785</v>
      </c>
    </row>
    <row r="208" spans="1:2" x14ac:dyDescent="0.25">
      <c r="A208" s="879"/>
      <c r="B208" s="1448" t="s">
        <v>1786</v>
      </c>
    </row>
    <row r="209" spans="1:2" x14ac:dyDescent="0.25">
      <c r="A209" s="879"/>
      <c r="B209" s="1448" t="s">
        <v>1787</v>
      </c>
    </row>
    <row r="210" spans="1:2" x14ac:dyDescent="0.25">
      <c r="A210" s="879"/>
      <c r="B210" s="1448" t="s">
        <v>1686</v>
      </c>
    </row>
    <row r="211" spans="1:2" x14ac:dyDescent="0.25">
      <c r="A211" s="879"/>
      <c r="B211" s="1448" t="s">
        <v>1788</v>
      </c>
    </row>
    <row r="212" spans="1:2" x14ac:dyDescent="0.25">
      <c r="A212" s="879"/>
      <c r="B212" s="1448" t="s">
        <v>1789</v>
      </c>
    </row>
    <row r="213" spans="1:2" x14ac:dyDescent="0.25">
      <c r="A213" s="879"/>
      <c r="B213" s="1448" t="s">
        <v>1464</v>
      </c>
    </row>
    <row r="214" spans="1:2" x14ac:dyDescent="0.25">
      <c r="A214" s="879"/>
      <c r="B214" s="1448" t="s">
        <v>1465</v>
      </c>
    </row>
    <row r="215" spans="1:2" x14ac:dyDescent="0.25">
      <c r="A215" s="879"/>
      <c r="B215" s="1448" t="s">
        <v>1790</v>
      </c>
    </row>
    <row r="216" spans="1:2" x14ac:dyDescent="0.25">
      <c r="A216" s="879"/>
      <c r="B216" s="1448" t="s">
        <v>1467</v>
      </c>
    </row>
    <row r="217" spans="1:2" x14ac:dyDescent="0.25">
      <c r="A217" s="879"/>
      <c r="B217" s="1448" t="s">
        <v>1791</v>
      </c>
    </row>
    <row r="218" spans="1:2" x14ac:dyDescent="0.25">
      <c r="A218" s="879"/>
      <c r="B218" s="1448" t="s">
        <v>1792</v>
      </c>
    </row>
    <row r="219" spans="1:2" x14ac:dyDescent="0.25">
      <c r="A219" s="879"/>
      <c r="B219" s="1448" t="s">
        <v>1793</v>
      </c>
    </row>
    <row r="220" spans="1:2" x14ac:dyDescent="0.25">
      <c r="A220" s="879"/>
      <c r="B220" s="1448" t="s">
        <v>1794</v>
      </c>
    </row>
    <row r="221" spans="1:2" x14ac:dyDescent="0.25">
      <c r="A221" s="879"/>
      <c r="B221" s="1448" t="s">
        <v>1795</v>
      </c>
    </row>
    <row r="222" spans="1:2" x14ac:dyDescent="0.25">
      <c r="A222" s="879"/>
      <c r="B222" s="1448" t="s">
        <v>1469</v>
      </c>
    </row>
    <row r="223" spans="1:2" x14ac:dyDescent="0.25">
      <c r="A223" s="879"/>
      <c r="B223" s="1448" t="s">
        <v>1506</v>
      </c>
    </row>
    <row r="224" spans="1:2" x14ac:dyDescent="0.25">
      <c r="A224" s="879"/>
      <c r="B224" s="1448" t="s">
        <v>1796</v>
      </c>
    </row>
    <row r="225" spans="1:2" x14ac:dyDescent="0.25">
      <c r="A225" s="879"/>
      <c r="B225" s="1448" t="s">
        <v>1471</v>
      </c>
    </row>
    <row r="226" spans="1:2" x14ac:dyDescent="0.25">
      <c r="A226" s="879"/>
      <c r="B226" s="1448" t="s">
        <v>1797</v>
      </c>
    </row>
    <row r="227" spans="1:2" x14ac:dyDescent="0.25">
      <c r="A227" s="879"/>
      <c r="B227" s="1448" t="s">
        <v>1798</v>
      </c>
    </row>
    <row r="228" spans="1:2" x14ac:dyDescent="0.25">
      <c r="A228" s="879"/>
      <c r="B228" s="1448" t="s">
        <v>1799</v>
      </c>
    </row>
    <row r="229" spans="1:2" x14ac:dyDescent="0.25">
      <c r="A229" s="879"/>
      <c r="B229" s="1448" t="s">
        <v>1800</v>
      </c>
    </row>
    <row r="230" spans="1:2" x14ac:dyDescent="0.25">
      <c r="A230" s="879"/>
      <c r="B230" s="1448" t="s">
        <v>1474</v>
      </c>
    </row>
    <row r="231" spans="1:2" x14ac:dyDescent="0.25">
      <c r="A231" s="879"/>
      <c r="B231" s="1448" t="s">
        <v>1475</v>
      </c>
    </row>
    <row r="232" spans="1:2" x14ac:dyDescent="0.25">
      <c r="A232" s="879"/>
      <c r="B232" s="1448" t="s">
        <v>1476</v>
      </c>
    </row>
    <row r="233" spans="1:2" x14ac:dyDescent="0.25">
      <c r="A233" s="879"/>
      <c r="B233" s="1448" t="s">
        <v>1801</v>
      </c>
    </row>
    <row r="234" spans="1:2" x14ac:dyDescent="0.25">
      <c r="A234" s="879"/>
      <c r="B234" s="1448" t="s">
        <v>1802</v>
      </c>
    </row>
    <row r="235" spans="1:2" x14ac:dyDescent="0.25">
      <c r="A235" s="879"/>
      <c r="B235" s="1448" t="s">
        <v>1477</v>
      </c>
    </row>
    <row r="236" spans="1:2" x14ac:dyDescent="0.25">
      <c r="A236" s="879"/>
      <c r="B236" s="1448" t="s">
        <v>1478</v>
      </c>
    </row>
    <row r="237" spans="1:2" x14ac:dyDescent="0.25">
      <c r="A237" s="879"/>
      <c r="B237" s="1448" t="s">
        <v>1803</v>
      </c>
    </row>
    <row r="238" spans="1:2" x14ac:dyDescent="0.25">
      <c r="A238" s="879"/>
      <c r="B238" s="1448" t="s">
        <v>1804</v>
      </c>
    </row>
    <row r="239" spans="1:2" x14ac:dyDescent="0.25">
      <c r="A239" s="879"/>
      <c r="B239" s="1448" t="s">
        <v>1805</v>
      </c>
    </row>
    <row r="240" spans="1:2" x14ac:dyDescent="0.25">
      <c r="A240" s="879"/>
      <c r="B240" s="1448" t="s">
        <v>1806</v>
      </c>
    </row>
    <row r="241" spans="1:2" x14ac:dyDescent="0.25">
      <c r="A241" s="879"/>
      <c r="B241" s="1448" t="s">
        <v>1807</v>
      </c>
    </row>
    <row r="242" spans="1:2" x14ac:dyDescent="0.25">
      <c r="A242" s="879"/>
      <c r="B242" s="1448" t="s">
        <v>1808</v>
      </c>
    </row>
    <row r="243" spans="1:2" x14ac:dyDescent="0.25">
      <c r="A243" s="879"/>
      <c r="B243" s="1448" t="s">
        <v>1809</v>
      </c>
    </row>
    <row r="244" spans="1:2" x14ac:dyDescent="0.25">
      <c r="A244" s="879"/>
      <c r="B244" s="1448" t="s">
        <v>1810</v>
      </c>
    </row>
    <row r="245" spans="1:2" x14ac:dyDescent="0.25">
      <c r="A245" s="879"/>
      <c r="B245" s="1448" t="s">
        <v>1811</v>
      </c>
    </row>
    <row r="246" spans="1:2" x14ac:dyDescent="0.25">
      <c r="A246" s="879"/>
      <c r="B246" s="1448" t="s">
        <v>1479</v>
      </c>
    </row>
    <row r="247" spans="1:2" x14ac:dyDescent="0.25">
      <c r="A247" s="879"/>
      <c r="B247" s="1448" t="s">
        <v>1812</v>
      </c>
    </row>
    <row r="248" spans="1:2" x14ac:dyDescent="0.25">
      <c r="A248" s="879"/>
      <c r="B248" s="1448" t="s">
        <v>1481</v>
      </c>
    </row>
    <row r="249" spans="1:2" x14ac:dyDescent="0.25">
      <c r="A249" s="879"/>
      <c r="B249" s="1448" t="s">
        <v>1813</v>
      </c>
    </row>
    <row r="250" spans="1:2" x14ac:dyDescent="0.25">
      <c r="A250" s="879"/>
      <c r="B250" s="1448" t="s">
        <v>1428</v>
      </c>
    </row>
    <row r="251" spans="1:2" x14ac:dyDescent="0.25">
      <c r="A251" s="879"/>
      <c r="B251" s="1448" t="s">
        <v>1365</v>
      </c>
    </row>
    <row r="252" spans="1:2" x14ac:dyDescent="0.25">
      <c r="A252" s="879"/>
      <c r="B252" s="1448" t="s">
        <v>1447</v>
      </c>
    </row>
    <row r="253" spans="1:2" x14ac:dyDescent="0.25">
      <c r="A253" s="879"/>
      <c r="B253" s="1448" t="s">
        <v>1365</v>
      </c>
    </row>
    <row r="254" spans="1:2" x14ac:dyDescent="0.25">
      <c r="A254" s="879"/>
      <c r="B254" s="1448" t="s">
        <v>1448</v>
      </c>
    </row>
    <row r="255" spans="1:2" x14ac:dyDescent="0.25">
      <c r="A255" s="879"/>
      <c r="B255" s="1448" t="s">
        <v>1449</v>
      </c>
    </row>
    <row r="256" spans="1:2" x14ac:dyDescent="0.25">
      <c r="A256" s="879"/>
      <c r="B256" s="1448" t="s">
        <v>1450</v>
      </c>
    </row>
    <row r="257" spans="1:2" x14ac:dyDescent="0.25">
      <c r="A257" s="879"/>
      <c r="B257" s="1448" t="s">
        <v>1650</v>
      </c>
    </row>
    <row r="258" spans="1:2" x14ac:dyDescent="0.25">
      <c r="A258" s="879"/>
      <c r="B258" s="1448" t="s">
        <v>1651</v>
      </c>
    </row>
    <row r="259" spans="1:2" x14ac:dyDescent="0.25">
      <c r="A259" s="879"/>
      <c r="B259" s="1448" t="s">
        <v>1814</v>
      </c>
    </row>
    <row r="260" spans="1:2" x14ac:dyDescent="0.25">
      <c r="A260" s="879"/>
      <c r="B260" s="1448" t="s">
        <v>1652</v>
      </c>
    </row>
    <row r="261" spans="1:2" x14ac:dyDescent="0.25">
      <c r="A261" s="879"/>
      <c r="B261" s="1448" t="s">
        <v>1451</v>
      </c>
    </row>
    <row r="262" spans="1:2" x14ac:dyDescent="0.25">
      <c r="A262" s="879"/>
      <c r="B262" s="1448" t="s">
        <v>1815</v>
      </c>
    </row>
    <row r="263" spans="1:2" x14ac:dyDescent="0.25">
      <c r="A263" s="879"/>
      <c r="B263" s="1448" t="s">
        <v>1816</v>
      </c>
    </row>
    <row r="264" spans="1:2" x14ac:dyDescent="0.25">
      <c r="A264" s="879"/>
      <c r="B264" s="1448" t="s">
        <v>1654</v>
      </c>
    </row>
    <row r="265" spans="1:2" x14ac:dyDescent="0.25">
      <c r="A265" s="879"/>
      <c r="B265" s="1448" t="s">
        <v>1817</v>
      </c>
    </row>
    <row r="266" spans="1:2" x14ac:dyDescent="0.25">
      <c r="A266" s="879"/>
      <c r="B266" s="1448" t="s">
        <v>1818</v>
      </c>
    </row>
    <row r="267" spans="1:2" x14ac:dyDescent="0.25">
      <c r="A267" s="879"/>
      <c r="B267" s="1448" t="s">
        <v>1453</v>
      </c>
    </row>
    <row r="268" spans="1:2" x14ac:dyDescent="0.25">
      <c r="A268" s="879"/>
      <c r="B268" s="1448" t="s">
        <v>1819</v>
      </c>
    </row>
    <row r="269" spans="1:2" x14ac:dyDescent="0.25">
      <c r="A269" s="879"/>
      <c r="B269" s="1448" t="s">
        <v>1655</v>
      </c>
    </row>
    <row r="270" spans="1:2" x14ac:dyDescent="0.25">
      <c r="A270" s="879"/>
      <c r="B270" s="1448" t="s">
        <v>1820</v>
      </c>
    </row>
    <row r="271" spans="1:2" x14ac:dyDescent="0.25">
      <c r="A271" s="879"/>
      <c r="B271" s="1448" t="s">
        <v>1454</v>
      </c>
    </row>
    <row r="272" spans="1:2" x14ac:dyDescent="0.25">
      <c r="A272" s="879"/>
      <c r="B272" s="1448" t="s">
        <v>1365</v>
      </c>
    </row>
    <row r="273" spans="1:2" x14ac:dyDescent="0.25">
      <c r="A273" s="879"/>
      <c r="B273" s="1448" t="s">
        <v>1448</v>
      </c>
    </row>
    <row r="274" spans="1:2" x14ac:dyDescent="0.25">
      <c r="A274" s="879"/>
      <c r="B274" s="1448" t="s">
        <v>1449</v>
      </c>
    </row>
    <row r="275" spans="1:2" x14ac:dyDescent="0.25">
      <c r="A275" s="879"/>
      <c r="B275" s="1448" t="s">
        <v>1450</v>
      </c>
    </row>
    <row r="276" spans="1:2" x14ac:dyDescent="0.25">
      <c r="A276" s="879"/>
      <c r="B276" s="1448" t="s">
        <v>1650</v>
      </c>
    </row>
    <row r="277" spans="1:2" x14ac:dyDescent="0.25">
      <c r="A277" s="879"/>
      <c r="B277" s="1448" t="s">
        <v>1651</v>
      </c>
    </row>
    <row r="278" spans="1:2" x14ac:dyDescent="0.25">
      <c r="A278" s="879"/>
      <c r="B278" s="1448" t="s">
        <v>1814</v>
      </c>
    </row>
    <row r="279" spans="1:2" x14ac:dyDescent="0.25">
      <c r="A279" s="879"/>
      <c r="B279" s="1448" t="s">
        <v>1652</v>
      </c>
    </row>
    <row r="280" spans="1:2" x14ac:dyDescent="0.25">
      <c r="A280" s="879"/>
      <c r="B280" s="1448" t="s">
        <v>1451</v>
      </c>
    </row>
    <row r="281" spans="1:2" x14ac:dyDescent="0.25">
      <c r="A281" s="879"/>
      <c r="B281" s="1448" t="s">
        <v>1815</v>
      </c>
    </row>
    <row r="282" spans="1:2" x14ac:dyDescent="0.25">
      <c r="A282" s="879"/>
      <c r="B282" s="1448" t="s">
        <v>1816</v>
      </c>
    </row>
    <row r="283" spans="1:2" x14ac:dyDescent="0.25">
      <c r="A283" s="879"/>
      <c r="B283" s="1448" t="s">
        <v>1654</v>
      </c>
    </row>
    <row r="284" spans="1:2" x14ac:dyDescent="0.25">
      <c r="A284" s="879"/>
      <c r="B284" s="1448" t="s">
        <v>1817</v>
      </c>
    </row>
    <row r="285" spans="1:2" x14ac:dyDescent="0.25">
      <c r="A285" s="879"/>
      <c r="B285" s="1448" t="s">
        <v>1818</v>
      </c>
    </row>
    <row r="286" spans="1:2" x14ac:dyDescent="0.25">
      <c r="A286" s="879"/>
      <c r="B286" s="1448" t="s">
        <v>1453</v>
      </c>
    </row>
    <row r="287" spans="1:2" x14ac:dyDescent="0.25">
      <c r="A287" s="879"/>
      <c r="B287" s="1448" t="s">
        <v>1819</v>
      </c>
    </row>
    <row r="288" spans="1:2" x14ac:dyDescent="0.25">
      <c r="A288" s="879"/>
      <c r="B288" s="1448" t="s">
        <v>1655</v>
      </c>
    </row>
    <row r="289" spans="1:2" x14ac:dyDescent="0.25">
      <c r="A289" s="879"/>
      <c r="B289" s="1448" t="s">
        <v>1820</v>
      </c>
    </row>
    <row r="290" spans="1:2" x14ac:dyDescent="0.25">
      <c r="A290" s="879"/>
      <c r="B290" s="1448" t="s">
        <v>1656</v>
      </c>
    </row>
    <row r="291" spans="1:2" x14ac:dyDescent="0.25">
      <c r="A291" s="879"/>
      <c r="B291" s="1448" t="s">
        <v>1365</v>
      </c>
    </row>
    <row r="292" spans="1:2" x14ac:dyDescent="0.25">
      <c r="A292" s="879"/>
      <c r="B292" s="1448" t="s">
        <v>1657</v>
      </c>
    </row>
    <row r="293" spans="1:2" x14ac:dyDescent="0.25">
      <c r="A293" s="879"/>
      <c r="B293" s="1448" t="s">
        <v>1658</v>
      </c>
    </row>
    <row r="294" spans="1:2" x14ac:dyDescent="0.25">
      <c r="A294" s="879"/>
      <c r="B294" s="1448" t="s">
        <v>1659</v>
      </c>
    </row>
    <row r="295" spans="1:2" x14ac:dyDescent="0.25">
      <c r="A295" s="879"/>
      <c r="B295" s="1448" t="s">
        <v>1660</v>
      </c>
    </row>
    <row r="296" spans="1:2" x14ac:dyDescent="0.25">
      <c r="A296" s="879"/>
      <c r="B296" s="1448" t="s">
        <v>1661</v>
      </c>
    </row>
    <row r="297" spans="1:2" x14ac:dyDescent="0.25">
      <c r="A297" s="879"/>
      <c r="B297" s="1448" t="s">
        <v>1662</v>
      </c>
    </row>
    <row r="298" spans="1:2" x14ac:dyDescent="0.25">
      <c r="A298" s="879"/>
      <c r="B298" s="1448" t="s">
        <v>1663</v>
      </c>
    </row>
    <row r="299" spans="1:2" x14ac:dyDescent="0.25">
      <c r="A299" s="879"/>
      <c r="B299" s="1448" t="s">
        <v>1664</v>
      </c>
    </row>
    <row r="300" spans="1:2" x14ac:dyDescent="0.25">
      <c r="A300" s="879"/>
      <c r="B300" s="1448" t="s">
        <v>1665</v>
      </c>
    </row>
    <row r="301" spans="1:2" x14ac:dyDescent="0.25">
      <c r="A301" s="879"/>
      <c r="B301" s="1448" t="s">
        <v>1666</v>
      </c>
    </row>
    <row r="302" spans="1:2" x14ac:dyDescent="0.25">
      <c r="A302" s="879"/>
      <c r="B302" s="1448" t="s">
        <v>1667</v>
      </c>
    </row>
    <row r="303" spans="1:2" x14ac:dyDescent="0.25">
      <c r="A303" s="879"/>
      <c r="B303" s="1448" t="s">
        <v>1668</v>
      </c>
    </row>
    <row r="304" spans="1:2" x14ac:dyDescent="0.25">
      <c r="A304" s="879"/>
      <c r="B304" s="1448" t="s">
        <v>1669</v>
      </c>
    </row>
    <row r="305" spans="1:2" x14ac:dyDescent="0.25">
      <c r="A305" s="879"/>
      <c r="B305" s="1448" t="s">
        <v>1670</v>
      </c>
    </row>
    <row r="306" spans="1:2" x14ac:dyDescent="0.25">
      <c r="A306" s="879"/>
      <c r="B306" s="1448" t="s">
        <v>1671</v>
      </c>
    </row>
    <row r="307" spans="1:2" x14ac:dyDescent="0.25">
      <c r="A307" s="879"/>
      <c r="B307" s="1448" t="s">
        <v>1769</v>
      </c>
    </row>
    <row r="308" spans="1:2" x14ac:dyDescent="0.25">
      <c r="A308" s="879"/>
      <c r="B308" s="1448" t="s">
        <v>1365</v>
      </c>
    </row>
    <row r="309" spans="1:2" x14ac:dyDescent="0.25">
      <c r="A309" s="879"/>
      <c r="B309" s="1448" t="s">
        <v>1770</v>
      </c>
    </row>
    <row r="310" spans="1:2" x14ac:dyDescent="0.25">
      <c r="A310" s="879"/>
      <c r="B310" s="1448" t="s">
        <v>1821</v>
      </c>
    </row>
    <row r="311" spans="1:2" x14ac:dyDescent="0.25">
      <c r="A311" s="879"/>
      <c r="B311" s="1448" t="s">
        <v>1772</v>
      </c>
    </row>
    <row r="312" spans="1:2" x14ac:dyDescent="0.25">
      <c r="A312" s="879"/>
      <c r="B312" s="1448" t="s">
        <v>1365</v>
      </c>
    </row>
    <row r="313" spans="1:2" x14ac:dyDescent="0.25">
      <c r="A313" s="879"/>
      <c r="B313" s="1448" t="s">
        <v>1773</v>
      </c>
    </row>
    <row r="314" spans="1:2" x14ac:dyDescent="0.25">
      <c r="A314" s="879"/>
      <c r="B314" s="1448"/>
    </row>
    <row r="315" spans="1:2" x14ac:dyDescent="0.25">
      <c r="A315" s="879"/>
      <c r="B315" s="1448"/>
    </row>
    <row r="316" spans="1:2" x14ac:dyDescent="0.25">
      <c r="A316" s="879"/>
      <c r="B316" s="1448" t="s">
        <v>1366</v>
      </c>
    </row>
    <row r="317" spans="1:2" x14ac:dyDescent="0.25">
      <c r="A317" s="879"/>
      <c r="B317" s="1448" t="s">
        <v>1822</v>
      </c>
    </row>
    <row r="318" spans="1:2" x14ac:dyDescent="0.25">
      <c r="A318" s="879"/>
      <c r="B318" s="1448" t="s">
        <v>1366</v>
      </c>
    </row>
    <row r="319" spans="1:2" x14ac:dyDescent="0.25">
      <c r="A319" s="879"/>
      <c r="B319" s="1448" t="s">
        <v>1677</v>
      </c>
    </row>
    <row r="320" spans="1:2" x14ac:dyDescent="0.25">
      <c r="A320" s="879"/>
      <c r="B320" s="1448" t="s">
        <v>1365</v>
      </c>
    </row>
    <row r="321" spans="1:2" x14ac:dyDescent="0.25">
      <c r="A321" s="879"/>
      <c r="B321" s="1448" t="s">
        <v>1367</v>
      </c>
    </row>
    <row r="322" spans="1:2" x14ac:dyDescent="0.25">
      <c r="A322" s="879"/>
      <c r="B322" s="1448" t="s">
        <v>1368</v>
      </c>
    </row>
    <row r="323" spans="1:2" x14ac:dyDescent="0.25">
      <c r="A323" s="879"/>
      <c r="B323" s="1448" t="s">
        <v>1365</v>
      </c>
    </row>
    <row r="324" spans="1:2" x14ac:dyDescent="0.25">
      <c r="A324" s="879"/>
      <c r="B324" s="1448" t="s">
        <v>1430</v>
      </c>
    </row>
    <row r="325" spans="1:2" x14ac:dyDescent="0.25">
      <c r="A325" s="879"/>
      <c r="B325" s="1448" t="s">
        <v>1431</v>
      </c>
    </row>
    <row r="326" spans="1:2" x14ac:dyDescent="0.25">
      <c r="A326" s="879"/>
      <c r="B326" s="1448" t="s">
        <v>1823</v>
      </c>
    </row>
    <row r="327" spans="1:2" x14ac:dyDescent="0.25">
      <c r="A327" s="879"/>
      <c r="B327" s="1448" t="s">
        <v>1824</v>
      </c>
    </row>
    <row r="328" spans="1:2" x14ac:dyDescent="0.25">
      <c r="A328" s="879"/>
      <c r="B328" s="1448" t="s">
        <v>1825</v>
      </c>
    </row>
    <row r="329" spans="1:2" x14ac:dyDescent="0.25">
      <c r="A329" s="879"/>
      <c r="B329" s="1448" t="s">
        <v>1826</v>
      </c>
    </row>
    <row r="330" spans="1:2" x14ac:dyDescent="0.25">
      <c r="A330" s="879"/>
      <c r="B330" s="1448" t="s">
        <v>1827</v>
      </c>
    </row>
    <row r="331" spans="1:2" x14ac:dyDescent="0.25">
      <c r="A331" s="879"/>
      <c r="B331" s="1448" t="s">
        <v>1828</v>
      </c>
    </row>
    <row r="332" spans="1:2" x14ac:dyDescent="0.25">
      <c r="A332" s="879"/>
      <c r="B332" s="1448" t="s">
        <v>1829</v>
      </c>
    </row>
    <row r="333" spans="1:2" x14ac:dyDescent="0.25">
      <c r="A333" s="879"/>
      <c r="B333" s="1448" t="s">
        <v>1830</v>
      </c>
    </row>
    <row r="334" spans="1:2" x14ac:dyDescent="0.25">
      <c r="A334" s="879"/>
      <c r="B334" s="1448" t="s">
        <v>1432</v>
      </c>
    </row>
    <row r="335" spans="1:2" x14ac:dyDescent="0.25">
      <c r="A335" s="879"/>
      <c r="B335" s="1448" t="s">
        <v>1380</v>
      </c>
    </row>
    <row r="336" spans="1:2" x14ac:dyDescent="0.25">
      <c r="A336" s="879"/>
      <c r="B336" s="1448" t="s">
        <v>1365</v>
      </c>
    </row>
    <row r="337" spans="1:2" x14ac:dyDescent="0.25">
      <c r="A337" s="879"/>
      <c r="B337" s="1448" t="s">
        <v>1430</v>
      </c>
    </row>
    <row r="338" spans="1:2" x14ac:dyDescent="0.25">
      <c r="A338" s="879"/>
      <c r="B338" s="1448" t="s">
        <v>1831</v>
      </c>
    </row>
    <row r="339" spans="1:2" x14ac:dyDescent="0.25">
      <c r="A339" s="879"/>
      <c r="B339" s="1448" t="s">
        <v>1832</v>
      </c>
    </row>
    <row r="340" spans="1:2" x14ac:dyDescent="0.25">
      <c r="A340" s="879"/>
      <c r="B340" s="1448" t="s">
        <v>1833</v>
      </c>
    </row>
    <row r="341" spans="1:2" x14ac:dyDescent="0.25">
      <c r="A341" s="879"/>
      <c r="B341" s="1448" t="s">
        <v>1834</v>
      </c>
    </row>
    <row r="342" spans="1:2" x14ac:dyDescent="0.25">
      <c r="A342" s="879"/>
      <c r="B342" s="1448" t="s">
        <v>1835</v>
      </c>
    </row>
    <row r="343" spans="1:2" x14ac:dyDescent="0.25">
      <c r="A343" s="879"/>
      <c r="B343" s="1448" t="s">
        <v>1836</v>
      </c>
    </row>
    <row r="344" spans="1:2" x14ac:dyDescent="0.25">
      <c r="A344" s="879"/>
      <c r="B344" s="1448" t="s">
        <v>1837</v>
      </c>
    </row>
    <row r="345" spans="1:2" x14ac:dyDescent="0.25">
      <c r="A345" s="879"/>
      <c r="B345" s="1448" t="s">
        <v>1838</v>
      </c>
    </row>
    <row r="346" spans="1:2" x14ac:dyDescent="0.25">
      <c r="A346" s="879"/>
      <c r="B346" s="1448" t="s">
        <v>1839</v>
      </c>
    </row>
    <row r="347" spans="1:2" x14ac:dyDescent="0.25">
      <c r="A347" s="879"/>
      <c r="B347" s="1448" t="s">
        <v>1840</v>
      </c>
    </row>
    <row r="348" spans="1:2" x14ac:dyDescent="0.25">
      <c r="A348" s="879"/>
      <c r="B348" s="1448" t="s">
        <v>1433</v>
      </c>
    </row>
    <row r="349" spans="1:2" x14ac:dyDescent="0.25">
      <c r="A349" s="879"/>
      <c r="B349" s="1448" t="s">
        <v>1434</v>
      </c>
    </row>
    <row r="350" spans="1:2" x14ac:dyDescent="0.25">
      <c r="A350" s="879"/>
      <c r="B350" s="1448" t="s">
        <v>1841</v>
      </c>
    </row>
    <row r="351" spans="1:2" x14ac:dyDescent="0.25">
      <c r="A351" s="879"/>
      <c r="B351" s="1448" t="s">
        <v>1435</v>
      </c>
    </row>
    <row r="352" spans="1:2" x14ac:dyDescent="0.25">
      <c r="A352" s="879"/>
      <c r="B352" s="1448" t="s">
        <v>1842</v>
      </c>
    </row>
    <row r="353" spans="1:2" x14ac:dyDescent="0.25">
      <c r="A353" s="879"/>
      <c r="B353" s="1448" t="s">
        <v>1843</v>
      </c>
    </row>
    <row r="354" spans="1:2" x14ac:dyDescent="0.25">
      <c r="A354" s="879"/>
      <c r="B354" s="1448" t="s">
        <v>1844</v>
      </c>
    </row>
    <row r="355" spans="1:2" x14ac:dyDescent="0.25">
      <c r="A355" s="879"/>
      <c r="B355" s="1448" t="s">
        <v>1845</v>
      </c>
    </row>
    <row r="356" spans="1:2" x14ac:dyDescent="0.25">
      <c r="A356" s="879"/>
      <c r="B356" s="1448" t="s">
        <v>1846</v>
      </c>
    </row>
    <row r="357" spans="1:2" x14ac:dyDescent="0.25">
      <c r="A357" s="879"/>
      <c r="B357" s="1448" t="s">
        <v>1436</v>
      </c>
    </row>
    <row r="358" spans="1:2" x14ac:dyDescent="0.25">
      <c r="A358" s="879"/>
      <c r="B358" s="1448" t="s">
        <v>1437</v>
      </c>
    </row>
    <row r="359" spans="1:2" x14ac:dyDescent="0.25">
      <c r="A359" s="879"/>
      <c r="B359" s="1448" t="s">
        <v>1847</v>
      </c>
    </row>
    <row r="360" spans="1:2" x14ac:dyDescent="0.25">
      <c r="A360" s="879"/>
      <c r="B360" s="1448" t="s">
        <v>1438</v>
      </c>
    </row>
    <row r="361" spans="1:2" x14ac:dyDescent="0.25">
      <c r="A361" s="879"/>
      <c r="B361" s="1448" t="s">
        <v>1570</v>
      </c>
    </row>
    <row r="362" spans="1:2" x14ac:dyDescent="0.25">
      <c r="A362" s="879"/>
      <c r="B362" s="1448" t="s">
        <v>1848</v>
      </c>
    </row>
    <row r="363" spans="1:2" x14ac:dyDescent="0.25">
      <c r="A363" s="879"/>
      <c r="B363" s="1448" t="s">
        <v>1849</v>
      </c>
    </row>
    <row r="364" spans="1:2" x14ac:dyDescent="0.25">
      <c r="A364" s="879"/>
      <c r="B364" s="1448" t="s">
        <v>1850</v>
      </c>
    </row>
    <row r="365" spans="1:2" x14ac:dyDescent="0.25">
      <c r="A365" s="879"/>
      <c r="B365" s="1448" t="s">
        <v>1439</v>
      </c>
    </row>
    <row r="366" spans="1:2" x14ac:dyDescent="0.25">
      <c r="A366" s="879"/>
      <c r="B366" s="1448" t="s">
        <v>1440</v>
      </c>
    </row>
    <row r="367" spans="1:2" x14ac:dyDescent="0.25">
      <c r="A367" s="879"/>
      <c r="B367" s="1448" t="s">
        <v>1441</v>
      </c>
    </row>
    <row r="368" spans="1:2" x14ac:dyDescent="0.25">
      <c r="A368" s="879"/>
      <c r="B368" s="1448" t="s">
        <v>1851</v>
      </c>
    </row>
    <row r="369" spans="1:2" x14ac:dyDescent="0.25">
      <c r="A369" s="879"/>
      <c r="B369" s="1448" t="s">
        <v>1852</v>
      </c>
    </row>
    <row r="370" spans="1:2" x14ac:dyDescent="0.25">
      <c r="A370" s="879"/>
      <c r="B370" s="1448" t="s">
        <v>1442</v>
      </c>
    </row>
    <row r="371" spans="1:2" x14ac:dyDescent="0.25">
      <c r="A371" s="879"/>
      <c r="B371" s="1448" t="s">
        <v>1443</v>
      </c>
    </row>
    <row r="372" spans="1:2" x14ac:dyDescent="0.25">
      <c r="A372" s="879"/>
      <c r="B372" s="1448" t="s">
        <v>1853</v>
      </c>
    </row>
    <row r="373" spans="1:2" x14ac:dyDescent="0.25">
      <c r="A373" s="879"/>
      <c r="B373" s="1448" t="s">
        <v>1854</v>
      </c>
    </row>
    <row r="374" spans="1:2" x14ac:dyDescent="0.25">
      <c r="A374" s="879"/>
      <c r="B374" s="1448" t="s">
        <v>1855</v>
      </c>
    </row>
    <row r="375" spans="1:2" x14ac:dyDescent="0.25">
      <c r="A375" s="879"/>
      <c r="B375" s="1448" t="s">
        <v>1856</v>
      </c>
    </row>
    <row r="376" spans="1:2" x14ac:dyDescent="0.25">
      <c r="A376" s="879"/>
      <c r="B376" s="1448" t="s">
        <v>1857</v>
      </c>
    </row>
    <row r="377" spans="1:2" x14ac:dyDescent="0.25">
      <c r="A377" s="879"/>
      <c r="B377" s="1448" t="s">
        <v>1858</v>
      </c>
    </row>
    <row r="378" spans="1:2" x14ac:dyDescent="0.25">
      <c r="A378" s="879"/>
      <c r="B378" s="1448" t="s">
        <v>1859</v>
      </c>
    </row>
    <row r="379" spans="1:2" x14ac:dyDescent="0.25">
      <c r="A379" s="879"/>
      <c r="B379" s="1448" t="s">
        <v>1860</v>
      </c>
    </row>
    <row r="380" spans="1:2" x14ac:dyDescent="0.25">
      <c r="A380" s="879"/>
      <c r="B380" s="1448" t="s">
        <v>1861</v>
      </c>
    </row>
    <row r="381" spans="1:2" x14ac:dyDescent="0.25">
      <c r="A381" s="879"/>
      <c r="B381" s="1448" t="s">
        <v>1444</v>
      </c>
    </row>
    <row r="382" spans="1:2" x14ac:dyDescent="0.25">
      <c r="A382" s="879"/>
      <c r="B382" s="1448" t="s">
        <v>1862</v>
      </c>
    </row>
    <row r="383" spans="1:2" x14ac:dyDescent="0.25">
      <c r="A383" s="879"/>
      <c r="B383" s="1448" t="s">
        <v>1445</v>
      </c>
    </row>
    <row r="384" spans="1:2" x14ac:dyDescent="0.25">
      <c r="A384" s="879"/>
      <c r="B384" s="1448" t="s">
        <v>1863</v>
      </c>
    </row>
    <row r="385" spans="1:2" x14ac:dyDescent="0.25">
      <c r="A385" s="879"/>
      <c r="B385" s="1448" t="s">
        <v>1428</v>
      </c>
    </row>
    <row r="386" spans="1:2" x14ac:dyDescent="0.25">
      <c r="A386" s="879"/>
      <c r="B386" s="1448" t="s">
        <v>1365</v>
      </c>
    </row>
    <row r="387" spans="1:2" x14ac:dyDescent="0.25">
      <c r="A387" s="879"/>
      <c r="B387" s="1448" t="s">
        <v>1447</v>
      </c>
    </row>
    <row r="388" spans="1:2" x14ac:dyDescent="0.25">
      <c r="A388" s="879"/>
      <c r="B388" s="1448" t="s">
        <v>1365</v>
      </c>
    </row>
    <row r="389" spans="1:2" x14ac:dyDescent="0.25">
      <c r="A389" s="879"/>
      <c r="B389" s="1448" t="s">
        <v>1448</v>
      </c>
    </row>
    <row r="390" spans="1:2" x14ac:dyDescent="0.25">
      <c r="A390" s="879"/>
      <c r="B390" s="1448" t="s">
        <v>1449</v>
      </c>
    </row>
    <row r="391" spans="1:2" x14ac:dyDescent="0.25">
      <c r="A391" s="879"/>
      <c r="B391" s="1448" t="s">
        <v>1450</v>
      </c>
    </row>
    <row r="392" spans="1:2" x14ac:dyDescent="0.25">
      <c r="A392" s="879"/>
      <c r="B392" s="1448" t="s">
        <v>1650</v>
      </c>
    </row>
    <row r="393" spans="1:2" x14ac:dyDescent="0.25">
      <c r="A393" s="879"/>
      <c r="B393" s="1448" t="s">
        <v>1651</v>
      </c>
    </row>
    <row r="394" spans="1:2" x14ac:dyDescent="0.25">
      <c r="A394" s="879"/>
      <c r="B394" s="1448" t="s">
        <v>1814</v>
      </c>
    </row>
    <row r="395" spans="1:2" x14ac:dyDescent="0.25">
      <c r="A395" s="879"/>
      <c r="B395" s="1448" t="s">
        <v>1652</v>
      </c>
    </row>
    <row r="396" spans="1:2" x14ac:dyDescent="0.25">
      <c r="A396" s="879"/>
      <c r="B396" s="1448" t="s">
        <v>1451</v>
      </c>
    </row>
    <row r="397" spans="1:2" x14ac:dyDescent="0.25">
      <c r="A397" s="879"/>
      <c r="B397" s="1448" t="s">
        <v>1815</v>
      </c>
    </row>
    <row r="398" spans="1:2" x14ac:dyDescent="0.25">
      <c r="A398" s="879"/>
      <c r="B398" s="1448" t="s">
        <v>1816</v>
      </c>
    </row>
    <row r="399" spans="1:2" x14ac:dyDescent="0.25">
      <c r="A399" s="879"/>
      <c r="B399" s="1448" t="s">
        <v>1654</v>
      </c>
    </row>
    <row r="400" spans="1:2" x14ac:dyDescent="0.25">
      <c r="A400" s="879"/>
      <c r="B400" s="1448" t="s">
        <v>1817</v>
      </c>
    </row>
    <row r="401" spans="1:2" x14ac:dyDescent="0.25">
      <c r="A401" s="879"/>
      <c r="B401" s="1448" t="s">
        <v>1818</v>
      </c>
    </row>
    <row r="402" spans="1:2" x14ac:dyDescent="0.25">
      <c r="A402" s="879"/>
      <c r="B402" s="1448" t="s">
        <v>1453</v>
      </c>
    </row>
    <row r="403" spans="1:2" x14ac:dyDescent="0.25">
      <c r="A403" s="879"/>
      <c r="B403" s="1448" t="s">
        <v>1819</v>
      </c>
    </row>
    <row r="404" spans="1:2" x14ac:dyDescent="0.25">
      <c r="A404" s="879"/>
      <c r="B404" s="1448" t="s">
        <v>1655</v>
      </c>
    </row>
    <row r="405" spans="1:2" x14ac:dyDescent="0.25">
      <c r="A405" s="879"/>
      <c r="B405" s="1448" t="s">
        <v>1820</v>
      </c>
    </row>
    <row r="406" spans="1:2" x14ac:dyDescent="0.25">
      <c r="A406" s="879"/>
      <c r="B406" s="1448" t="s">
        <v>1454</v>
      </c>
    </row>
    <row r="407" spans="1:2" x14ac:dyDescent="0.25">
      <c r="A407" s="879"/>
      <c r="B407" s="1448" t="s">
        <v>1365</v>
      </c>
    </row>
    <row r="408" spans="1:2" x14ac:dyDescent="0.25">
      <c r="A408" s="879"/>
      <c r="B408" s="1448" t="s">
        <v>1448</v>
      </c>
    </row>
    <row r="409" spans="1:2" x14ac:dyDescent="0.25">
      <c r="A409" s="879"/>
      <c r="B409" s="1448" t="s">
        <v>1449</v>
      </c>
    </row>
    <row r="410" spans="1:2" x14ac:dyDescent="0.25">
      <c r="A410" s="879"/>
      <c r="B410" s="1448" t="s">
        <v>1450</v>
      </c>
    </row>
    <row r="411" spans="1:2" x14ac:dyDescent="0.25">
      <c r="A411" s="879"/>
      <c r="B411" s="1448" t="s">
        <v>1650</v>
      </c>
    </row>
    <row r="412" spans="1:2" x14ac:dyDescent="0.25">
      <c r="A412" s="879"/>
      <c r="B412" s="1448" t="s">
        <v>1651</v>
      </c>
    </row>
    <row r="413" spans="1:2" x14ac:dyDescent="0.25">
      <c r="A413" s="879"/>
      <c r="B413" s="1448" t="s">
        <v>1814</v>
      </c>
    </row>
    <row r="414" spans="1:2" x14ac:dyDescent="0.25">
      <c r="A414" s="879"/>
      <c r="B414" s="1448" t="s">
        <v>1652</v>
      </c>
    </row>
    <row r="415" spans="1:2" x14ac:dyDescent="0.25">
      <c r="A415" s="879"/>
      <c r="B415" s="1448" t="s">
        <v>1451</v>
      </c>
    </row>
    <row r="416" spans="1:2" x14ac:dyDescent="0.25">
      <c r="A416" s="879"/>
      <c r="B416" s="1448" t="s">
        <v>1815</v>
      </c>
    </row>
    <row r="417" spans="1:2" x14ac:dyDescent="0.25">
      <c r="A417" s="879"/>
      <c r="B417" s="1448" t="s">
        <v>1816</v>
      </c>
    </row>
    <row r="418" spans="1:2" x14ac:dyDescent="0.25">
      <c r="A418" s="879"/>
      <c r="B418" s="1448" t="s">
        <v>1654</v>
      </c>
    </row>
    <row r="419" spans="1:2" x14ac:dyDescent="0.25">
      <c r="A419" s="879"/>
      <c r="B419" s="1448" t="s">
        <v>1817</v>
      </c>
    </row>
    <row r="420" spans="1:2" x14ac:dyDescent="0.25">
      <c r="A420" s="879"/>
      <c r="B420" s="1448" t="s">
        <v>1818</v>
      </c>
    </row>
    <row r="421" spans="1:2" x14ac:dyDescent="0.25">
      <c r="A421" s="879"/>
      <c r="B421" s="1448" t="s">
        <v>1453</v>
      </c>
    </row>
    <row r="422" spans="1:2" x14ac:dyDescent="0.25">
      <c r="A422" s="879"/>
      <c r="B422" s="1448" t="s">
        <v>1819</v>
      </c>
    </row>
    <row r="423" spans="1:2" x14ac:dyDescent="0.25">
      <c r="A423" s="879"/>
      <c r="B423" s="1448" t="s">
        <v>1655</v>
      </c>
    </row>
    <row r="424" spans="1:2" x14ac:dyDescent="0.25">
      <c r="A424" s="879"/>
      <c r="B424" s="1448" t="s">
        <v>1820</v>
      </c>
    </row>
    <row r="425" spans="1:2" x14ac:dyDescent="0.25">
      <c r="A425" s="879"/>
      <c r="B425" s="1448" t="s">
        <v>1455</v>
      </c>
    </row>
    <row r="426" spans="1:2" x14ac:dyDescent="0.25">
      <c r="A426" s="879"/>
      <c r="B426" s="1448" t="s">
        <v>1365</v>
      </c>
    </row>
    <row r="427" spans="1:2" x14ac:dyDescent="0.25">
      <c r="A427" s="879"/>
      <c r="B427" s="1448" t="s">
        <v>1448</v>
      </c>
    </row>
    <row r="428" spans="1:2" x14ac:dyDescent="0.25">
      <c r="A428" s="879"/>
      <c r="B428" s="1448" t="s">
        <v>1449</v>
      </c>
    </row>
    <row r="429" spans="1:2" x14ac:dyDescent="0.25">
      <c r="A429" s="879"/>
      <c r="B429" s="1448" t="s">
        <v>1450</v>
      </c>
    </row>
    <row r="430" spans="1:2" x14ac:dyDescent="0.25">
      <c r="A430" s="879"/>
      <c r="B430" s="1448" t="s">
        <v>1650</v>
      </c>
    </row>
    <row r="431" spans="1:2" x14ac:dyDescent="0.25">
      <c r="A431" s="879"/>
      <c r="B431" s="1448" t="s">
        <v>1651</v>
      </c>
    </row>
    <row r="432" spans="1:2" x14ac:dyDescent="0.25">
      <c r="A432" s="879"/>
      <c r="B432" s="1448" t="s">
        <v>1864</v>
      </c>
    </row>
    <row r="433" spans="1:2" x14ac:dyDescent="0.25">
      <c r="A433" s="879"/>
      <c r="B433" s="1448" t="s">
        <v>1652</v>
      </c>
    </row>
    <row r="434" spans="1:2" x14ac:dyDescent="0.25">
      <c r="A434" s="879"/>
      <c r="B434" s="1448" t="s">
        <v>1451</v>
      </c>
    </row>
    <row r="435" spans="1:2" x14ac:dyDescent="0.25">
      <c r="A435" s="879"/>
      <c r="B435" s="1448" t="s">
        <v>1865</v>
      </c>
    </row>
    <row r="436" spans="1:2" x14ac:dyDescent="0.25">
      <c r="A436" s="879"/>
      <c r="B436" s="1448" t="s">
        <v>1653</v>
      </c>
    </row>
    <row r="437" spans="1:2" x14ac:dyDescent="0.25">
      <c r="A437" s="879"/>
      <c r="B437" s="1448" t="s">
        <v>1654</v>
      </c>
    </row>
    <row r="438" spans="1:2" x14ac:dyDescent="0.25">
      <c r="A438" s="879"/>
      <c r="B438" s="1448" t="s">
        <v>1452</v>
      </c>
    </row>
    <row r="439" spans="1:2" x14ac:dyDescent="0.25">
      <c r="A439" s="879"/>
      <c r="B439" s="1448" t="s">
        <v>1866</v>
      </c>
    </row>
    <row r="440" spans="1:2" x14ac:dyDescent="0.25">
      <c r="A440" s="879"/>
      <c r="B440" s="1448" t="s">
        <v>1453</v>
      </c>
    </row>
    <row r="441" spans="1:2" x14ac:dyDescent="0.25">
      <c r="A441" s="879"/>
      <c r="B441" s="1448" t="s">
        <v>1867</v>
      </c>
    </row>
    <row r="442" spans="1:2" x14ac:dyDescent="0.25">
      <c r="A442" s="879"/>
      <c r="B442" s="1448" t="s">
        <v>1655</v>
      </c>
    </row>
    <row r="443" spans="1:2" x14ac:dyDescent="0.25">
      <c r="A443" s="879"/>
      <c r="B443" s="1448" t="s">
        <v>1456</v>
      </c>
    </row>
    <row r="444" spans="1:2" x14ac:dyDescent="0.25">
      <c r="A444" s="879"/>
      <c r="B444" s="1448" t="s">
        <v>1457</v>
      </c>
    </row>
    <row r="445" spans="1:2" x14ac:dyDescent="0.25">
      <c r="A445" s="879"/>
      <c r="B445" s="1448" t="s">
        <v>1365</v>
      </c>
    </row>
    <row r="446" spans="1:2" x14ac:dyDescent="0.25">
      <c r="A446" s="879"/>
      <c r="B446" s="1448" t="s">
        <v>1448</v>
      </c>
    </row>
    <row r="447" spans="1:2" x14ac:dyDescent="0.25">
      <c r="A447" s="879"/>
      <c r="B447" s="1448" t="s">
        <v>1449</v>
      </c>
    </row>
    <row r="448" spans="1:2" x14ac:dyDescent="0.25">
      <c r="A448" s="879"/>
      <c r="B448" s="1448" t="s">
        <v>1450</v>
      </c>
    </row>
    <row r="449" spans="1:2" x14ac:dyDescent="0.25">
      <c r="A449" s="879"/>
      <c r="B449" s="1448" t="s">
        <v>1650</v>
      </c>
    </row>
    <row r="450" spans="1:2" x14ac:dyDescent="0.25">
      <c r="A450" s="879"/>
      <c r="B450" s="1448" t="s">
        <v>1651</v>
      </c>
    </row>
    <row r="451" spans="1:2" x14ac:dyDescent="0.25">
      <c r="A451" s="879"/>
      <c r="B451" s="1448" t="s">
        <v>1864</v>
      </c>
    </row>
    <row r="452" spans="1:2" x14ac:dyDescent="0.25">
      <c r="A452" s="879"/>
      <c r="B452" s="1448" t="s">
        <v>1652</v>
      </c>
    </row>
    <row r="453" spans="1:2" x14ac:dyDescent="0.25">
      <c r="A453" s="879"/>
      <c r="B453" s="1448" t="s">
        <v>1451</v>
      </c>
    </row>
    <row r="454" spans="1:2" x14ac:dyDescent="0.25">
      <c r="A454" s="879"/>
      <c r="B454" s="1448" t="s">
        <v>1865</v>
      </c>
    </row>
    <row r="455" spans="1:2" x14ac:dyDescent="0.25">
      <c r="A455" s="879"/>
      <c r="B455" s="1448" t="s">
        <v>1653</v>
      </c>
    </row>
    <row r="456" spans="1:2" x14ac:dyDescent="0.25">
      <c r="A456" s="879"/>
      <c r="B456" s="1448" t="s">
        <v>1654</v>
      </c>
    </row>
    <row r="457" spans="1:2" x14ac:dyDescent="0.25">
      <c r="A457" s="879"/>
      <c r="B457" s="1448" t="s">
        <v>1452</v>
      </c>
    </row>
    <row r="458" spans="1:2" x14ac:dyDescent="0.25">
      <c r="A458" s="879"/>
      <c r="B458" s="1448" t="s">
        <v>1866</v>
      </c>
    </row>
    <row r="459" spans="1:2" x14ac:dyDescent="0.25">
      <c r="A459" s="879"/>
      <c r="B459" s="1448" t="s">
        <v>1453</v>
      </c>
    </row>
    <row r="460" spans="1:2" x14ac:dyDescent="0.25">
      <c r="A460" s="879"/>
      <c r="B460" s="1448" t="s">
        <v>1867</v>
      </c>
    </row>
    <row r="461" spans="1:2" x14ac:dyDescent="0.25">
      <c r="A461" s="879"/>
      <c r="B461" s="1448" t="s">
        <v>1655</v>
      </c>
    </row>
    <row r="462" spans="1:2" x14ac:dyDescent="0.25">
      <c r="A462" s="879"/>
      <c r="B462" s="1448" t="s">
        <v>1456</v>
      </c>
    </row>
    <row r="463" spans="1:2" x14ac:dyDescent="0.25">
      <c r="A463" s="879"/>
      <c r="B463" s="1448" t="s">
        <v>1656</v>
      </c>
    </row>
    <row r="464" spans="1:2" x14ac:dyDescent="0.25">
      <c r="A464" s="879"/>
      <c r="B464" s="1448" t="s">
        <v>1365</v>
      </c>
    </row>
    <row r="465" spans="1:2" x14ac:dyDescent="0.25">
      <c r="A465" s="879"/>
      <c r="B465" s="1448" t="s">
        <v>1657</v>
      </c>
    </row>
    <row r="466" spans="1:2" x14ac:dyDescent="0.25">
      <c r="A466" s="879"/>
      <c r="B466" s="1448" t="s">
        <v>1658</v>
      </c>
    </row>
    <row r="467" spans="1:2" x14ac:dyDescent="0.25">
      <c r="A467" s="879"/>
      <c r="B467" s="1448" t="s">
        <v>1659</v>
      </c>
    </row>
    <row r="468" spans="1:2" x14ac:dyDescent="0.25">
      <c r="A468" s="879"/>
      <c r="B468" s="1448" t="s">
        <v>1660</v>
      </c>
    </row>
    <row r="469" spans="1:2" x14ac:dyDescent="0.25">
      <c r="A469" s="879"/>
      <c r="B469" s="1448" t="s">
        <v>1678</v>
      </c>
    </row>
    <row r="470" spans="1:2" x14ac:dyDescent="0.25">
      <c r="A470" s="879"/>
      <c r="B470" s="1448" t="s">
        <v>1662</v>
      </c>
    </row>
    <row r="471" spans="1:2" x14ac:dyDescent="0.25">
      <c r="A471" s="879"/>
      <c r="B471" s="1448" t="s">
        <v>1679</v>
      </c>
    </row>
    <row r="472" spans="1:2" x14ac:dyDescent="0.25">
      <c r="A472" s="879"/>
      <c r="B472" s="1448" t="s">
        <v>1680</v>
      </c>
    </row>
    <row r="473" spans="1:2" x14ac:dyDescent="0.25">
      <c r="A473" s="879"/>
      <c r="B473" s="1448" t="s">
        <v>1868</v>
      </c>
    </row>
    <row r="474" spans="1:2" x14ac:dyDescent="0.25">
      <c r="A474" s="879"/>
      <c r="B474" s="1448" t="s">
        <v>1666</v>
      </c>
    </row>
    <row r="475" spans="1:2" x14ac:dyDescent="0.25">
      <c r="A475" s="879"/>
      <c r="B475" s="1448" t="s">
        <v>1681</v>
      </c>
    </row>
    <row r="476" spans="1:2" x14ac:dyDescent="0.25">
      <c r="A476" s="879"/>
      <c r="B476" s="1448" t="s">
        <v>1682</v>
      </c>
    </row>
    <row r="477" spans="1:2" x14ac:dyDescent="0.25">
      <c r="A477" s="879"/>
      <c r="B477" s="1448" t="s">
        <v>1669</v>
      </c>
    </row>
    <row r="478" spans="1:2" x14ac:dyDescent="0.25">
      <c r="A478" s="879"/>
      <c r="B478" s="1448" t="s">
        <v>1683</v>
      </c>
    </row>
    <row r="479" spans="1:2" x14ac:dyDescent="0.25">
      <c r="A479" s="879"/>
      <c r="B479" s="1448" t="s">
        <v>1671</v>
      </c>
    </row>
    <row r="480" spans="1:2" x14ac:dyDescent="0.25">
      <c r="A480" s="879"/>
      <c r="B480" s="1448" t="s">
        <v>1769</v>
      </c>
    </row>
    <row r="481" spans="1:2" x14ac:dyDescent="0.25">
      <c r="A481" s="879"/>
      <c r="B481" s="1448" t="s">
        <v>1365</v>
      </c>
    </row>
    <row r="482" spans="1:2" x14ac:dyDescent="0.25">
      <c r="A482" s="879"/>
      <c r="B482" s="1448" t="s">
        <v>1770</v>
      </c>
    </row>
    <row r="483" spans="1:2" x14ac:dyDescent="0.25">
      <c r="A483" s="879"/>
      <c r="B483" s="1448" t="s">
        <v>1869</v>
      </c>
    </row>
    <row r="484" spans="1:2" x14ac:dyDescent="0.25">
      <c r="A484" s="879"/>
      <c r="B484" s="1448" t="s">
        <v>1772</v>
      </c>
    </row>
    <row r="485" spans="1:2" x14ac:dyDescent="0.25">
      <c r="A485" s="879"/>
      <c r="B485" s="1448" t="s">
        <v>1365</v>
      </c>
    </row>
    <row r="486" spans="1:2" x14ac:dyDescent="0.25">
      <c r="A486" s="879"/>
      <c r="B486" s="1448" t="s">
        <v>1773</v>
      </c>
    </row>
    <row r="487" spans="1:2" x14ac:dyDescent="0.25">
      <c r="A487" s="879"/>
      <c r="B487" s="1448"/>
    </row>
    <row r="488" spans="1:2" x14ac:dyDescent="0.25">
      <c r="A488" s="879"/>
      <c r="B488" s="1448"/>
    </row>
    <row r="489" spans="1:2" x14ac:dyDescent="0.25">
      <c r="A489" s="879"/>
      <c r="B489" s="1448" t="s">
        <v>1366</v>
      </c>
    </row>
    <row r="490" spans="1:2" x14ac:dyDescent="0.25">
      <c r="A490" s="879"/>
      <c r="B490" s="1448" t="s">
        <v>1870</v>
      </c>
    </row>
    <row r="491" spans="1:2" x14ac:dyDescent="0.25">
      <c r="A491" s="879"/>
      <c r="B491" s="1448" t="s">
        <v>1366</v>
      </c>
    </row>
    <row r="492" spans="1:2" x14ac:dyDescent="0.25">
      <c r="A492" s="879"/>
      <c r="B492" s="1448" t="s">
        <v>1871</v>
      </c>
    </row>
    <row r="493" spans="1:2" x14ac:dyDescent="0.25">
      <c r="A493" s="879"/>
      <c r="B493" s="1448" t="s">
        <v>1365</v>
      </c>
    </row>
    <row r="494" spans="1:2" x14ac:dyDescent="0.25">
      <c r="A494" s="879"/>
      <c r="B494" s="1448" t="s">
        <v>1367</v>
      </c>
    </row>
    <row r="495" spans="1:2" x14ac:dyDescent="0.25">
      <c r="A495" s="879"/>
      <c r="B495" s="1448" t="s">
        <v>1368</v>
      </c>
    </row>
    <row r="496" spans="1:2" x14ac:dyDescent="0.25">
      <c r="A496" s="879"/>
      <c r="B496" s="1448" t="s">
        <v>1365</v>
      </c>
    </row>
    <row r="497" spans="1:2" x14ac:dyDescent="0.25">
      <c r="A497" s="879"/>
      <c r="B497" s="1448" t="s">
        <v>1458</v>
      </c>
    </row>
    <row r="498" spans="1:2" x14ac:dyDescent="0.25">
      <c r="A498" s="879"/>
      <c r="B498" s="1448" t="s">
        <v>1459</v>
      </c>
    </row>
    <row r="499" spans="1:2" x14ac:dyDescent="0.25">
      <c r="A499" s="879"/>
      <c r="B499" s="1448" t="s">
        <v>1872</v>
      </c>
    </row>
    <row r="500" spans="1:2" x14ac:dyDescent="0.25">
      <c r="A500" s="879"/>
      <c r="B500" s="1448" t="s">
        <v>1873</v>
      </c>
    </row>
    <row r="501" spans="1:2" x14ac:dyDescent="0.25">
      <c r="A501" s="879"/>
      <c r="B501" s="1448" t="s">
        <v>1874</v>
      </c>
    </row>
    <row r="502" spans="1:2" x14ac:dyDescent="0.25">
      <c r="A502" s="879"/>
      <c r="B502" s="1448" t="s">
        <v>1777</v>
      </c>
    </row>
    <row r="503" spans="1:2" x14ac:dyDescent="0.25">
      <c r="A503" s="879"/>
      <c r="B503" s="1448" t="s">
        <v>1875</v>
      </c>
    </row>
    <row r="504" spans="1:2" x14ac:dyDescent="0.25">
      <c r="A504" s="879"/>
      <c r="B504" s="1448" t="s">
        <v>1876</v>
      </c>
    </row>
    <row r="505" spans="1:2" x14ac:dyDescent="0.25">
      <c r="A505" s="879"/>
      <c r="B505" s="1448" t="s">
        <v>1877</v>
      </c>
    </row>
    <row r="506" spans="1:2" x14ac:dyDescent="0.25">
      <c r="A506" s="879"/>
      <c r="B506" s="1448" t="s">
        <v>1878</v>
      </c>
    </row>
    <row r="507" spans="1:2" x14ac:dyDescent="0.25">
      <c r="A507" s="879"/>
      <c r="B507" s="1448" t="s">
        <v>1460</v>
      </c>
    </row>
    <row r="508" spans="1:2" x14ac:dyDescent="0.25">
      <c r="A508" s="879"/>
      <c r="B508" s="1448" t="s">
        <v>1380</v>
      </c>
    </row>
    <row r="509" spans="1:2" x14ac:dyDescent="0.25">
      <c r="A509" s="879"/>
      <c r="B509" s="1448" t="s">
        <v>1365</v>
      </c>
    </row>
    <row r="510" spans="1:2" x14ac:dyDescent="0.25">
      <c r="A510" s="879"/>
      <c r="B510" s="1448" t="s">
        <v>1458</v>
      </c>
    </row>
    <row r="511" spans="1:2" x14ac:dyDescent="0.25">
      <c r="A511" s="879"/>
      <c r="B511" s="1448" t="s">
        <v>1879</v>
      </c>
    </row>
    <row r="512" spans="1:2" x14ac:dyDescent="0.25">
      <c r="A512" s="879"/>
      <c r="B512" s="1448" t="s">
        <v>1880</v>
      </c>
    </row>
    <row r="513" spans="1:2" x14ac:dyDescent="0.25">
      <c r="A513" s="879"/>
      <c r="B513" s="1448" t="s">
        <v>1881</v>
      </c>
    </row>
    <row r="514" spans="1:2" x14ac:dyDescent="0.25">
      <c r="A514" s="879"/>
      <c r="B514" s="1448" t="s">
        <v>1882</v>
      </c>
    </row>
    <row r="515" spans="1:2" x14ac:dyDescent="0.25">
      <c r="A515" s="879"/>
      <c r="B515" s="1448" t="s">
        <v>1883</v>
      </c>
    </row>
    <row r="516" spans="1:2" x14ac:dyDescent="0.25">
      <c r="A516" s="879"/>
      <c r="B516" s="1448" t="s">
        <v>1884</v>
      </c>
    </row>
    <row r="517" spans="1:2" x14ac:dyDescent="0.25">
      <c r="A517" s="879"/>
      <c r="B517" s="1448" t="s">
        <v>1885</v>
      </c>
    </row>
    <row r="518" spans="1:2" x14ac:dyDescent="0.25">
      <c r="A518" s="879"/>
      <c r="B518" s="1448" t="s">
        <v>1886</v>
      </c>
    </row>
    <row r="519" spans="1:2" x14ac:dyDescent="0.25">
      <c r="A519" s="879"/>
      <c r="B519" s="1448" t="s">
        <v>1887</v>
      </c>
    </row>
    <row r="520" spans="1:2" x14ac:dyDescent="0.25">
      <c r="A520" s="879"/>
      <c r="B520" s="1448" t="s">
        <v>1888</v>
      </c>
    </row>
    <row r="521" spans="1:2" x14ac:dyDescent="0.25">
      <c r="A521" s="879"/>
      <c r="B521" s="1448" t="s">
        <v>1464</v>
      </c>
    </row>
    <row r="522" spans="1:2" x14ac:dyDescent="0.25">
      <c r="A522" s="879"/>
      <c r="B522" s="1448" t="s">
        <v>1465</v>
      </c>
    </row>
    <row r="523" spans="1:2" x14ac:dyDescent="0.25">
      <c r="A523" s="879"/>
      <c r="B523" s="1448" t="s">
        <v>1889</v>
      </c>
    </row>
    <row r="524" spans="1:2" x14ac:dyDescent="0.25">
      <c r="A524" s="879"/>
      <c r="B524" s="1448" t="s">
        <v>1467</v>
      </c>
    </row>
    <row r="525" spans="1:2" x14ac:dyDescent="0.25">
      <c r="A525" s="879"/>
      <c r="B525" s="1448" t="s">
        <v>1890</v>
      </c>
    </row>
    <row r="526" spans="1:2" x14ac:dyDescent="0.25">
      <c r="A526" s="879"/>
      <c r="B526" s="1448" t="s">
        <v>1891</v>
      </c>
    </row>
    <row r="527" spans="1:2" x14ac:dyDescent="0.25">
      <c r="A527" s="879"/>
      <c r="B527" s="1448" t="s">
        <v>1892</v>
      </c>
    </row>
    <row r="528" spans="1:2" x14ac:dyDescent="0.25">
      <c r="A528" s="879"/>
      <c r="B528" s="1448" t="s">
        <v>1893</v>
      </c>
    </row>
    <row r="529" spans="1:2" x14ac:dyDescent="0.25">
      <c r="A529" s="879"/>
      <c r="B529" s="1448" t="s">
        <v>1894</v>
      </c>
    </row>
    <row r="530" spans="1:2" x14ac:dyDescent="0.25">
      <c r="A530" s="879"/>
      <c r="B530" s="1448" t="s">
        <v>1469</v>
      </c>
    </row>
    <row r="531" spans="1:2" x14ac:dyDescent="0.25">
      <c r="A531" s="879"/>
      <c r="B531" s="1448" t="s">
        <v>1506</v>
      </c>
    </row>
    <row r="532" spans="1:2" x14ac:dyDescent="0.25">
      <c r="A532" s="879"/>
      <c r="B532" s="1448" t="s">
        <v>1895</v>
      </c>
    </row>
    <row r="533" spans="1:2" x14ac:dyDescent="0.25">
      <c r="A533" s="879"/>
      <c r="B533" s="1448" t="s">
        <v>1471</v>
      </c>
    </row>
    <row r="534" spans="1:2" x14ac:dyDescent="0.25">
      <c r="A534" s="879"/>
      <c r="B534" s="1448" t="s">
        <v>1896</v>
      </c>
    </row>
    <row r="535" spans="1:2" x14ac:dyDescent="0.25">
      <c r="A535" s="879"/>
      <c r="B535" s="1448" t="s">
        <v>1897</v>
      </c>
    </row>
    <row r="536" spans="1:2" x14ac:dyDescent="0.25">
      <c r="A536" s="879"/>
      <c r="B536" s="1448" t="s">
        <v>1898</v>
      </c>
    </row>
    <row r="537" spans="1:2" x14ac:dyDescent="0.25">
      <c r="A537" s="879"/>
      <c r="B537" s="1448" t="s">
        <v>1899</v>
      </c>
    </row>
    <row r="538" spans="1:2" x14ac:dyDescent="0.25">
      <c r="A538" s="879"/>
      <c r="B538" s="1448" t="s">
        <v>1474</v>
      </c>
    </row>
    <row r="539" spans="1:2" x14ac:dyDescent="0.25">
      <c r="A539" s="879"/>
      <c r="B539" s="1448" t="s">
        <v>1475</v>
      </c>
    </row>
    <row r="540" spans="1:2" x14ac:dyDescent="0.25">
      <c r="A540" s="879"/>
      <c r="B540" s="1448" t="s">
        <v>1476</v>
      </c>
    </row>
    <row r="541" spans="1:2" x14ac:dyDescent="0.25">
      <c r="A541" s="879"/>
      <c r="B541" s="1448" t="s">
        <v>1900</v>
      </c>
    </row>
    <row r="542" spans="1:2" x14ac:dyDescent="0.25">
      <c r="A542" s="879"/>
      <c r="B542" s="1448" t="s">
        <v>1901</v>
      </c>
    </row>
    <row r="543" spans="1:2" x14ac:dyDescent="0.25">
      <c r="A543" s="879"/>
      <c r="B543" s="1448" t="s">
        <v>1477</v>
      </c>
    </row>
    <row r="544" spans="1:2" x14ac:dyDescent="0.25">
      <c r="A544" s="879"/>
      <c r="B544" s="1448" t="s">
        <v>1478</v>
      </c>
    </row>
    <row r="545" spans="1:2" x14ac:dyDescent="0.25">
      <c r="A545" s="879"/>
      <c r="B545" s="1448" t="s">
        <v>1902</v>
      </c>
    </row>
    <row r="546" spans="1:2" x14ac:dyDescent="0.25">
      <c r="A546" s="879"/>
      <c r="B546" s="1448" t="s">
        <v>1903</v>
      </c>
    </row>
    <row r="547" spans="1:2" x14ac:dyDescent="0.25">
      <c r="A547" s="879"/>
      <c r="B547" s="1448" t="s">
        <v>1904</v>
      </c>
    </row>
    <row r="548" spans="1:2" x14ac:dyDescent="0.25">
      <c r="A548" s="879"/>
      <c r="B548" s="1448" t="s">
        <v>1905</v>
      </c>
    </row>
    <row r="549" spans="1:2" x14ac:dyDescent="0.25">
      <c r="A549" s="879"/>
      <c r="B549" s="1448" t="s">
        <v>1906</v>
      </c>
    </row>
    <row r="550" spans="1:2" x14ac:dyDescent="0.25">
      <c r="A550" s="879"/>
      <c r="B550" s="1448" t="s">
        <v>1907</v>
      </c>
    </row>
    <row r="551" spans="1:2" x14ac:dyDescent="0.25">
      <c r="A551" s="879"/>
      <c r="B551" s="1448" t="s">
        <v>1908</v>
      </c>
    </row>
    <row r="552" spans="1:2" x14ac:dyDescent="0.25">
      <c r="A552" s="879"/>
      <c r="B552" s="1448" t="s">
        <v>1909</v>
      </c>
    </row>
    <row r="553" spans="1:2" x14ac:dyDescent="0.25">
      <c r="A553" s="879"/>
      <c r="B553" s="1448" t="s">
        <v>1673</v>
      </c>
    </row>
    <row r="554" spans="1:2" x14ac:dyDescent="0.25">
      <c r="A554" s="879"/>
      <c r="B554" s="1448" t="s">
        <v>1479</v>
      </c>
    </row>
    <row r="555" spans="1:2" x14ac:dyDescent="0.25">
      <c r="A555" s="879"/>
      <c r="B555" s="1448" t="s">
        <v>1910</v>
      </c>
    </row>
    <row r="556" spans="1:2" x14ac:dyDescent="0.25">
      <c r="A556" s="879"/>
      <c r="B556" s="1448" t="s">
        <v>1481</v>
      </c>
    </row>
    <row r="557" spans="1:2" x14ac:dyDescent="0.25">
      <c r="A557" s="879"/>
      <c r="B557" s="1448" t="s">
        <v>1911</v>
      </c>
    </row>
    <row r="558" spans="1:2" x14ac:dyDescent="0.25">
      <c r="A558" s="879"/>
      <c r="B558" s="1448" t="s">
        <v>1428</v>
      </c>
    </row>
    <row r="559" spans="1:2" x14ac:dyDescent="0.25">
      <c r="A559" s="879"/>
      <c r="B559" s="1448" t="s">
        <v>1365</v>
      </c>
    </row>
    <row r="560" spans="1:2" x14ac:dyDescent="0.25">
      <c r="A560" s="879"/>
      <c r="B560" s="1448" t="s">
        <v>1447</v>
      </c>
    </row>
    <row r="561" spans="1:2" x14ac:dyDescent="0.25">
      <c r="A561" s="879"/>
      <c r="B561" s="1448" t="s">
        <v>1365</v>
      </c>
    </row>
    <row r="562" spans="1:2" x14ac:dyDescent="0.25">
      <c r="A562" s="879"/>
      <c r="B562" s="1448" t="s">
        <v>1448</v>
      </c>
    </row>
    <row r="563" spans="1:2" x14ac:dyDescent="0.25">
      <c r="A563" s="879"/>
      <c r="B563" s="1448" t="s">
        <v>1449</v>
      </c>
    </row>
    <row r="564" spans="1:2" x14ac:dyDescent="0.25">
      <c r="A564" s="879"/>
      <c r="B564" s="1448" t="s">
        <v>1912</v>
      </c>
    </row>
    <row r="565" spans="1:2" x14ac:dyDescent="0.25">
      <c r="A565" s="879"/>
      <c r="B565" s="1448" t="s">
        <v>1650</v>
      </c>
    </row>
    <row r="566" spans="1:2" x14ac:dyDescent="0.25">
      <c r="A566" s="879"/>
      <c r="B566" s="1448" t="s">
        <v>1651</v>
      </c>
    </row>
    <row r="567" spans="1:2" x14ac:dyDescent="0.25">
      <c r="A567" s="879"/>
      <c r="B567" s="1448" t="s">
        <v>1913</v>
      </c>
    </row>
    <row r="568" spans="1:2" x14ac:dyDescent="0.25">
      <c r="A568" s="879"/>
      <c r="B568" s="1448" t="s">
        <v>1652</v>
      </c>
    </row>
    <row r="569" spans="1:2" x14ac:dyDescent="0.25">
      <c r="A569" s="879"/>
      <c r="B569" s="1448" t="s">
        <v>1914</v>
      </c>
    </row>
    <row r="570" spans="1:2" x14ac:dyDescent="0.25">
      <c r="A570" s="879"/>
      <c r="B570" s="1448" t="s">
        <v>1915</v>
      </c>
    </row>
    <row r="571" spans="1:2" x14ac:dyDescent="0.25">
      <c r="A571" s="879"/>
      <c r="B571" s="1448" t="s">
        <v>1916</v>
      </c>
    </row>
    <row r="572" spans="1:2" x14ac:dyDescent="0.25">
      <c r="A572" s="879"/>
      <c r="B572" s="1448" t="s">
        <v>1917</v>
      </c>
    </row>
    <row r="573" spans="1:2" x14ac:dyDescent="0.25">
      <c r="A573" s="879"/>
      <c r="B573" s="1448" t="s">
        <v>1918</v>
      </c>
    </row>
    <row r="574" spans="1:2" x14ac:dyDescent="0.25">
      <c r="A574" s="879"/>
      <c r="B574" s="1448" t="s">
        <v>1919</v>
      </c>
    </row>
    <row r="575" spans="1:2" x14ac:dyDescent="0.25">
      <c r="A575" s="879"/>
      <c r="B575" s="1448" t="s">
        <v>1453</v>
      </c>
    </row>
    <row r="576" spans="1:2" x14ac:dyDescent="0.25">
      <c r="A576" s="879"/>
      <c r="B576" s="1448" t="s">
        <v>1920</v>
      </c>
    </row>
    <row r="577" spans="1:2" x14ac:dyDescent="0.25">
      <c r="A577" s="879"/>
      <c r="B577" s="1448" t="s">
        <v>1655</v>
      </c>
    </row>
    <row r="578" spans="1:2" x14ac:dyDescent="0.25">
      <c r="A578" s="879"/>
      <c r="B578" s="1448" t="s">
        <v>1921</v>
      </c>
    </row>
    <row r="579" spans="1:2" x14ac:dyDescent="0.25">
      <c r="A579" s="879"/>
      <c r="B579" s="1448" t="s">
        <v>1454</v>
      </c>
    </row>
    <row r="580" spans="1:2" x14ac:dyDescent="0.25">
      <c r="A580" s="879"/>
      <c r="B580" s="1448" t="s">
        <v>1365</v>
      </c>
    </row>
    <row r="581" spans="1:2" x14ac:dyDescent="0.25">
      <c r="A581" s="879"/>
      <c r="B581" s="1448" t="s">
        <v>1448</v>
      </c>
    </row>
    <row r="582" spans="1:2" x14ac:dyDescent="0.25">
      <c r="A582" s="879"/>
      <c r="B582" s="1448" t="s">
        <v>1449</v>
      </c>
    </row>
    <row r="583" spans="1:2" x14ac:dyDescent="0.25">
      <c r="A583" s="879"/>
      <c r="B583" s="1448" t="s">
        <v>1912</v>
      </c>
    </row>
    <row r="584" spans="1:2" x14ac:dyDescent="0.25">
      <c r="A584" s="879"/>
      <c r="B584" s="1448" t="s">
        <v>1650</v>
      </c>
    </row>
    <row r="585" spans="1:2" x14ac:dyDescent="0.25">
      <c r="A585" s="879"/>
      <c r="B585" s="1448" t="s">
        <v>1651</v>
      </c>
    </row>
    <row r="586" spans="1:2" x14ac:dyDescent="0.25">
      <c r="A586" s="879"/>
      <c r="B586" s="1448" t="s">
        <v>1913</v>
      </c>
    </row>
    <row r="587" spans="1:2" x14ac:dyDescent="0.25">
      <c r="A587" s="879"/>
      <c r="B587" s="1448" t="s">
        <v>1652</v>
      </c>
    </row>
    <row r="588" spans="1:2" x14ac:dyDescent="0.25">
      <c r="A588" s="879"/>
      <c r="B588" s="1448" t="s">
        <v>1914</v>
      </c>
    </row>
    <row r="589" spans="1:2" x14ac:dyDescent="0.25">
      <c r="A589" s="879"/>
      <c r="B589" s="1448" t="s">
        <v>1915</v>
      </c>
    </row>
    <row r="590" spans="1:2" x14ac:dyDescent="0.25">
      <c r="A590" s="879"/>
      <c r="B590" s="1448" t="s">
        <v>1916</v>
      </c>
    </row>
    <row r="591" spans="1:2" x14ac:dyDescent="0.25">
      <c r="A591" s="879"/>
      <c r="B591" s="1448" t="s">
        <v>1917</v>
      </c>
    </row>
    <row r="592" spans="1:2" x14ac:dyDescent="0.25">
      <c r="A592" s="879"/>
      <c r="B592" s="1448" t="s">
        <v>1918</v>
      </c>
    </row>
    <row r="593" spans="1:2" x14ac:dyDescent="0.25">
      <c r="A593" s="879"/>
      <c r="B593" s="1448" t="s">
        <v>1919</v>
      </c>
    </row>
    <row r="594" spans="1:2" x14ac:dyDescent="0.25">
      <c r="A594" s="879"/>
      <c r="B594" s="1448" t="s">
        <v>1453</v>
      </c>
    </row>
    <row r="595" spans="1:2" x14ac:dyDescent="0.25">
      <c r="A595" s="879"/>
      <c r="B595" s="1448" t="s">
        <v>1920</v>
      </c>
    </row>
    <row r="596" spans="1:2" x14ac:dyDescent="0.25">
      <c r="A596" s="879"/>
      <c r="B596" s="1448" t="s">
        <v>1655</v>
      </c>
    </row>
    <row r="597" spans="1:2" x14ac:dyDescent="0.25">
      <c r="A597" s="879"/>
      <c r="B597" s="1448" t="s">
        <v>1921</v>
      </c>
    </row>
    <row r="598" spans="1:2" x14ac:dyDescent="0.25">
      <c r="A598" s="879"/>
      <c r="B598" s="1448" t="s">
        <v>1656</v>
      </c>
    </row>
    <row r="599" spans="1:2" x14ac:dyDescent="0.25">
      <c r="A599" s="879"/>
      <c r="B599" s="1448" t="s">
        <v>1365</v>
      </c>
    </row>
    <row r="600" spans="1:2" x14ac:dyDescent="0.25">
      <c r="A600" s="879"/>
      <c r="B600" s="1448" t="s">
        <v>1657</v>
      </c>
    </row>
    <row r="601" spans="1:2" x14ac:dyDescent="0.25">
      <c r="A601" s="879"/>
      <c r="B601" s="1448" t="s">
        <v>1658</v>
      </c>
    </row>
    <row r="602" spans="1:2" x14ac:dyDescent="0.25">
      <c r="A602" s="879"/>
      <c r="B602" s="1448" t="s">
        <v>1659</v>
      </c>
    </row>
    <row r="603" spans="1:2" x14ac:dyDescent="0.25">
      <c r="A603" s="879"/>
      <c r="B603" s="1448" t="s">
        <v>1660</v>
      </c>
    </row>
    <row r="604" spans="1:2" x14ac:dyDescent="0.25">
      <c r="A604" s="879"/>
      <c r="B604" s="1448" t="s">
        <v>1661</v>
      </c>
    </row>
    <row r="605" spans="1:2" x14ac:dyDescent="0.25">
      <c r="A605" s="879"/>
      <c r="B605" s="1448" t="s">
        <v>1662</v>
      </c>
    </row>
    <row r="606" spans="1:2" x14ac:dyDescent="0.25">
      <c r="A606" s="879"/>
      <c r="B606" s="1448" t="s">
        <v>1663</v>
      </c>
    </row>
    <row r="607" spans="1:2" x14ac:dyDescent="0.25">
      <c r="A607" s="879"/>
      <c r="B607" s="1448" t="s">
        <v>1664</v>
      </c>
    </row>
    <row r="608" spans="1:2" x14ac:dyDescent="0.25">
      <c r="A608" s="879"/>
      <c r="B608" s="1448" t="s">
        <v>1665</v>
      </c>
    </row>
    <row r="609" spans="1:2" x14ac:dyDescent="0.25">
      <c r="A609" s="879"/>
      <c r="B609" s="1448" t="s">
        <v>1666</v>
      </c>
    </row>
    <row r="610" spans="1:2" x14ac:dyDescent="0.25">
      <c r="A610" s="879"/>
      <c r="B610" s="1448" t="s">
        <v>1667</v>
      </c>
    </row>
    <row r="611" spans="1:2" x14ac:dyDescent="0.25">
      <c r="A611" s="879"/>
      <c r="B611" s="1448" t="s">
        <v>1668</v>
      </c>
    </row>
    <row r="612" spans="1:2" x14ac:dyDescent="0.25">
      <c r="A612" s="879"/>
      <c r="B612" s="1448" t="s">
        <v>1669</v>
      </c>
    </row>
    <row r="613" spans="1:2" x14ac:dyDescent="0.25">
      <c r="A613" s="879"/>
      <c r="B613" s="1448" t="s">
        <v>1670</v>
      </c>
    </row>
    <row r="614" spans="1:2" x14ac:dyDescent="0.25">
      <c r="A614" s="879"/>
      <c r="B614" s="1448" t="s">
        <v>1671</v>
      </c>
    </row>
    <row r="615" spans="1:2" x14ac:dyDescent="0.25">
      <c r="A615" s="879"/>
      <c r="B615" s="1448" t="s">
        <v>1769</v>
      </c>
    </row>
    <row r="616" spans="1:2" x14ac:dyDescent="0.25">
      <c r="A616" s="879"/>
      <c r="B616" s="1448" t="s">
        <v>1365</v>
      </c>
    </row>
    <row r="617" spans="1:2" x14ac:dyDescent="0.25">
      <c r="A617" s="879"/>
      <c r="B617" s="1448" t="s">
        <v>1770</v>
      </c>
    </row>
    <row r="618" spans="1:2" x14ac:dyDescent="0.25">
      <c r="A618" s="879"/>
      <c r="B618" s="1448" t="s">
        <v>1922</v>
      </c>
    </row>
    <row r="619" spans="1:2" x14ac:dyDescent="0.25">
      <c r="A619" s="879"/>
      <c r="B619" s="1448" t="s">
        <v>1772</v>
      </c>
    </row>
    <row r="620" spans="1:2" x14ac:dyDescent="0.25">
      <c r="A620" s="879"/>
      <c r="B620" s="1448" t="s">
        <v>1365</v>
      </c>
    </row>
    <row r="621" spans="1:2" x14ac:dyDescent="0.25">
      <c r="A621" s="879"/>
      <c r="B621" s="1448" t="s">
        <v>1773</v>
      </c>
    </row>
    <row r="622" spans="1:2" x14ac:dyDescent="0.25">
      <c r="A622" s="879"/>
      <c r="B622" s="1448"/>
    </row>
    <row r="623" spans="1:2" x14ac:dyDescent="0.25">
      <c r="A623" s="879"/>
      <c r="B623" s="1448"/>
    </row>
    <row r="624" spans="1:2" x14ac:dyDescent="0.25">
      <c r="A624" s="879"/>
      <c r="B624" s="1448" t="s">
        <v>1366</v>
      </c>
    </row>
    <row r="625" spans="1:2" x14ac:dyDescent="0.25">
      <c r="A625" s="879"/>
      <c r="B625" s="1448" t="s">
        <v>1923</v>
      </c>
    </row>
    <row r="626" spans="1:2" x14ac:dyDescent="0.25">
      <c r="A626" s="879"/>
      <c r="B626" s="1448" t="s">
        <v>1366</v>
      </c>
    </row>
    <row r="627" spans="1:2" x14ac:dyDescent="0.25">
      <c r="A627" s="879"/>
      <c r="B627" s="1448" t="s">
        <v>1684</v>
      </c>
    </row>
    <row r="628" spans="1:2" x14ac:dyDescent="0.25">
      <c r="A628" s="879"/>
      <c r="B628" s="1448" t="s">
        <v>1365</v>
      </c>
    </row>
    <row r="629" spans="1:2" x14ac:dyDescent="0.25">
      <c r="A629" s="879"/>
      <c r="B629" s="1448" t="s">
        <v>1367</v>
      </c>
    </row>
    <row r="630" spans="1:2" x14ac:dyDescent="0.25">
      <c r="A630" s="879"/>
      <c r="B630" s="1448" t="s">
        <v>1368</v>
      </c>
    </row>
    <row r="631" spans="1:2" x14ac:dyDescent="0.25">
      <c r="A631" s="879"/>
      <c r="B631" s="1448" t="s">
        <v>1365</v>
      </c>
    </row>
    <row r="632" spans="1:2" x14ac:dyDescent="0.25">
      <c r="A632" s="879"/>
      <c r="B632" s="1448" t="s">
        <v>1458</v>
      </c>
    </row>
    <row r="633" spans="1:2" x14ac:dyDescent="0.25">
      <c r="A633" s="879"/>
      <c r="B633" s="1448" t="s">
        <v>1459</v>
      </c>
    </row>
    <row r="634" spans="1:2" x14ac:dyDescent="0.25">
      <c r="A634" s="879"/>
      <c r="B634" s="1448" t="s">
        <v>1924</v>
      </c>
    </row>
    <row r="635" spans="1:2" x14ac:dyDescent="0.25">
      <c r="A635" s="879"/>
      <c r="B635" s="1448" t="s">
        <v>1925</v>
      </c>
    </row>
    <row r="636" spans="1:2" x14ac:dyDescent="0.25">
      <c r="A636" s="879"/>
      <c r="B636" s="1448" t="s">
        <v>1776</v>
      </c>
    </row>
    <row r="637" spans="1:2" x14ac:dyDescent="0.25">
      <c r="A637" s="879"/>
      <c r="B637" s="1448" t="s">
        <v>1777</v>
      </c>
    </row>
    <row r="638" spans="1:2" x14ac:dyDescent="0.25">
      <c r="A638" s="879"/>
      <c r="B638" s="1448" t="s">
        <v>1778</v>
      </c>
    </row>
    <row r="639" spans="1:2" x14ac:dyDescent="0.25">
      <c r="A639" s="879"/>
      <c r="B639" s="1448" t="s">
        <v>1926</v>
      </c>
    </row>
    <row r="640" spans="1:2" x14ac:dyDescent="0.25">
      <c r="A640" s="879"/>
      <c r="B640" s="1448" t="s">
        <v>1927</v>
      </c>
    </row>
    <row r="641" spans="1:2" x14ac:dyDescent="0.25">
      <c r="A641" s="879"/>
      <c r="B641" s="1448" t="s">
        <v>1928</v>
      </c>
    </row>
    <row r="642" spans="1:2" x14ac:dyDescent="0.25">
      <c r="A642" s="879"/>
      <c r="B642" s="1448" t="s">
        <v>1460</v>
      </c>
    </row>
    <row r="643" spans="1:2" x14ac:dyDescent="0.25">
      <c r="A643" s="879"/>
      <c r="B643" s="1448" t="s">
        <v>1380</v>
      </c>
    </row>
    <row r="644" spans="1:2" x14ac:dyDescent="0.25">
      <c r="A644" s="879"/>
      <c r="B644" s="1448" t="s">
        <v>1365</v>
      </c>
    </row>
    <row r="645" spans="1:2" x14ac:dyDescent="0.25">
      <c r="A645" s="879"/>
      <c r="B645" s="1448" t="s">
        <v>1458</v>
      </c>
    </row>
    <row r="646" spans="1:2" x14ac:dyDescent="0.25">
      <c r="A646" s="879"/>
      <c r="B646" s="1448" t="s">
        <v>1781</v>
      </c>
    </row>
    <row r="647" spans="1:2" x14ac:dyDescent="0.25">
      <c r="A647" s="879"/>
      <c r="B647" s="1448" t="s">
        <v>1929</v>
      </c>
    </row>
    <row r="648" spans="1:2" x14ac:dyDescent="0.25">
      <c r="A648" s="879"/>
      <c r="B648" s="1448" t="s">
        <v>1930</v>
      </c>
    </row>
    <row r="649" spans="1:2" x14ac:dyDescent="0.25">
      <c r="A649" s="879"/>
      <c r="B649" s="1448" t="s">
        <v>1931</v>
      </c>
    </row>
    <row r="650" spans="1:2" x14ac:dyDescent="0.25">
      <c r="A650" s="879"/>
      <c r="B650" s="1448" t="s">
        <v>1932</v>
      </c>
    </row>
    <row r="651" spans="1:2" x14ac:dyDescent="0.25">
      <c r="A651" s="879"/>
      <c r="B651" s="1448" t="s">
        <v>1933</v>
      </c>
    </row>
    <row r="652" spans="1:2" x14ac:dyDescent="0.25">
      <c r="A652" s="879"/>
      <c r="B652" s="1448" t="s">
        <v>1934</v>
      </c>
    </row>
    <row r="653" spans="1:2" x14ac:dyDescent="0.25">
      <c r="A653" s="879"/>
      <c r="B653" s="1448" t="s">
        <v>1935</v>
      </c>
    </row>
    <row r="654" spans="1:2" x14ac:dyDescent="0.25">
      <c r="A654" s="879"/>
      <c r="B654" s="1448" t="s">
        <v>1788</v>
      </c>
    </row>
    <row r="655" spans="1:2" x14ac:dyDescent="0.25">
      <c r="A655" s="879"/>
      <c r="B655" s="1448" t="s">
        <v>1789</v>
      </c>
    </row>
    <row r="656" spans="1:2" x14ac:dyDescent="0.25">
      <c r="A656" s="879"/>
      <c r="B656" s="1448" t="s">
        <v>1464</v>
      </c>
    </row>
    <row r="657" spans="1:2" x14ac:dyDescent="0.25">
      <c r="A657" s="879"/>
      <c r="B657" s="1448" t="s">
        <v>1465</v>
      </c>
    </row>
    <row r="658" spans="1:2" x14ac:dyDescent="0.25">
      <c r="A658" s="879"/>
      <c r="B658" s="1448" t="s">
        <v>1936</v>
      </c>
    </row>
    <row r="659" spans="1:2" x14ac:dyDescent="0.25">
      <c r="A659" s="879"/>
      <c r="B659" s="1448" t="s">
        <v>1467</v>
      </c>
    </row>
    <row r="660" spans="1:2" x14ac:dyDescent="0.25">
      <c r="A660" s="879"/>
      <c r="B660" s="1448" t="s">
        <v>1937</v>
      </c>
    </row>
    <row r="661" spans="1:2" x14ac:dyDescent="0.25">
      <c r="A661" s="879"/>
      <c r="B661" s="1448" t="s">
        <v>1792</v>
      </c>
    </row>
    <row r="662" spans="1:2" x14ac:dyDescent="0.25">
      <c r="A662" s="879"/>
      <c r="B662" s="1448" t="s">
        <v>1938</v>
      </c>
    </row>
    <row r="663" spans="1:2" x14ac:dyDescent="0.25">
      <c r="A663" s="879"/>
      <c r="B663" s="1448" t="s">
        <v>1794</v>
      </c>
    </row>
    <row r="664" spans="1:2" x14ac:dyDescent="0.25">
      <c r="A664" s="879"/>
      <c r="B664" s="1448" t="s">
        <v>1795</v>
      </c>
    </row>
    <row r="665" spans="1:2" x14ac:dyDescent="0.25">
      <c r="A665" s="879"/>
      <c r="B665" s="1448" t="s">
        <v>1469</v>
      </c>
    </row>
    <row r="666" spans="1:2" x14ac:dyDescent="0.25">
      <c r="A666" s="879"/>
      <c r="B666" s="1448" t="s">
        <v>1506</v>
      </c>
    </row>
    <row r="667" spans="1:2" x14ac:dyDescent="0.25">
      <c r="A667" s="879"/>
      <c r="B667" s="1448" t="s">
        <v>1796</v>
      </c>
    </row>
    <row r="668" spans="1:2" x14ac:dyDescent="0.25">
      <c r="A668" s="879"/>
      <c r="B668" s="1448" t="s">
        <v>1471</v>
      </c>
    </row>
    <row r="669" spans="1:2" x14ac:dyDescent="0.25">
      <c r="A669" s="879"/>
      <c r="B669" s="1448" t="s">
        <v>1939</v>
      </c>
    </row>
    <row r="670" spans="1:2" x14ac:dyDescent="0.25">
      <c r="A670" s="879"/>
      <c r="B670" s="1448" t="s">
        <v>1940</v>
      </c>
    </row>
    <row r="671" spans="1:2" x14ac:dyDescent="0.25">
      <c r="A671" s="879"/>
      <c r="B671" s="1448" t="s">
        <v>1941</v>
      </c>
    </row>
    <row r="672" spans="1:2" x14ac:dyDescent="0.25">
      <c r="A672" s="879"/>
      <c r="B672" s="1448" t="s">
        <v>1942</v>
      </c>
    </row>
    <row r="673" spans="1:2" x14ac:dyDescent="0.25">
      <c r="A673" s="879"/>
      <c r="B673" s="1448" t="s">
        <v>1474</v>
      </c>
    </row>
    <row r="674" spans="1:2" x14ac:dyDescent="0.25">
      <c r="A674" s="879"/>
      <c r="B674" s="1448" t="s">
        <v>1475</v>
      </c>
    </row>
    <row r="675" spans="1:2" x14ac:dyDescent="0.25">
      <c r="A675" s="879"/>
      <c r="B675" s="1448" t="s">
        <v>1476</v>
      </c>
    </row>
    <row r="676" spans="1:2" x14ac:dyDescent="0.25">
      <c r="A676" s="879"/>
      <c r="B676" s="1448" t="s">
        <v>1943</v>
      </c>
    </row>
    <row r="677" spans="1:2" x14ac:dyDescent="0.25">
      <c r="A677" s="879"/>
      <c r="B677" s="1448" t="s">
        <v>1944</v>
      </c>
    </row>
    <row r="678" spans="1:2" x14ac:dyDescent="0.25">
      <c r="A678" s="879"/>
      <c r="B678" s="1448" t="s">
        <v>1477</v>
      </c>
    </row>
    <row r="679" spans="1:2" x14ac:dyDescent="0.25">
      <c r="A679" s="879"/>
      <c r="B679" s="1448" t="s">
        <v>1478</v>
      </c>
    </row>
    <row r="680" spans="1:2" x14ac:dyDescent="0.25">
      <c r="A680" s="879"/>
      <c r="B680" s="1448" t="s">
        <v>1945</v>
      </c>
    </row>
    <row r="681" spans="1:2" x14ac:dyDescent="0.25">
      <c r="A681" s="879"/>
      <c r="B681" s="1448" t="s">
        <v>1946</v>
      </c>
    </row>
    <row r="682" spans="1:2" x14ac:dyDescent="0.25">
      <c r="A682" s="879"/>
      <c r="B682" s="1448" t="s">
        <v>1947</v>
      </c>
    </row>
    <row r="683" spans="1:2" x14ac:dyDescent="0.25">
      <c r="A683" s="879"/>
      <c r="B683" s="1448" t="s">
        <v>1948</v>
      </c>
    </row>
    <row r="684" spans="1:2" x14ac:dyDescent="0.25">
      <c r="A684" s="879"/>
      <c r="B684" s="1448" t="s">
        <v>1949</v>
      </c>
    </row>
    <row r="685" spans="1:2" x14ac:dyDescent="0.25">
      <c r="A685" s="879"/>
      <c r="B685" s="1448" t="s">
        <v>1950</v>
      </c>
    </row>
    <row r="686" spans="1:2" x14ac:dyDescent="0.25">
      <c r="A686" s="879"/>
      <c r="B686" s="1448" t="s">
        <v>1951</v>
      </c>
    </row>
    <row r="687" spans="1:2" x14ac:dyDescent="0.25">
      <c r="A687" s="879"/>
      <c r="B687" s="1448" t="s">
        <v>1952</v>
      </c>
    </row>
    <row r="688" spans="1:2" x14ac:dyDescent="0.25">
      <c r="A688" s="879"/>
      <c r="B688" s="1448" t="s">
        <v>1953</v>
      </c>
    </row>
    <row r="689" spans="1:2" x14ac:dyDescent="0.25">
      <c r="A689" s="879"/>
      <c r="B689" s="1448" t="s">
        <v>1479</v>
      </c>
    </row>
    <row r="690" spans="1:2" x14ac:dyDescent="0.25">
      <c r="A690" s="879"/>
      <c r="B690" s="1448" t="s">
        <v>1812</v>
      </c>
    </row>
    <row r="691" spans="1:2" x14ac:dyDescent="0.25">
      <c r="A691" s="879"/>
      <c r="B691" s="1448" t="s">
        <v>1481</v>
      </c>
    </row>
    <row r="692" spans="1:2" x14ac:dyDescent="0.25">
      <c r="A692" s="879"/>
      <c r="B692" s="1448" t="s">
        <v>1954</v>
      </c>
    </row>
    <row r="693" spans="1:2" x14ac:dyDescent="0.25">
      <c r="A693" s="879"/>
      <c r="B693" s="1448" t="s">
        <v>1428</v>
      </c>
    </row>
    <row r="694" spans="1:2" x14ac:dyDescent="0.25">
      <c r="A694" s="879"/>
      <c r="B694" s="1448" t="s">
        <v>1365</v>
      </c>
    </row>
    <row r="695" spans="1:2" x14ac:dyDescent="0.25">
      <c r="A695" s="879"/>
      <c r="B695" s="1448" t="s">
        <v>1447</v>
      </c>
    </row>
    <row r="696" spans="1:2" x14ac:dyDescent="0.25">
      <c r="A696" s="879"/>
      <c r="B696" s="1448" t="s">
        <v>1365</v>
      </c>
    </row>
    <row r="697" spans="1:2" x14ac:dyDescent="0.25">
      <c r="A697" s="879"/>
      <c r="B697" s="1448" t="s">
        <v>1448</v>
      </c>
    </row>
    <row r="698" spans="1:2" x14ac:dyDescent="0.25">
      <c r="A698" s="879"/>
      <c r="B698" s="1448" t="s">
        <v>1449</v>
      </c>
    </row>
    <row r="699" spans="1:2" x14ac:dyDescent="0.25">
      <c r="A699" s="879"/>
      <c r="B699" s="1448" t="s">
        <v>1450</v>
      </c>
    </row>
    <row r="700" spans="1:2" x14ac:dyDescent="0.25">
      <c r="A700" s="879"/>
      <c r="B700" s="1448" t="s">
        <v>1650</v>
      </c>
    </row>
    <row r="701" spans="1:2" x14ac:dyDescent="0.25">
      <c r="A701" s="879"/>
      <c r="B701" s="1448" t="s">
        <v>1651</v>
      </c>
    </row>
    <row r="702" spans="1:2" x14ac:dyDescent="0.25">
      <c r="A702" s="879"/>
      <c r="B702" s="1448" t="s">
        <v>1814</v>
      </c>
    </row>
    <row r="703" spans="1:2" x14ac:dyDescent="0.25">
      <c r="A703" s="879"/>
      <c r="B703" s="1448" t="s">
        <v>1652</v>
      </c>
    </row>
    <row r="704" spans="1:2" x14ac:dyDescent="0.25">
      <c r="A704" s="879"/>
      <c r="B704" s="1448" t="s">
        <v>1451</v>
      </c>
    </row>
    <row r="705" spans="1:2" x14ac:dyDescent="0.25">
      <c r="A705" s="879"/>
      <c r="B705" s="1448" t="s">
        <v>1815</v>
      </c>
    </row>
    <row r="706" spans="1:2" x14ac:dyDescent="0.25">
      <c r="A706" s="879"/>
      <c r="B706" s="1448" t="s">
        <v>1816</v>
      </c>
    </row>
    <row r="707" spans="1:2" x14ac:dyDescent="0.25">
      <c r="A707" s="879"/>
      <c r="B707" s="1448" t="s">
        <v>1654</v>
      </c>
    </row>
    <row r="708" spans="1:2" x14ac:dyDescent="0.25">
      <c r="A708" s="879"/>
      <c r="B708" s="1448" t="s">
        <v>1817</v>
      </c>
    </row>
    <row r="709" spans="1:2" x14ac:dyDescent="0.25">
      <c r="A709" s="879"/>
      <c r="B709" s="1448" t="s">
        <v>1818</v>
      </c>
    </row>
    <row r="710" spans="1:2" x14ac:dyDescent="0.25">
      <c r="A710" s="879"/>
      <c r="B710" s="1448" t="s">
        <v>1453</v>
      </c>
    </row>
    <row r="711" spans="1:2" x14ac:dyDescent="0.25">
      <c r="A711" s="879"/>
      <c r="B711" s="1448" t="s">
        <v>1819</v>
      </c>
    </row>
    <row r="712" spans="1:2" x14ac:dyDescent="0.25">
      <c r="A712" s="879"/>
      <c r="B712" s="1448" t="s">
        <v>1655</v>
      </c>
    </row>
    <row r="713" spans="1:2" x14ac:dyDescent="0.25">
      <c r="A713" s="879"/>
      <c r="B713" s="1448" t="s">
        <v>1820</v>
      </c>
    </row>
    <row r="714" spans="1:2" x14ac:dyDescent="0.25">
      <c r="A714" s="879"/>
      <c r="B714" s="1448" t="s">
        <v>1454</v>
      </c>
    </row>
    <row r="715" spans="1:2" x14ac:dyDescent="0.25">
      <c r="A715" s="879"/>
      <c r="B715" s="1448" t="s">
        <v>1365</v>
      </c>
    </row>
    <row r="716" spans="1:2" x14ac:dyDescent="0.25">
      <c r="A716" s="879"/>
      <c r="B716" s="1448" t="s">
        <v>1448</v>
      </c>
    </row>
    <row r="717" spans="1:2" x14ac:dyDescent="0.25">
      <c r="A717" s="879"/>
      <c r="B717" s="1448" t="s">
        <v>1449</v>
      </c>
    </row>
    <row r="718" spans="1:2" x14ac:dyDescent="0.25">
      <c r="A718" s="879"/>
      <c r="B718" s="1448" t="s">
        <v>1450</v>
      </c>
    </row>
    <row r="719" spans="1:2" x14ac:dyDescent="0.25">
      <c r="A719" s="879"/>
      <c r="B719" s="1448" t="s">
        <v>1650</v>
      </c>
    </row>
    <row r="720" spans="1:2" x14ac:dyDescent="0.25">
      <c r="A720" s="879"/>
      <c r="B720" s="1448" t="s">
        <v>1651</v>
      </c>
    </row>
    <row r="721" spans="1:2" x14ac:dyDescent="0.25">
      <c r="A721" s="879"/>
      <c r="B721" s="1448" t="s">
        <v>1814</v>
      </c>
    </row>
    <row r="722" spans="1:2" x14ac:dyDescent="0.25">
      <c r="A722" s="879"/>
      <c r="B722" s="1448" t="s">
        <v>1652</v>
      </c>
    </row>
    <row r="723" spans="1:2" x14ac:dyDescent="0.25">
      <c r="A723" s="879"/>
      <c r="B723" s="1448" t="s">
        <v>1451</v>
      </c>
    </row>
    <row r="724" spans="1:2" x14ac:dyDescent="0.25">
      <c r="A724" s="879"/>
      <c r="B724" s="1448" t="s">
        <v>1815</v>
      </c>
    </row>
    <row r="725" spans="1:2" x14ac:dyDescent="0.25">
      <c r="A725" s="879"/>
      <c r="B725" s="1448" t="s">
        <v>1816</v>
      </c>
    </row>
    <row r="726" spans="1:2" x14ac:dyDescent="0.25">
      <c r="A726" s="879"/>
      <c r="B726" s="1448" t="s">
        <v>1654</v>
      </c>
    </row>
    <row r="727" spans="1:2" x14ac:dyDescent="0.25">
      <c r="A727" s="879"/>
      <c r="B727" s="1448" t="s">
        <v>1817</v>
      </c>
    </row>
    <row r="728" spans="1:2" x14ac:dyDescent="0.25">
      <c r="A728" s="879"/>
      <c r="B728" s="1448" t="s">
        <v>1818</v>
      </c>
    </row>
    <row r="729" spans="1:2" x14ac:dyDescent="0.25">
      <c r="A729" s="879"/>
      <c r="B729" s="1448" t="s">
        <v>1453</v>
      </c>
    </row>
    <row r="730" spans="1:2" x14ac:dyDescent="0.25">
      <c r="A730" s="879"/>
      <c r="B730" s="1448" t="s">
        <v>1819</v>
      </c>
    </row>
    <row r="731" spans="1:2" x14ac:dyDescent="0.25">
      <c r="A731" s="879"/>
      <c r="B731" s="1448" t="s">
        <v>1655</v>
      </c>
    </row>
    <row r="732" spans="1:2" x14ac:dyDescent="0.25">
      <c r="A732" s="879"/>
      <c r="B732" s="1448" t="s">
        <v>1820</v>
      </c>
    </row>
    <row r="733" spans="1:2" x14ac:dyDescent="0.25">
      <c r="A733" s="879"/>
      <c r="B733" s="1448" t="s">
        <v>1656</v>
      </c>
    </row>
    <row r="734" spans="1:2" x14ac:dyDescent="0.25">
      <c r="A734" s="879"/>
      <c r="B734" s="1448" t="s">
        <v>1365</v>
      </c>
    </row>
    <row r="735" spans="1:2" x14ac:dyDescent="0.25">
      <c r="A735" s="879"/>
      <c r="B735" s="1448" t="s">
        <v>1657</v>
      </c>
    </row>
    <row r="736" spans="1:2" x14ac:dyDescent="0.25">
      <c r="A736" s="879"/>
      <c r="B736" s="1448" t="s">
        <v>1658</v>
      </c>
    </row>
    <row r="737" spans="1:2" x14ac:dyDescent="0.25">
      <c r="A737" s="879"/>
      <c r="B737" s="1448" t="s">
        <v>1659</v>
      </c>
    </row>
    <row r="738" spans="1:2" x14ac:dyDescent="0.25">
      <c r="A738" s="879"/>
      <c r="B738" s="1448" t="s">
        <v>1660</v>
      </c>
    </row>
    <row r="739" spans="1:2" x14ac:dyDescent="0.25">
      <c r="A739" s="879"/>
      <c r="B739" s="1448" t="s">
        <v>1661</v>
      </c>
    </row>
    <row r="740" spans="1:2" x14ac:dyDescent="0.25">
      <c r="A740" s="879"/>
      <c r="B740" s="1448" t="s">
        <v>1662</v>
      </c>
    </row>
    <row r="741" spans="1:2" x14ac:dyDescent="0.25">
      <c r="A741" s="879"/>
      <c r="B741" s="1448" t="s">
        <v>1663</v>
      </c>
    </row>
    <row r="742" spans="1:2" x14ac:dyDescent="0.25">
      <c r="A742" s="879"/>
      <c r="B742" s="1448" t="s">
        <v>1664</v>
      </c>
    </row>
    <row r="743" spans="1:2" x14ac:dyDescent="0.25">
      <c r="A743" s="879"/>
      <c r="B743" s="1448" t="s">
        <v>1665</v>
      </c>
    </row>
    <row r="744" spans="1:2" x14ac:dyDescent="0.25">
      <c r="A744" s="879"/>
      <c r="B744" s="1448" t="s">
        <v>1666</v>
      </c>
    </row>
    <row r="745" spans="1:2" x14ac:dyDescent="0.25">
      <c r="A745" s="879"/>
      <c r="B745" s="1448" t="s">
        <v>1667</v>
      </c>
    </row>
    <row r="746" spans="1:2" x14ac:dyDescent="0.25">
      <c r="A746" s="879"/>
      <c r="B746" s="1448" t="s">
        <v>1668</v>
      </c>
    </row>
    <row r="747" spans="1:2" x14ac:dyDescent="0.25">
      <c r="A747" s="879"/>
      <c r="B747" s="1448" t="s">
        <v>1669</v>
      </c>
    </row>
    <row r="748" spans="1:2" x14ac:dyDescent="0.25">
      <c r="A748" s="879"/>
      <c r="B748" s="1448" t="s">
        <v>1670</v>
      </c>
    </row>
    <row r="749" spans="1:2" x14ac:dyDescent="0.25">
      <c r="A749" s="879"/>
      <c r="B749" s="1448" t="s">
        <v>1671</v>
      </c>
    </row>
    <row r="750" spans="1:2" x14ac:dyDescent="0.25">
      <c r="A750" s="879"/>
      <c r="B750" s="1448" t="s">
        <v>1769</v>
      </c>
    </row>
    <row r="751" spans="1:2" x14ac:dyDescent="0.25">
      <c r="A751" s="879"/>
      <c r="B751" s="1448" t="s">
        <v>1365</v>
      </c>
    </row>
    <row r="752" spans="1:2" x14ac:dyDescent="0.25">
      <c r="A752" s="879"/>
      <c r="B752" s="1448" t="s">
        <v>1770</v>
      </c>
    </row>
    <row r="753" spans="1:2" x14ac:dyDescent="0.25">
      <c r="A753" s="879"/>
      <c r="B753" s="1448" t="s">
        <v>1955</v>
      </c>
    </row>
    <row r="754" spans="1:2" x14ac:dyDescent="0.25">
      <c r="A754" s="879"/>
      <c r="B754" s="1448" t="s">
        <v>1772</v>
      </c>
    </row>
    <row r="755" spans="1:2" x14ac:dyDescent="0.25">
      <c r="A755" s="879"/>
      <c r="B755" s="1448" t="s">
        <v>1365</v>
      </c>
    </row>
    <row r="756" spans="1:2" x14ac:dyDescent="0.25">
      <c r="A756" s="879"/>
      <c r="B756" s="1448" t="s">
        <v>1773</v>
      </c>
    </row>
    <row r="757" spans="1:2" x14ac:dyDescent="0.25">
      <c r="A757" s="879"/>
      <c r="B757" s="1448"/>
    </row>
    <row r="758" spans="1:2" x14ac:dyDescent="0.25">
      <c r="A758" s="879"/>
      <c r="B758" s="1448"/>
    </row>
    <row r="759" spans="1:2" x14ac:dyDescent="0.25">
      <c r="A759" s="879"/>
      <c r="B759" s="1448" t="s">
        <v>1366</v>
      </c>
    </row>
    <row r="760" spans="1:2" x14ac:dyDescent="0.25">
      <c r="A760" s="879"/>
      <c r="B760" s="1448" t="s">
        <v>1956</v>
      </c>
    </row>
    <row r="761" spans="1:2" x14ac:dyDescent="0.25">
      <c r="A761" s="879"/>
      <c r="B761" s="1448" t="s">
        <v>1366</v>
      </c>
    </row>
    <row r="762" spans="1:2" x14ac:dyDescent="0.25">
      <c r="A762" s="879"/>
      <c r="B762" s="1448" t="s">
        <v>1957</v>
      </c>
    </row>
    <row r="763" spans="1:2" x14ac:dyDescent="0.25">
      <c r="A763" s="879"/>
      <c r="B763" s="1448" t="s">
        <v>1365</v>
      </c>
    </row>
    <row r="764" spans="1:2" x14ac:dyDescent="0.25">
      <c r="A764" s="879"/>
      <c r="B764" s="1448" t="s">
        <v>1367</v>
      </c>
    </row>
    <row r="765" spans="1:2" x14ac:dyDescent="0.25">
      <c r="A765" s="879"/>
      <c r="B765" s="1448" t="s">
        <v>1368</v>
      </c>
    </row>
    <row r="766" spans="1:2" x14ac:dyDescent="0.25">
      <c r="A766" s="879"/>
      <c r="B766" s="1448" t="s">
        <v>1365</v>
      </c>
    </row>
    <row r="767" spans="1:2" x14ac:dyDescent="0.25">
      <c r="A767" s="879"/>
      <c r="B767" s="1448" t="s">
        <v>1458</v>
      </c>
    </row>
    <row r="768" spans="1:2" x14ac:dyDescent="0.25">
      <c r="A768" s="879"/>
      <c r="B768" s="1448" t="s">
        <v>1459</v>
      </c>
    </row>
    <row r="769" spans="1:2" x14ac:dyDescent="0.25">
      <c r="A769" s="879"/>
      <c r="B769" s="1448" t="s">
        <v>1958</v>
      </c>
    </row>
    <row r="770" spans="1:2" x14ac:dyDescent="0.25">
      <c r="A770" s="879"/>
      <c r="B770" s="1448" t="s">
        <v>1701</v>
      </c>
    </row>
    <row r="771" spans="1:2" x14ac:dyDescent="0.25">
      <c r="A771" s="879"/>
      <c r="B771" s="1448" t="s">
        <v>1776</v>
      </c>
    </row>
    <row r="772" spans="1:2" x14ac:dyDescent="0.25">
      <c r="A772" s="879"/>
      <c r="B772" s="1448" t="s">
        <v>1777</v>
      </c>
    </row>
    <row r="773" spans="1:2" x14ac:dyDescent="0.25">
      <c r="A773" s="879"/>
      <c r="B773" s="1448" t="s">
        <v>1778</v>
      </c>
    </row>
    <row r="774" spans="1:2" x14ac:dyDescent="0.25">
      <c r="A774" s="879"/>
      <c r="B774" s="1448" t="s">
        <v>1959</v>
      </c>
    </row>
    <row r="775" spans="1:2" x14ac:dyDescent="0.25">
      <c r="A775" s="879"/>
      <c r="B775" s="1448" t="s">
        <v>1960</v>
      </c>
    </row>
    <row r="776" spans="1:2" x14ac:dyDescent="0.25">
      <c r="A776" s="879"/>
      <c r="B776" s="1448" t="s">
        <v>1961</v>
      </c>
    </row>
    <row r="777" spans="1:2" x14ac:dyDescent="0.25">
      <c r="A777" s="879"/>
      <c r="B777" s="1448" t="s">
        <v>1460</v>
      </c>
    </row>
    <row r="778" spans="1:2" x14ac:dyDescent="0.25">
      <c r="A778" s="879"/>
      <c r="B778" s="1448" t="s">
        <v>1380</v>
      </c>
    </row>
    <row r="779" spans="1:2" x14ac:dyDescent="0.25">
      <c r="A779" s="879"/>
      <c r="B779" s="1448" t="s">
        <v>1365</v>
      </c>
    </row>
    <row r="780" spans="1:2" x14ac:dyDescent="0.25">
      <c r="A780" s="879"/>
      <c r="B780" s="1448" t="s">
        <v>1458</v>
      </c>
    </row>
    <row r="781" spans="1:2" x14ac:dyDescent="0.25">
      <c r="A781" s="879"/>
      <c r="B781" s="1448" t="s">
        <v>1781</v>
      </c>
    </row>
    <row r="782" spans="1:2" x14ac:dyDescent="0.25">
      <c r="A782" s="879"/>
      <c r="B782" s="1448" t="s">
        <v>1962</v>
      </c>
    </row>
    <row r="783" spans="1:2" x14ac:dyDescent="0.25">
      <c r="A783" s="879"/>
      <c r="B783" s="1448" t="s">
        <v>1963</v>
      </c>
    </row>
    <row r="784" spans="1:2" x14ac:dyDescent="0.25">
      <c r="A784" s="879"/>
      <c r="B784" s="1448" t="s">
        <v>1964</v>
      </c>
    </row>
    <row r="785" spans="1:2" x14ac:dyDescent="0.25">
      <c r="A785" s="879"/>
      <c r="B785" s="1448" t="s">
        <v>1965</v>
      </c>
    </row>
    <row r="786" spans="1:2" x14ac:dyDescent="0.25">
      <c r="A786" s="879"/>
      <c r="B786" s="1448" t="s">
        <v>1966</v>
      </c>
    </row>
    <row r="787" spans="1:2" x14ac:dyDescent="0.25">
      <c r="A787" s="879"/>
      <c r="B787" s="1448" t="s">
        <v>1967</v>
      </c>
    </row>
    <row r="788" spans="1:2" x14ac:dyDescent="0.25">
      <c r="A788" s="879"/>
      <c r="B788" s="1448" t="s">
        <v>1968</v>
      </c>
    </row>
    <row r="789" spans="1:2" x14ac:dyDescent="0.25">
      <c r="A789" s="879"/>
      <c r="B789" s="1448" t="s">
        <v>1788</v>
      </c>
    </row>
    <row r="790" spans="1:2" x14ac:dyDescent="0.25">
      <c r="A790" s="879"/>
      <c r="B790" s="1448" t="s">
        <v>1789</v>
      </c>
    </row>
    <row r="791" spans="1:2" x14ac:dyDescent="0.25">
      <c r="A791" s="879"/>
      <c r="B791" s="1448" t="s">
        <v>1464</v>
      </c>
    </row>
    <row r="792" spans="1:2" x14ac:dyDescent="0.25">
      <c r="A792" s="879"/>
      <c r="B792" s="1448" t="s">
        <v>1465</v>
      </c>
    </row>
    <row r="793" spans="1:2" x14ac:dyDescent="0.25">
      <c r="A793" s="879"/>
      <c r="B793" s="1448" t="s">
        <v>1969</v>
      </c>
    </row>
    <row r="794" spans="1:2" x14ac:dyDescent="0.25">
      <c r="A794" s="879"/>
      <c r="B794" s="1448" t="s">
        <v>1467</v>
      </c>
    </row>
    <row r="795" spans="1:2" x14ac:dyDescent="0.25">
      <c r="A795" s="879"/>
      <c r="B795" s="1448" t="s">
        <v>1970</v>
      </c>
    </row>
    <row r="796" spans="1:2" x14ac:dyDescent="0.25">
      <c r="A796" s="879"/>
      <c r="B796" s="1448" t="s">
        <v>1792</v>
      </c>
    </row>
    <row r="797" spans="1:2" x14ac:dyDescent="0.25">
      <c r="A797" s="879"/>
      <c r="B797" s="1448" t="s">
        <v>1971</v>
      </c>
    </row>
    <row r="798" spans="1:2" x14ac:dyDescent="0.25">
      <c r="A798" s="879"/>
      <c r="B798" s="1448" t="s">
        <v>1794</v>
      </c>
    </row>
    <row r="799" spans="1:2" x14ac:dyDescent="0.25">
      <c r="A799" s="879"/>
      <c r="B799" s="1448" t="s">
        <v>1795</v>
      </c>
    </row>
    <row r="800" spans="1:2" x14ac:dyDescent="0.25">
      <c r="A800" s="879"/>
      <c r="B800" s="1448" t="s">
        <v>1469</v>
      </c>
    </row>
    <row r="801" spans="1:2" x14ac:dyDescent="0.25">
      <c r="A801" s="879"/>
      <c r="B801" s="1448" t="s">
        <v>1972</v>
      </c>
    </row>
    <row r="802" spans="1:2" x14ac:dyDescent="0.25">
      <c r="A802" s="879"/>
      <c r="B802" s="1448" t="s">
        <v>1796</v>
      </c>
    </row>
    <row r="803" spans="1:2" x14ac:dyDescent="0.25">
      <c r="A803" s="879"/>
      <c r="B803" s="1448" t="s">
        <v>1471</v>
      </c>
    </row>
    <row r="804" spans="1:2" x14ac:dyDescent="0.25">
      <c r="A804" s="879"/>
      <c r="B804" s="1448" t="s">
        <v>1973</v>
      </c>
    </row>
    <row r="805" spans="1:2" x14ac:dyDescent="0.25">
      <c r="A805" s="879"/>
      <c r="B805" s="1448" t="s">
        <v>1974</v>
      </c>
    </row>
    <row r="806" spans="1:2" x14ac:dyDescent="0.25">
      <c r="A806" s="879"/>
      <c r="B806" s="1448" t="s">
        <v>1975</v>
      </c>
    </row>
    <row r="807" spans="1:2" x14ac:dyDescent="0.25">
      <c r="A807" s="879"/>
      <c r="B807" s="1448" t="s">
        <v>1976</v>
      </c>
    </row>
    <row r="808" spans="1:2" x14ac:dyDescent="0.25">
      <c r="A808" s="879"/>
      <c r="B808" s="1448" t="s">
        <v>1474</v>
      </c>
    </row>
    <row r="809" spans="1:2" x14ac:dyDescent="0.25">
      <c r="A809" s="879"/>
      <c r="B809" s="1448" t="s">
        <v>1475</v>
      </c>
    </row>
    <row r="810" spans="1:2" x14ac:dyDescent="0.25">
      <c r="A810" s="879"/>
      <c r="B810" s="1448" t="s">
        <v>1476</v>
      </c>
    </row>
    <row r="811" spans="1:2" x14ac:dyDescent="0.25">
      <c r="A811" s="879"/>
      <c r="B811" s="1448" t="s">
        <v>1977</v>
      </c>
    </row>
    <row r="812" spans="1:2" x14ac:dyDescent="0.25">
      <c r="A812" s="879"/>
      <c r="B812" s="1448" t="s">
        <v>1978</v>
      </c>
    </row>
    <row r="813" spans="1:2" x14ac:dyDescent="0.25">
      <c r="A813" s="879"/>
      <c r="B813" s="1448" t="s">
        <v>1477</v>
      </c>
    </row>
    <row r="814" spans="1:2" x14ac:dyDescent="0.25">
      <c r="A814" s="879"/>
      <c r="B814" s="1448" t="s">
        <v>1478</v>
      </c>
    </row>
    <row r="815" spans="1:2" x14ac:dyDescent="0.25">
      <c r="A815" s="879"/>
      <c r="B815" s="1448" t="s">
        <v>1979</v>
      </c>
    </row>
    <row r="816" spans="1:2" x14ac:dyDescent="0.25">
      <c r="A816" s="879"/>
      <c r="B816" s="1448" t="s">
        <v>1980</v>
      </c>
    </row>
    <row r="817" spans="1:2" x14ac:dyDescent="0.25">
      <c r="A817" s="879"/>
      <c r="B817" s="1448" t="s">
        <v>1981</v>
      </c>
    </row>
    <row r="818" spans="1:2" x14ac:dyDescent="0.25">
      <c r="A818" s="879"/>
      <c r="B818" s="1448" t="s">
        <v>1982</v>
      </c>
    </row>
    <row r="819" spans="1:2" x14ac:dyDescent="0.25">
      <c r="A819" s="879"/>
      <c r="B819" s="1448" t="s">
        <v>1983</v>
      </c>
    </row>
    <row r="820" spans="1:2" x14ac:dyDescent="0.25">
      <c r="A820" s="879"/>
      <c r="B820" s="1448" t="s">
        <v>1984</v>
      </c>
    </row>
    <row r="821" spans="1:2" x14ac:dyDescent="0.25">
      <c r="A821" s="879"/>
      <c r="B821" s="1448" t="s">
        <v>1985</v>
      </c>
    </row>
    <row r="822" spans="1:2" x14ac:dyDescent="0.25">
      <c r="A822" s="879"/>
      <c r="B822" s="1448" t="s">
        <v>1986</v>
      </c>
    </row>
    <row r="823" spans="1:2" x14ac:dyDescent="0.25">
      <c r="A823" s="879"/>
      <c r="B823" s="1448" t="s">
        <v>1987</v>
      </c>
    </row>
    <row r="824" spans="1:2" x14ac:dyDescent="0.25">
      <c r="A824" s="879"/>
      <c r="B824" s="1448" t="s">
        <v>1479</v>
      </c>
    </row>
    <row r="825" spans="1:2" x14ac:dyDescent="0.25">
      <c r="A825" s="879"/>
      <c r="B825" s="1448" t="s">
        <v>1812</v>
      </c>
    </row>
    <row r="826" spans="1:2" x14ac:dyDescent="0.25">
      <c r="A826" s="879"/>
      <c r="B826" s="1448" t="s">
        <v>1481</v>
      </c>
    </row>
    <row r="827" spans="1:2" x14ac:dyDescent="0.25">
      <c r="A827" s="879"/>
      <c r="B827" s="1448" t="s">
        <v>1988</v>
      </c>
    </row>
    <row r="828" spans="1:2" x14ac:dyDescent="0.25">
      <c r="A828" s="879"/>
      <c r="B828" s="1448" t="s">
        <v>1428</v>
      </c>
    </row>
    <row r="829" spans="1:2" x14ac:dyDescent="0.25">
      <c r="A829" s="879"/>
      <c r="B829" s="1448" t="s">
        <v>1365</v>
      </c>
    </row>
    <row r="830" spans="1:2" x14ac:dyDescent="0.25">
      <c r="A830" s="879"/>
      <c r="B830" s="1448" t="s">
        <v>1447</v>
      </c>
    </row>
    <row r="831" spans="1:2" x14ac:dyDescent="0.25">
      <c r="A831" s="879"/>
      <c r="B831" s="1448" t="s">
        <v>1365</v>
      </c>
    </row>
    <row r="832" spans="1:2" x14ac:dyDescent="0.25">
      <c r="A832" s="879"/>
      <c r="B832" s="1448" t="s">
        <v>1448</v>
      </c>
    </row>
    <row r="833" spans="1:2" x14ac:dyDescent="0.25">
      <c r="A833" s="879"/>
      <c r="B833" s="1448" t="s">
        <v>1449</v>
      </c>
    </row>
    <row r="834" spans="1:2" x14ac:dyDescent="0.25">
      <c r="A834" s="879"/>
      <c r="B834" s="1448" t="s">
        <v>1450</v>
      </c>
    </row>
    <row r="835" spans="1:2" x14ac:dyDescent="0.25">
      <c r="A835" s="879"/>
      <c r="B835" s="1448" t="s">
        <v>1650</v>
      </c>
    </row>
    <row r="836" spans="1:2" x14ac:dyDescent="0.25">
      <c r="A836" s="879"/>
      <c r="B836" s="1448" t="s">
        <v>1651</v>
      </c>
    </row>
    <row r="837" spans="1:2" x14ac:dyDescent="0.25">
      <c r="A837" s="879"/>
      <c r="B837" s="1448" t="s">
        <v>1814</v>
      </c>
    </row>
    <row r="838" spans="1:2" x14ac:dyDescent="0.25">
      <c r="A838" s="879"/>
      <c r="B838" s="1448" t="s">
        <v>1652</v>
      </c>
    </row>
    <row r="839" spans="1:2" x14ac:dyDescent="0.25">
      <c r="A839" s="879"/>
      <c r="B839" s="1448" t="s">
        <v>1451</v>
      </c>
    </row>
    <row r="840" spans="1:2" x14ac:dyDescent="0.25">
      <c r="A840" s="879"/>
      <c r="B840" s="1448" t="s">
        <v>1815</v>
      </c>
    </row>
    <row r="841" spans="1:2" x14ac:dyDescent="0.25">
      <c r="A841" s="879"/>
      <c r="B841" s="1448" t="s">
        <v>1816</v>
      </c>
    </row>
    <row r="842" spans="1:2" x14ac:dyDescent="0.25">
      <c r="A842" s="879"/>
      <c r="B842" s="1448" t="s">
        <v>1654</v>
      </c>
    </row>
    <row r="843" spans="1:2" x14ac:dyDescent="0.25">
      <c r="A843" s="879"/>
      <c r="B843" s="1448" t="s">
        <v>1817</v>
      </c>
    </row>
    <row r="844" spans="1:2" x14ac:dyDescent="0.25">
      <c r="A844" s="879"/>
      <c r="B844" s="1448" t="s">
        <v>1818</v>
      </c>
    </row>
    <row r="845" spans="1:2" x14ac:dyDescent="0.25">
      <c r="A845" s="879"/>
      <c r="B845" s="1448" t="s">
        <v>1453</v>
      </c>
    </row>
    <row r="846" spans="1:2" x14ac:dyDescent="0.25">
      <c r="A846" s="879"/>
      <c r="B846" s="1448" t="s">
        <v>1819</v>
      </c>
    </row>
    <row r="847" spans="1:2" x14ac:dyDescent="0.25">
      <c r="A847" s="879"/>
      <c r="B847" s="1448" t="s">
        <v>1655</v>
      </c>
    </row>
    <row r="848" spans="1:2" x14ac:dyDescent="0.25">
      <c r="A848" s="879"/>
      <c r="B848" s="1448" t="s">
        <v>1820</v>
      </c>
    </row>
    <row r="849" spans="1:2" x14ac:dyDescent="0.25">
      <c r="A849" s="879"/>
      <c r="B849" s="1448" t="s">
        <v>1454</v>
      </c>
    </row>
    <row r="850" spans="1:2" x14ac:dyDescent="0.25">
      <c r="A850" s="879"/>
      <c r="B850" s="1448" t="s">
        <v>1365</v>
      </c>
    </row>
    <row r="851" spans="1:2" x14ac:dyDescent="0.25">
      <c r="A851" s="879"/>
      <c r="B851" s="1448" t="s">
        <v>1448</v>
      </c>
    </row>
    <row r="852" spans="1:2" x14ac:dyDescent="0.25">
      <c r="A852" s="879"/>
      <c r="B852" s="1448" t="s">
        <v>1449</v>
      </c>
    </row>
    <row r="853" spans="1:2" x14ac:dyDescent="0.25">
      <c r="A853" s="879"/>
      <c r="B853" s="1448" t="s">
        <v>1450</v>
      </c>
    </row>
    <row r="854" spans="1:2" x14ac:dyDescent="0.25">
      <c r="A854" s="879"/>
      <c r="B854" s="1448" t="s">
        <v>1650</v>
      </c>
    </row>
    <row r="855" spans="1:2" x14ac:dyDescent="0.25">
      <c r="A855" s="879"/>
      <c r="B855" s="1448" t="s">
        <v>1651</v>
      </c>
    </row>
    <row r="856" spans="1:2" x14ac:dyDescent="0.25">
      <c r="A856" s="879"/>
      <c r="B856" s="1448" t="s">
        <v>1814</v>
      </c>
    </row>
    <row r="857" spans="1:2" x14ac:dyDescent="0.25">
      <c r="A857" s="879"/>
      <c r="B857" s="1448" t="s">
        <v>1652</v>
      </c>
    </row>
    <row r="858" spans="1:2" x14ac:dyDescent="0.25">
      <c r="A858" s="879"/>
      <c r="B858" s="1448" t="s">
        <v>1451</v>
      </c>
    </row>
    <row r="859" spans="1:2" x14ac:dyDescent="0.25">
      <c r="A859" s="879"/>
      <c r="B859" s="1448" t="s">
        <v>1815</v>
      </c>
    </row>
    <row r="860" spans="1:2" x14ac:dyDescent="0.25">
      <c r="A860" s="879"/>
      <c r="B860" s="1448" t="s">
        <v>1816</v>
      </c>
    </row>
    <row r="861" spans="1:2" x14ac:dyDescent="0.25">
      <c r="A861" s="879"/>
      <c r="B861" s="1448" t="s">
        <v>1654</v>
      </c>
    </row>
    <row r="862" spans="1:2" x14ac:dyDescent="0.25">
      <c r="A862" s="879"/>
      <c r="B862" s="1448" t="s">
        <v>1817</v>
      </c>
    </row>
    <row r="863" spans="1:2" x14ac:dyDescent="0.25">
      <c r="A863" s="879"/>
      <c r="B863" s="1448" t="s">
        <v>1818</v>
      </c>
    </row>
    <row r="864" spans="1:2" x14ac:dyDescent="0.25">
      <c r="A864" s="879"/>
      <c r="B864" s="1448" t="s">
        <v>1453</v>
      </c>
    </row>
    <row r="865" spans="1:2" x14ac:dyDescent="0.25">
      <c r="A865" s="879"/>
      <c r="B865" s="1448" t="s">
        <v>1819</v>
      </c>
    </row>
    <row r="866" spans="1:2" x14ac:dyDescent="0.25">
      <c r="A866" s="879"/>
      <c r="B866" s="1448" t="s">
        <v>1655</v>
      </c>
    </row>
    <row r="867" spans="1:2" x14ac:dyDescent="0.25">
      <c r="A867" s="879"/>
      <c r="B867" s="1448" t="s">
        <v>1820</v>
      </c>
    </row>
    <row r="868" spans="1:2" x14ac:dyDescent="0.25">
      <c r="A868" s="879"/>
      <c r="B868" s="1448" t="s">
        <v>1656</v>
      </c>
    </row>
    <row r="869" spans="1:2" x14ac:dyDescent="0.25">
      <c r="A869" s="879"/>
      <c r="B869" s="1448" t="s">
        <v>1365</v>
      </c>
    </row>
    <row r="870" spans="1:2" x14ac:dyDescent="0.25">
      <c r="A870" s="879"/>
      <c r="B870" s="1448" t="s">
        <v>1657</v>
      </c>
    </row>
    <row r="871" spans="1:2" x14ac:dyDescent="0.25">
      <c r="A871" s="879"/>
      <c r="B871" s="1448" t="s">
        <v>1658</v>
      </c>
    </row>
    <row r="872" spans="1:2" x14ac:dyDescent="0.25">
      <c r="A872" s="879"/>
      <c r="B872" s="1448" t="s">
        <v>1659</v>
      </c>
    </row>
    <row r="873" spans="1:2" x14ac:dyDescent="0.25">
      <c r="A873" s="879"/>
      <c r="B873" s="1448" t="s">
        <v>1660</v>
      </c>
    </row>
    <row r="874" spans="1:2" x14ac:dyDescent="0.25">
      <c r="A874" s="879"/>
      <c r="B874" s="1448" t="s">
        <v>1661</v>
      </c>
    </row>
    <row r="875" spans="1:2" x14ac:dyDescent="0.25">
      <c r="A875" s="879"/>
      <c r="B875" s="1448" t="s">
        <v>1662</v>
      </c>
    </row>
    <row r="876" spans="1:2" x14ac:dyDescent="0.25">
      <c r="A876" s="879"/>
      <c r="B876" s="1448" t="s">
        <v>1663</v>
      </c>
    </row>
    <row r="877" spans="1:2" x14ac:dyDescent="0.25">
      <c r="A877" s="879"/>
      <c r="B877" s="1448" t="s">
        <v>1664</v>
      </c>
    </row>
    <row r="878" spans="1:2" x14ac:dyDescent="0.25">
      <c r="A878" s="879"/>
      <c r="B878" s="1448" t="s">
        <v>1665</v>
      </c>
    </row>
    <row r="879" spans="1:2" x14ac:dyDescent="0.25">
      <c r="A879" s="879"/>
      <c r="B879" s="1448" t="s">
        <v>1666</v>
      </c>
    </row>
    <row r="880" spans="1:2" x14ac:dyDescent="0.25">
      <c r="A880" s="879"/>
      <c r="B880" s="1448" t="s">
        <v>1667</v>
      </c>
    </row>
    <row r="881" spans="1:2" x14ac:dyDescent="0.25">
      <c r="A881" s="879"/>
      <c r="B881" s="1448" t="s">
        <v>1668</v>
      </c>
    </row>
    <row r="882" spans="1:2" x14ac:dyDescent="0.25">
      <c r="A882" s="879"/>
      <c r="B882" s="1448" t="s">
        <v>1669</v>
      </c>
    </row>
    <row r="883" spans="1:2" x14ac:dyDescent="0.25">
      <c r="A883" s="879"/>
      <c r="B883" s="1448" t="s">
        <v>1670</v>
      </c>
    </row>
    <row r="884" spans="1:2" x14ac:dyDescent="0.25">
      <c r="A884" s="879"/>
      <c r="B884" s="1448" t="s">
        <v>1671</v>
      </c>
    </row>
    <row r="885" spans="1:2" x14ac:dyDescent="0.25">
      <c r="A885" s="879"/>
      <c r="B885" s="1448" t="s">
        <v>1769</v>
      </c>
    </row>
    <row r="886" spans="1:2" x14ac:dyDescent="0.25">
      <c r="A886" s="879"/>
      <c r="B886" s="1448" t="s">
        <v>1365</v>
      </c>
    </row>
    <row r="887" spans="1:2" x14ac:dyDescent="0.25">
      <c r="A887" s="879"/>
      <c r="B887" s="1448" t="s">
        <v>1770</v>
      </c>
    </row>
    <row r="888" spans="1:2" x14ac:dyDescent="0.25">
      <c r="A888" s="879"/>
      <c r="B888" s="1448" t="s">
        <v>1989</v>
      </c>
    </row>
    <row r="889" spans="1:2" x14ac:dyDescent="0.25">
      <c r="A889" s="879"/>
      <c r="B889" s="1448" t="s">
        <v>1772</v>
      </c>
    </row>
    <row r="890" spans="1:2" x14ac:dyDescent="0.25">
      <c r="A890" s="879"/>
      <c r="B890" s="1448" t="s">
        <v>1365</v>
      </c>
    </row>
    <row r="891" spans="1:2" x14ac:dyDescent="0.25">
      <c r="A891" s="879"/>
      <c r="B891" s="1448" t="s">
        <v>1773</v>
      </c>
    </row>
    <row r="892" spans="1:2" x14ac:dyDescent="0.25">
      <c r="A892" s="879"/>
      <c r="B892" s="1448"/>
    </row>
    <row r="893" spans="1:2" x14ac:dyDescent="0.25">
      <c r="A893" s="879"/>
      <c r="B893" s="1448"/>
    </row>
    <row r="894" spans="1:2" x14ac:dyDescent="0.25">
      <c r="A894" s="879"/>
      <c r="B894" s="1448" t="s">
        <v>1366</v>
      </c>
    </row>
    <row r="895" spans="1:2" x14ac:dyDescent="0.25">
      <c r="A895" s="879"/>
      <c r="B895" s="1448" t="s">
        <v>1990</v>
      </c>
    </row>
    <row r="896" spans="1:2" x14ac:dyDescent="0.25">
      <c r="A896" s="879"/>
      <c r="B896" s="1448" t="s">
        <v>1366</v>
      </c>
    </row>
    <row r="897" spans="1:2" x14ac:dyDescent="0.25">
      <c r="A897" s="879"/>
      <c r="B897" s="1448" t="s">
        <v>1688</v>
      </c>
    </row>
    <row r="898" spans="1:2" x14ac:dyDescent="0.25">
      <c r="A898" s="879"/>
      <c r="B898" s="1448" t="s">
        <v>1365</v>
      </c>
    </row>
    <row r="899" spans="1:2" x14ac:dyDescent="0.25">
      <c r="A899" s="879"/>
      <c r="B899" s="1448" t="s">
        <v>1367</v>
      </c>
    </row>
    <row r="900" spans="1:2" x14ac:dyDescent="0.25">
      <c r="A900" s="879"/>
      <c r="B900" s="1448" t="s">
        <v>1368</v>
      </c>
    </row>
    <row r="901" spans="1:2" x14ac:dyDescent="0.25">
      <c r="A901" s="879"/>
      <c r="B901" s="1448" t="s">
        <v>1365</v>
      </c>
    </row>
    <row r="902" spans="1:2" x14ac:dyDescent="0.25">
      <c r="A902" s="879"/>
      <c r="B902" s="1448" t="s">
        <v>1458</v>
      </c>
    </row>
    <row r="903" spans="1:2" x14ac:dyDescent="0.25">
      <c r="A903" s="879"/>
      <c r="B903" s="1448" t="s">
        <v>1459</v>
      </c>
    </row>
    <row r="904" spans="1:2" x14ac:dyDescent="0.25">
      <c r="A904" s="879"/>
      <c r="B904" s="1448" t="s">
        <v>1508</v>
      </c>
    </row>
    <row r="905" spans="1:2" x14ac:dyDescent="0.25">
      <c r="A905" s="879"/>
      <c r="B905" s="1448" t="s">
        <v>1626</v>
      </c>
    </row>
    <row r="906" spans="1:2" x14ac:dyDescent="0.25">
      <c r="A906" s="879"/>
      <c r="B906" s="1448" t="s">
        <v>1991</v>
      </c>
    </row>
    <row r="907" spans="1:2" x14ac:dyDescent="0.25">
      <c r="A907" s="879"/>
      <c r="B907" s="1448" t="s">
        <v>1992</v>
      </c>
    </row>
    <row r="908" spans="1:2" x14ac:dyDescent="0.25">
      <c r="A908" s="879"/>
      <c r="B908" s="1448" t="s">
        <v>1993</v>
      </c>
    </row>
    <row r="909" spans="1:2" x14ac:dyDescent="0.25">
      <c r="A909" s="879"/>
      <c r="B909" s="1448" t="s">
        <v>1994</v>
      </c>
    </row>
    <row r="910" spans="1:2" x14ac:dyDescent="0.25">
      <c r="A910" s="879"/>
      <c r="B910" s="1448" t="s">
        <v>1995</v>
      </c>
    </row>
    <row r="911" spans="1:2" x14ac:dyDescent="0.25">
      <c r="A911" s="879"/>
      <c r="B911" s="1448" t="s">
        <v>1996</v>
      </c>
    </row>
    <row r="912" spans="1:2" x14ac:dyDescent="0.25">
      <c r="A912" s="879"/>
      <c r="B912" s="1448" t="s">
        <v>1460</v>
      </c>
    </row>
    <row r="913" spans="1:2" x14ac:dyDescent="0.25">
      <c r="A913" s="879"/>
      <c r="B913" s="1448" t="s">
        <v>1380</v>
      </c>
    </row>
    <row r="914" spans="1:2" x14ac:dyDescent="0.25">
      <c r="A914" s="879"/>
      <c r="B914" s="1448" t="s">
        <v>1365</v>
      </c>
    </row>
    <row r="915" spans="1:2" x14ac:dyDescent="0.25">
      <c r="A915" s="879"/>
      <c r="B915" s="1448" t="s">
        <v>1458</v>
      </c>
    </row>
    <row r="916" spans="1:2" x14ac:dyDescent="0.25">
      <c r="A916" s="879"/>
      <c r="B916" s="1448" t="s">
        <v>1997</v>
      </c>
    </row>
    <row r="917" spans="1:2" x14ac:dyDescent="0.25">
      <c r="A917" s="879"/>
      <c r="B917" s="1448" t="s">
        <v>1998</v>
      </c>
    </row>
    <row r="918" spans="1:2" x14ac:dyDescent="0.25">
      <c r="A918" s="879"/>
      <c r="B918" s="1448" t="s">
        <v>1999</v>
      </c>
    </row>
    <row r="919" spans="1:2" x14ac:dyDescent="0.25">
      <c r="A919" s="879"/>
      <c r="B919" s="1448" t="s">
        <v>2000</v>
      </c>
    </row>
    <row r="920" spans="1:2" x14ac:dyDescent="0.25">
      <c r="A920" s="879"/>
      <c r="B920" s="1448" t="s">
        <v>2001</v>
      </c>
    </row>
    <row r="921" spans="1:2" x14ac:dyDescent="0.25">
      <c r="A921" s="879"/>
      <c r="B921" s="1448" t="s">
        <v>2002</v>
      </c>
    </row>
    <row r="922" spans="1:2" x14ac:dyDescent="0.25">
      <c r="A922" s="879"/>
      <c r="B922" s="1448" t="s">
        <v>2003</v>
      </c>
    </row>
    <row r="923" spans="1:2" x14ac:dyDescent="0.25">
      <c r="A923" s="879"/>
      <c r="B923" s="1448" t="s">
        <v>2004</v>
      </c>
    </row>
    <row r="924" spans="1:2" x14ac:dyDescent="0.25">
      <c r="A924" s="879"/>
      <c r="B924" s="1448" t="s">
        <v>1571</v>
      </c>
    </row>
    <row r="925" spans="1:2" x14ac:dyDescent="0.25">
      <c r="A925" s="879"/>
      <c r="B925" s="1448" t="s">
        <v>1463</v>
      </c>
    </row>
    <row r="926" spans="1:2" x14ac:dyDescent="0.25">
      <c r="A926" s="879"/>
      <c r="B926" s="1448" t="s">
        <v>1464</v>
      </c>
    </row>
    <row r="927" spans="1:2" x14ac:dyDescent="0.25">
      <c r="A927" s="879"/>
      <c r="B927" s="1448" t="s">
        <v>1465</v>
      </c>
    </row>
    <row r="928" spans="1:2" x14ac:dyDescent="0.25">
      <c r="A928" s="879"/>
      <c r="B928" s="1448" t="s">
        <v>2005</v>
      </c>
    </row>
    <row r="929" spans="1:2" x14ac:dyDescent="0.25">
      <c r="A929" s="879"/>
      <c r="B929" s="1448" t="s">
        <v>1467</v>
      </c>
    </row>
    <row r="930" spans="1:2" x14ac:dyDescent="0.25">
      <c r="A930" s="879"/>
      <c r="B930" s="1448" t="s">
        <v>2006</v>
      </c>
    </row>
    <row r="931" spans="1:2" x14ac:dyDescent="0.25">
      <c r="A931" s="879"/>
      <c r="B931" s="1448" t="s">
        <v>2007</v>
      </c>
    </row>
    <row r="932" spans="1:2" x14ac:dyDescent="0.25">
      <c r="A932" s="879"/>
      <c r="B932" s="1448" t="s">
        <v>2008</v>
      </c>
    </row>
    <row r="933" spans="1:2" x14ac:dyDescent="0.25">
      <c r="A933" s="879"/>
      <c r="B933" s="1448" t="s">
        <v>2009</v>
      </c>
    </row>
    <row r="934" spans="1:2" x14ac:dyDescent="0.25">
      <c r="A934" s="879"/>
      <c r="B934" s="1448" t="s">
        <v>2010</v>
      </c>
    </row>
    <row r="935" spans="1:2" x14ac:dyDescent="0.25">
      <c r="A935" s="879"/>
      <c r="B935" s="1448" t="s">
        <v>1469</v>
      </c>
    </row>
    <row r="936" spans="1:2" x14ac:dyDescent="0.25">
      <c r="A936" s="879"/>
      <c r="B936" s="1448" t="s">
        <v>2011</v>
      </c>
    </row>
    <row r="937" spans="1:2" x14ac:dyDescent="0.25">
      <c r="A937" s="879"/>
      <c r="B937" s="1448" t="s">
        <v>2012</v>
      </c>
    </row>
    <row r="938" spans="1:2" x14ac:dyDescent="0.25">
      <c r="A938" s="879"/>
      <c r="B938" s="1448" t="s">
        <v>1471</v>
      </c>
    </row>
    <row r="939" spans="1:2" x14ac:dyDescent="0.25">
      <c r="A939" s="879"/>
      <c r="B939" s="1448" t="s">
        <v>1687</v>
      </c>
    </row>
    <row r="940" spans="1:2" x14ac:dyDescent="0.25">
      <c r="A940" s="879"/>
      <c r="B940" s="1448" t="s">
        <v>2013</v>
      </c>
    </row>
    <row r="941" spans="1:2" x14ac:dyDescent="0.25">
      <c r="A941" s="879"/>
      <c r="B941" s="1448" t="s">
        <v>2014</v>
      </c>
    </row>
    <row r="942" spans="1:2" x14ac:dyDescent="0.25">
      <c r="A942" s="879"/>
      <c r="B942" s="1448" t="s">
        <v>2015</v>
      </c>
    </row>
    <row r="943" spans="1:2" x14ac:dyDescent="0.25">
      <c r="A943" s="879"/>
      <c r="B943" s="1448" t="s">
        <v>1474</v>
      </c>
    </row>
    <row r="944" spans="1:2" x14ac:dyDescent="0.25">
      <c r="A944" s="879"/>
      <c r="B944" s="1448" t="s">
        <v>1475</v>
      </c>
    </row>
    <row r="945" spans="1:2" x14ac:dyDescent="0.25">
      <c r="A945" s="879"/>
      <c r="B945" s="1448" t="s">
        <v>1476</v>
      </c>
    </row>
    <row r="946" spans="1:2" x14ac:dyDescent="0.25">
      <c r="A946" s="879"/>
      <c r="B946" s="1448" t="s">
        <v>2016</v>
      </c>
    </row>
    <row r="947" spans="1:2" x14ac:dyDescent="0.25">
      <c r="A947" s="879"/>
      <c r="B947" s="1448" t="s">
        <v>2017</v>
      </c>
    </row>
    <row r="948" spans="1:2" x14ac:dyDescent="0.25">
      <c r="A948" s="879"/>
      <c r="B948" s="1448" t="s">
        <v>1477</v>
      </c>
    </row>
    <row r="949" spans="1:2" x14ac:dyDescent="0.25">
      <c r="A949" s="879"/>
      <c r="B949" s="1448" t="s">
        <v>1478</v>
      </c>
    </row>
    <row r="950" spans="1:2" x14ac:dyDescent="0.25">
      <c r="A950" s="879"/>
      <c r="B950" s="1448" t="s">
        <v>2018</v>
      </c>
    </row>
    <row r="951" spans="1:2" x14ac:dyDescent="0.25">
      <c r="A951" s="879"/>
      <c r="B951" s="1448" t="s">
        <v>2019</v>
      </c>
    </row>
    <row r="952" spans="1:2" x14ac:dyDescent="0.25">
      <c r="A952" s="879"/>
      <c r="B952" s="1448" t="s">
        <v>2020</v>
      </c>
    </row>
    <row r="953" spans="1:2" x14ac:dyDescent="0.25">
      <c r="A953" s="879"/>
      <c r="B953" s="1448" t="s">
        <v>2021</v>
      </c>
    </row>
    <row r="954" spans="1:2" x14ac:dyDescent="0.25">
      <c r="A954" s="879"/>
      <c r="B954" s="1448" t="s">
        <v>2022</v>
      </c>
    </row>
    <row r="955" spans="1:2" x14ac:dyDescent="0.25">
      <c r="A955" s="879"/>
      <c r="B955" s="1448" t="s">
        <v>2023</v>
      </c>
    </row>
    <row r="956" spans="1:2" x14ac:dyDescent="0.25">
      <c r="A956" s="879"/>
      <c r="B956" s="1448" t="s">
        <v>2024</v>
      </c>
    </row>
    <row r="957" spans="1:2" x14ac:dyDescent="0.25">
      <c r="A957" s="879"/>
      <c r="B957" s="1448" t="s">
        <v>2025</v>
      </c>
    </row>
    <row r="958" spans="1:2" x14ac:dyDescent="0.25">
      <c r="A958" s="879"/>
      <c r="B958" s="1448" t="s">
        <v>2026</v>
      </c>
    </row>
    <row r="959" spans="1:2" x14ac:dyDescent="0.25">
      <c r="A959" s="879"/>
      <c r="B959" s="1448" t="s">
        <v>1479</v>
      </c>
    </row>
    <row r="960" spans="1:2" x14ac:dyDescent="0.25">
      <c r="A960" s="879"/>
      <c r="B960" s="1448" t="s">
        <v>1480</v>
      </c>
    </row>
    <row r="961" spans="1:2" x14ac:dyDescent="0.25">
      <c r="A961" s="879"/>
      <c r="B961" s="1448" t="s">
        <v>1481</v>
      </c>
    </row>
    <row r="962" spans="1:2" x14ac:dyDescent="0.25">
      <c r="A962" s="879"/>
      <c r="B962" s="1448" t="s">
        <v>2027</v>
      </c>
    </row>
    <row r="963" spans="1:2" x14ac:dyDescent="0.25">
      <c r="A963" s="879"/>
      <c r="B963" s="1448" t="s">
        <v>1428</v>
      </c>
    </row>
    <row r="964" spans="1:2" x14ac:dyDescent="0.25">
      <c r="A964" s="879"/>
      <c r="B964" s="1448" t="s">
        <v>1365</v>
      </c>
    </row>
    <row r="965" spans="1:2" x14ac:dyDescent="0.25">
      <c r="A965" s="879"/>
      <c r="B965" s="1448" t="s">
        <v>1447</v>
      </c>
    </row>
    <row r="966" spans="1:2" x14ac:dyDescent="0.25">
      <c r="A966" s="879"/>
      <c r="B966" s="1448" t="s">
        <v>1365</v>
      </c>
    </row>
    <row r="967" spans="1:2" x14ac:dyDescent="0.25">
      <c r="A967" s="879"/>
      <c r="B967" s="1448" t="s">
        <v>1448</v>
      </c>
    </row>
    <row r="968" spans="1:2" x14ac:dyDescent="0.25">
      <c r="A968" s="879"/>
      <c r="B968" s="1448" t="s">
        <v>1449</v>
      </c>
    </row>
    <row r="969" spans="1:2" x14ac:dyDescent="0.25">
      <c r="A969" s="879"/>
      <c r="B969" s="1448" t="s">
        <v>2028</v>
      </c>
    </row>
    <row r="970" spans="1:2" x14ac:dyDescent="0.25">
      <c r="A970" s="879"/>
      <c r="B970" s="1448" t="s">
        <v>1650</v>
      </c>
    </row>
    <row r="971" spans="1:2" x14ac:dyDescent="0.25">
      <c r="A971" s="879"/>
      <c r="B971" s="1448" t="s">
        <v>1651</v>
      </c>
    </row>
    <row r="972" spans="1:2" x14ac:dyDescent="0.25">
      <c r="A972" s="879"/>
      <c r="B972" s="1448" t="s">
        <v>2029</v>
      </c>
    </row>
    <row r="973" spans="1:2" x14ac:dyDescent="0.25">
      <c r="A973" s="879"/>
      <c r="B973" s="1448" t="s">
        <v>1652</v>
      </c>
    </row>
    <row r="974" spans="1:2" x14ac:dyDescent="0.25">
      <c r="A974" s="879"/>
      <c r="B974" s="1448" t="s">
        <v>1451</v>
      </c>
    </row>
    <row r="975" spans="1:2" x14ac:dyDescent="0.25">
      <c r="A975" s="879"/>
      <c r="B975" s="1448" t="s">
        <v>2030</v>
      </c>
    </row>
    <row r="976" spans="1:2" x14ac:dyDescent="0.25">
      <c r="A976" s="879"/>
      <c r="B976" s="1448" t="s">
        <v>1916</v>
      </c>
    </row>
    <row r="977" spans="1:2" x14ac:dyDescent="0.25">
      <c r="A977" s="879"/>
      <c r="B977" s="1448" t="s">
        <v>1917</v>
      </c>
    </row>
    <row r="978" spans="1:2" x14ac:dyDescent="0.25">
      <c r="A978" s="879"/>
      <c r="B978" s="1448" t="s">
        <v>1452</v>
      </c>
    </row>
    <row r="979" spans="1:2" x14ac:dyDescent="0.25">
      <c r="A979" s="879"/>
      <c r="B979" s="1448" t="s">
        <v>2031</v>
      </c>
    </row>
    <row r="980" spans="1:2" x14ac:dyDescent="0.25">
      <c r="A980" s="879"/>
      <c r="B980" s="1448" t="s">
        <v>1453</v>
      </c>
    </row>
    <row r="981" spans="1:2" x14ac:dyDescent="0.25">
      <c r="A981" s="879"/>
      <c r="B981" s="1448" t="s">
        <v>2032</v>
      </c>
    </row>
    <row r="982" spans="1:2" x14ac:dyDescent="0.25">
      <c r="A982" s="879"/>
      <c r="B982" s="1448" t="s">
        <v>1655</v>
      </c>
    </row>
    <row r="983" spans="1:2" x14ac:dyDescent="0.25">
      <c r="A983" s="879"/>
      <c r="B983" s="1448" t="s">
        <v>2033</v>
      </c>
    </row>
    <row r="984" spans="1:2" x14ac:dyDescent="0.25">
      <c r="A984" s="879"/>
      <c r="B984" s="1448" t="s">
        <v>1454</v>
      </c>
    </row>
    <row r="985" spans="1:2" x14ac:dyDescent="0.25">
      <c r="A985" s="879"/>
      <c r="B985" s="1448" t="s">
        <v>1365</v>
      </c>
    </row>
    <row r="986" spans="1:2" x14ac:dyDescent="0.25">
      <c r="A986" s="879"/>
      <c r="B986" s="1448" t="s">
        <v>1448</v>
      </c>
    </row>
    <row r="987" spans="1:2" x14ac:dyDescent="0.25">
      <c r="A987" s="879"/>
      <c r="B987" s="1448" t="s">
        <v>1449</v>
      </c>
    </row>
    <row r="988" spans="1:2" x14ac:dyDescent="0.25">
      <c r="A988" s="879"/>
      <c r="B988" s="1448" t="s">
        <v>2028</v>
      </c>
    </row>
    <row r="989" spans="1:2" x14ac:dyDescent="0.25">
      <c r="A989" s="879"/>
      <c r="B989" s="1448" t="s">
        <v>1650</v>
      </c>
    </row>
    <row r="990" spans="1:2" x14ac:dyDescent="0.25">
      <c r="A990" s="879"/>
      <c r="B990" s="1448" t="s">
        <v>1651</v>
      </c>
    </row>
    <row r="991" spans="1:2" x14ac:dyDescent="0.25">
      <c r="A991" s="879"/>
      <c r="B991" s="1448" t="s">
        <v>2029</v>
      </c>
    </row>
    <row r="992" spans="1:2" x14ac:dyDescent="0.25">
      <c r="A992" s="879"/>
      <c r="B992" s="1448" t="s">
        <v>1652</v>
      </c>
    </row>
    <row r="993" spans="1:2" x14ac:dyDescent="0.25">
      <c r="A993" s="879"/>
      <c r="B993" s="1448" t="s">
        <v>1451</v>
      </c>
    </row>
    <row r="994" spans="1:2" x14ac:dyDescent="0.25">
      <c r="A994" s="879"/>
      <c r="B994" s="1448" t="s">
        <v>2030</v>
      </c>
    </row>
    <row r="995" spans="1:2" x14ac:dyDescent="0.25">
      <c r="A995" s="879"/>
      <c r="B995" s="1448" t="s">
        <v>1916</v>
      </c>
    </row>
    <row r="996" spans="1:2" x14ac:dyDescent="0.25">
      <c r="A996" s="879"/>
      <c r="B996" s="1448" t="s">
        <v>1917</v>
      </c>
    </row>
    <row r="997" spans="1:2" x14ac:dyDescent="0.25">
      <c r="A997" s="879"/>
      <c r="B997" s="1448" t="s">
        <v>1452</v>
      </c>
    </row>
    <row r="998" spans="1:2" x14ac:dyDescent="0.25">
      <c r="A998" s="879"/>
      <c r="B998" s="1448" t="s">
        <v>2031</v>
      </c>
    </row>
    <row r="999" spans="1:2" x14ac:dyDescent="0.25">
      <c r="A999" s="879"/>
      <c r="B999" s="1448" t="s">
        <v>1453</v>
      </c>
    </row>
    <row r="1000" spans="1:2" x14ac:dyDescent="0.25">
      <c r="A1000" s="879"/>
      <c r="B1000" s="1448" t="s">
        <v>2032</v>
      </c>
    </row>
    <row r="1001" spans="1:2" x14ac:dyDescent="0.25">
      <c r="A1001" s="879"/>
      <c r="B1001" s="1448" t="s">
        <v>1655</v>
      </c>
    </row>
    <row r="1002" spans="1:2" x14ac:dyDescent="0.25">
      <c r="A1002" s="879"/>
      <c r="B1002" s="1448" t="s">
        <v>2033</v>
      </c>
    </row>
    <row r="1003" spans="1:2" x14ac:dyDescent="0.25">
      <c r="A1003" s="879"/>
      <c r="B1003" s="1448" t="s">
        <v>1656</v>
      </c>
    </row>
    <row r="1004" spans="1:2" x14ac:dyDescent="0.25">
      <c r="A1004" s="879"/>
      <c r="B1004" s="1448" t="s">
        <v>1365</v>
      </c>
    </row>
    <row r="1005" spans="1:2" x14ac:dyDescent="0.25">
      <c r="A1005" s="879"/>
      <c r="B1005" s="1448" t="s">
        <v>1657</v>
      </c>
    </row>
    <row r="1006" spans="1:2" x14ac:dyDescent="0.25">
      <c r="A1006" s="879"/>
      <c r="B1006" s="1448" t="s">
        <v>1658</v>
      </c>
    </row>
    <row r="1007" spans="1:2" x14ac:dyDescent="0.25">
      <c r="A1007" s="879"/>
      <c r="B1007" s="1448" t="s">
        <v>1659</v>
      </c>
    </row>
    <row r="1008" spans="1:2" x14ac:dyDescent="0.25">
      <c r="A1008" s="879"/>
      <c r="B1008" s="1448" t="s">
        <v>1660</v>
      </c>
    </row>
    <row r="1009" spans="1:2" x14ac:dyDescent="0.25">
      <c r="A1009" s="879"/>
      <c r="B1009" s="1448" t="s">
        <v>1661</v>
      </c>
    </row>
    <row r="1010" spans="1:2" x14ac:dyDescent="0.25">
      <c r="A1010" s="879"/>
      <c r="B1010" s="1448" t="s">
        <v>1662</v>
      </c>
    </row>
    <row r="1011" spans="1:2" x14ac:dyDescent="0.25">
      <c r="A1011" s="879"/>
      <c r="B1011" s="1448" t="s">
        <v>1663</v>
      </c>
    </row>
    <row r="1012" spans="1:2" x14ac:dyDescent="0.25">
      <c r="A1012" s="879"/>
      <c r="B1012" s="1448" t="s">
        <v>1664</v>
      </c>
    </row>
    <row r="1013" spans="1:2" x14ac:dyDescent="0.25">
      <c r="A1013" s="879"/>
      <c r="B1013" s="1448" t="s">
        <v>1665</v>
      </c>
    </row>
    <row r="1014" spans="1:2" x14ac:dyDescent="0.25">
      <c r="A1014" s="879"/>
      <c r="B1014" s="1448" t="s">
        <v>1666</v>
      </c>
    </row>
    <row r="1015" spans="1:2" x14ac:dyDescent="0.25">
      <c r="A1015" s="879"/>
      <c r="B1015" s="1448" t="s">
        <v>1667</v>
      </c>
    </row>
    <row r="1016" spans="1:2" x14ac:dyDescent="0.25">
      <c r="A1016" s="879"/>
      <c r="B1016" s="1448" t="s">
        <v>1668</v>
      </c>
    </row>
    <row r="1017" spans="1:2" x14ac:dyDescent="0.25">
      <c r="A1017" s="879"/>
      <c r="B1017" s="1448" t="s">
        <v>1669</v>
      </c>
    </row>
    <row r="1018" spans="1:2" x14ac:dyDescent="0.25">
      <c r="A1018" s="879"/>
      <c r="B1018" s="1448" t="s">
        <v>1670</v>
      </c>
    </row>
    <row r="1019" spans="1:2" x14ac:dyDescent="0.25">
      <c r="A1019" s="879"/>
      <c r="B1019" s="1448" t="s">
        <v>1671</v>
      </c>
    </row>
    <row r="1020" spans="1:2" x14ac:dyDescent="0.25">
      <c r="A1020" s="879"/>
      <c r="B1020" s="1448" t="s">
        <v>1769</v>
      </c>
    </row>
    <row r="1021" spans="1:2" x14ac:dyDescent="0.25">
      <c r="A1021" s="879"/>
      <c r="B1021" s="1448" t="s">
        <v>1365</v>
      </c>
    </row>
    <row r="1022" spans="1:2" x14ac:dyDescent="0.25">
      <c r="A1022" s="879"/>
      <c r="B1022" s="1448" t="s">
        <v>1770</v>
      </c>
    </row>
    <row r="1023" spans="1:2" x14ac:dyDescent="0.25">
      <c r="A1023" s="879"/>
      <c r="B1023" s="1448" t="s">
        <v>2034</v>
      </c>
    </row>
    <row r="1024" spans="1:2" x14ac:dyDescent="0.25">
      <c r="A1024" s="879"/>
      <c r="B1024" s="1448" t="s">
        <v>1772</v>
      </c>
    </row>
    <row r="1025" spans="1:2" x14ac:dyDescent="0.25">
      <c r="A1025" s="879"/>
      <c r="B1025" s="1448" t="s">
        <v>1365</v>
      </c>
    </row>
    <row r="1026" spans="1:2" x14ac:dyDescent="0.25">
      <c r="A1026" s="879"/>
      <c r="B1026" s="1448" t="s">
        <v>1773</v>
      </c>
    </row>
    <row r="1027" spans="1:2" x14ac:dyDescent="0.25">
      <c r="A1027" s="879"/>
      <c r="B1027" s="1448"/>
    </row>
    <row r="1028" spans="1:2" x14ac:dyDescent="0.25">
      <c r="A1028" s="879"/>
      <c r="B1028" s="1448"/>
    </row>
    <row r="1029" spans="1:2" x14ac:dyDescent="0.25">
      <c r="A1029" s="879"/>
      <c r="B1029" s="1448" t="s">
        <v>1366</v>
      </c>
    </row>
    <row r="1030" spans="1:2" x14ac:dyDescent="0.25">
      <c r="A1030" s="879"/>
      <c r="B1030" s="1448" t="s">
        <v>2035</v>
      </c>
    </row>
    <row r="1031" spans="1:2" x14ac:dyDescent="0.25">
      <c r="A1031" s="879"/>
      <c r="B1031" s="1448" t="s">
        <v>1366</v>
      </c>
    </row>
    <row r="1032" spans="1:2" x14ac:dyDescent="0.25">
      <c r="A1032" s="879"/>
      <c r="B1032" s="1448" t="s">
        <v>1690</v>
      </c>
    </row>
    <row r="1033" spans="1:2" x14ac:dyDescent="0.25">
      <c r="A1033" s="879"/>
      <c r="B1033" s="1448" t="s">
        <v>1365</v>
      </c>
    </row>
    <row r="1034" spans="1:2" x14ac:dyDescent="0.25">
      <c r="A1034" s="879"/>
      <c r="B1034" s="1448" t="s">
        <v>1367</v>
      </c>
    </row>
    <row r="1035" spans="1:2" x14ac:dyDescent="0.25">
      <c r="A1035" s="879"/>
      <c r="B1035" s="1448" t="s">
        <v>1368</v>
      </c>
    </row>
    <row r="1036" spans="1:2" x14ac:dyDescent="0.25">
      <c r="A1036" s="879"/>
      <c r="B1036" s="1448" t="s">
        <v>1365</v>
      </c>
    </row>
    <row r="1037" spans="1:2" x14ac:dyDescent="0.25">
      <c r="A1037" s="879"/>
      <c r="B1037" s="1448" t="s">
        <v>1458</v>
      </c>
    </row>
    <row r="1038" spans="1:2" x14ac:dyDescent="0.25">
      <c r="A1038" s="879"/>
      <c r="B1038" s="1448" t="s">
        <v>1459</v>
      </c>
    </row>
    <row r="1039" spans="1:2" x14ac:dyDescent="0.25">
      <c r="A1039" s="879"/>
      <c r="B1039" s="1448" t="s">
        <v>2036</v>
      </c>
    </row>
    <row r="1040" spans="1:2" x14ac:dyDescent="0.25">
      <c r="A1040" s="879"/>
      <c r="B1040" s="1448" t="s">
        <v>1691</v>
      </c>
    </row>
    <row r="1041" spans="1:2" x14ac:dyDescent="0.25">
      <c r="A1041" s="879"/>
      <c r="B1041" s="1448" t="s">
        <v>1991</v>
      </c>
    </row>
    <row r="1042" spans="1:2" x14ac:dyDescent="0.25">
      <c r="A1042" s="879"/>
      <c r="B1042" s="1448" t="s">
        <v>1992</v>
      </c>
    </row>
    <row r="1043" spans="1:2" x14ac:dyDescent="0.25">
      <c r="A1043" s="879"/>
      <c r="B1043" s="1448" t="s">
        <v>1993</v>
      </c>
    </row>
    <row r="1044" spans="1:2" x14ac:dyDescent="0.25">
      <c r="A1044" s="879"/>
      <c r="B1044" s="1448" t="s">
        <v>2037</v>
      </c>
    </row>
    <row r="1045" spans="1:2" x14ac:dyDescent="0.25">
      <c r="A1045" s="879"/>
      <c r="B1045" s="1448" t="s">
        <v>2038</v>
      </c>
    </row>
    <row r="1046" spans="1:2" x14ac:dyDescent="0.25">
      <c r="A1046" s="879"/>
      <c r="B1046" s="1448" t="s">
        <v>2039</v>
      </c>
    </row>
    <row r="1047" spans="1:2" x14ac:dyDescent="0.25">
      <c r="A1047" s="879"/>
      <c r="B1047" s="1448" t="s">
        <v>1460</v>
      </c>
    </row>
    <row r="1048" spans="1:2" x14ac:dyDescent="0.25">
      <c r="A1048" s="879"/>
      <c r="B1048" s="1448" t="s">
        <v>1380</v>
      </c>
    </row>
    <row r="1049" spans="1:2" x14ac:dyDescent="0.25">
      <c r="A1049" s="879"/>
      <c r="B1049" s="1448" t="s">
        <v>1365</v>
      </c>
    </row>
    <row r="1050" spans="1:2" x14ac:dyDescent="0.25">
      <c r="A1050" s="879"/>
      <c r="B1050" s="1448" t="s">
        <v>1458</v>
      </c>
    </row>
    <row r="1051" spans="1:2" x14ac:dyDescent="0.25">
      <c r="A1051" s="879"/>
      <c r="B1051" s="1448" t="s">
        <v>1997</v>
      </c>
    </row>
    <row r="1052" spans="1:2" x14ac:dyDescent="0.25">
      <c r="A1052" s="879"/>
      <c r="B1052" s="1448" t="s">
        <v>2040</v>
      </c>
    </row>
    <row r="1053" spans="1:2" x14ac:dyDescent="0.25">
      <c r="A1053" s="879"/>
      <c r="B1053" s="1448" t="s">
        <v>2041</v>
      </c>
    </row>
    <row r="1054" spans="1:2" x14ac:dyDescent="0.25">
      <c r="A1054" s="879"/>
      <c r="B1054" s="1448" t="s">
        <v>2042</v>
      </c>
    </row>
    <row r="1055" spans="1:2" x14ac:dyDescent="0.25">
      <c r="A1055" s="879"/>
      <c r="B1055" s="1448" t="s">
        <v>2043</v>
      </c>
    </row>
    <row r="1056" spans="1:2" x14ac:dyDescent="0.25">
      <c r="A1056" s="879"/>
      <c r="B1056" s="1448" t="s">
        <v>2044</v>
      </c>
    </row>
    <row r="1057" spans="1:2" x14ac:dyDescent="0.25">
      <c r="A1057" s="879"/>
      <c r="B1057" s="1448" t="s">
        <v>2045</v>
      </c>
    </row>
    <row r="1058" spans="1:2" x14ac:dyDescent="0.25">
      <c r="A1058" s="879"/>
      <c r="B1058" s="1448" t="s">
        <v>2046</v>
      </c>
    </row>
    <row r="1059" spans="1:2" x14ac:dyDescent="0.25">
      <c r="A1059" s="879"/>
      <c r="B1059" s="1448" t="s">
        <v>1571</v>
      </c>
    </row>
    <row r="1060" spans="1:2" x14ac:dyDescent="0.25">
      <c r="A1060" s="879"/>
      <c r="B1060" s="1448" t="s">
        <v>1463</v>
      </c>
    </row>
    <row r="1061" spans="1:2" x14ac:dyDescent="0.25">
      <c r="A1061" s="879"/>
      <c r="B1061" s="1448" t="s">
        <v>1464</v>
      </c>
    </row>
    <row r="1062" spans="1:2" x14ac:dyDescent="0.25">
      <c r="A1062" s="879"/>
      <c r="B1062" s="1448" t="s">
        <v>1465</v>
      </c>
    </row>
    <row r="1063" spans="1:2" x14ac:dyDescent="0.25">
      <c r="A1063" s="879"/>
      <c r="B1063" s="1448" t="s">
        <v>2047</v>
      </c>
    </row>
    <row r="1064" spans="1:2" x14ac:dyDescent="0.25">
      <c r="A1064" s="879"/>
      <c r="B1064" s="1448" t="s">
        <v>1467</v>
      </c>
    </row>
    <row r="1065" spans="1:2" x14ac:dyDescent="0.25">
      <c r="A1065" s="879"/>
      <c r="B1065" s="1448" t="s">
        <v>2048</v>
      </c>
    </row>
    <row r="1066" spans="1:2" x14ac:dyDescent="0.25">
      <c r="A1066" s="879"/>
      <c r="B1066" s="1448" t="s">
        <v>2007</v>
      </c>
    </row>
    <row r="1067" spans="1:2" x14ac:dyDescent="0.25">
      <c r="A1067" s="879"/>
      <c r="B1067" s="1448" t="s">
        <v>2049</v>
      </c>
    </row>
    <row r="1068" spans="1:2" x14ac:dyDescent="0.25">
      <c r="A1068" s="879"/>
      <c r="B1068" s="1448" t="s">
        <v>2009</v>
      </c>
    </row>
    <row r="1069" spans="1:2" x14ac:dyDescent="0.25">
      <c r="A1069" s="879"/>
      <c r="B1069" s="1448" t="s">
        <v>2010</v>
      </c>
    </row>
    <row r="1070" spans="1:2" x14ac:dyDescent="0.25">
      <c r="A1070" s="879"/>
      <c r="B1070" s="1448" t="s">
        <v>1469</v>
      </c>
    </row>
    <row r="1071" spans="1:2" x14ac:dyDescent="0.25">
      <c r="A1071" s="879"/>
      <c r="B1071" s="1448" t="s">
        <v>1692</v>
      </c>
    </row>
    <row r="1072" spans="1:2" x14ac:dyDescent="0.25">
      <c r="A1072" s="879"/>
      <c r="B1072" s="1448" t="s">
        <v>2012</v>
      </c>
    </row>
    <row r="1073" spans="1:2" x14ac:dyDescent="0.25">
      <c r="A1073" s="879"/>
      <c r="B1073" s="1448" t="s">
        <v>1471</v>
      </c>
    </row>
    <row r="1074" spans="1:2" x14ac:dyDescent="0.25">
      <c r="A1074" s="879"/>
      <c r="B1074" s="1448" t="s">
        <v>2050</v>
      </c>
    </row>
    <row r="1075" spans="1:2" x14ac:dyDescent="0.25">
      <c r="A1075" s="879"/>
      <c r="B1075" s="1448" t="s">
        <v>2051</v>
      </c>
    </row>
    <row r="1076" spans="1:2" x14ac:dyDescent="0.25">
      <c r="A1076" s="879"/>
      <c r="B1076" s="1448" t="s">
        <v>2052</v>
      </c>
    </row>
    <row r="1077" spans="1:2" x14ac:dyDescent="0.25">
      <c r="A1077" s="879"/>
      <c r="B1077" s="1448" t="s">
        <v>2053</v>
      </c>
    </row>
    <row r="1078" spans="1:2" x14ac:dyDescent="0.25">
      <c r="A1078" s="879"/>
      <c r="B1078" s="1448" t="s">
        <v>1474</v>
      </c>
    </row>
    <row r="1079" spans="1:2" x14ac:dyDescent="0.25">
      <c r="A1079" s="879"/>
      <c r="B1079" s="1448" t="s">
        <v>1475</v>
      </c>
    </row>
    <row r="1080" spans="1:2" x14ac:dyDescent="0.25">
      <c r="A1080" s="879"/>
      <c r="B1080" s="1448" t="s">
        <v>1476</v>
      </c>
    </row>
    <row r="1081" spans="1:2" x14ac:dyDescent="0.25">
      <c r="A1081" s="879"/>
      <c r="B1081" s="1448" t="s">
        <v>2054</v>
      </c>
    </row>
    <row r="1082" spans="1:2" x14ac:dyDescent="0.25">
      <c r="A1082" s="879"/>
      <c r="B1082" s="1448" t="s">
        <v>2055</v>
      </c>
    </row>
    <row r="1083" spans="1:2" x14ac:dyDescent="0.25">
      <c r="A1083" s="879"/>
      <c r="B1083" s="1448" t="s">
        <v>1477</v>
      </c>
    </row>
    <row r="1084" spans="1:2" x14ac:dyDescent="0.25">
      <c r="A1084" s="879"/>
      <c r="B1084" s="1448" t="s">
        <v>1478</v>
      </c>
    </row>
    <row r="1085" spans="1:2" x14ac:dyDescent="0.25">
      <c r="A1085" s="879"/>
      <c r="B1085" s="1448" t="s">
        <v>2056</v>
      </c>
    </row>
    <row r="1086" spans="1:2" x14ac:dyDescent="0.25">
      <c r="A1086" s="879"/>
      <c r="B1086" s="1448" t="s">
        <v>2057</v>
      </c>
    </row>
    <row r="1087" spans="1:2" x14ac:dyDescent="0.25">
      <c r="A1087" s="879"/>
      <c r="B1087" s="1448" t="s">
        <v>2058</v>
      </c>
    </row>
    <row r="1088" spans="1:2" x14ac:dyDescent="0.25">
      <c r="A1088" s="879"/>
      <c r="B1088" s="1448" t="s">
        <v>2059</v>
      </c>
    </row>
    <row r="1089" spans="1:2" x14ac:dyDescent="0.25">
      <c r="A1089" s="879"/>
      <c r="B1089" s="1448" t="s">
        <v>2060</v>
      </c>
    </row>
    <row r="1090" spans="1:2" x14ac:dyDescent="0.25">
      <c r="A1090" s="879"/>
      <c r="B1090" s="1448" t="s">
        <v>2061</v>
      </c>
    </row>
    <row r="1091" spans="1:2" x14ac:dyDescent="0.25">
      <c r="A1091" s="879"/>
      <c r="B1091" s="1448" t="s">
        <v>2062</v>
      </c>
    </row>
    <row r="1092" spans="1:2" x14ac:dyDescent="0.25">
      <c r="A1092" s="879"/>
      <c r="B1092" s="1448" t="s">
        <v>2063</v>
      </c>
    </row>
    <row r="1093" spans="1:2" x14ac:dyDescent="0.25">
      <c r="A1093" s="879"/>
      <c r="B1093" s="1448" t="s">
        <v>2064</v>
      </c>
    </row>
    <row r="1094" spans="1:2" x14ac:dyDescent="0.25">
      <c r="A1094" s="879"/>
      <c r="B1094" s="1448" t="s">
        <v>1479</v>
      </c>
    </row>
    <row r="1095" spans="1:2" x14ac:dyDescent="0.25">
      <c r="A1095" s="879"/>
      <c r="B1095" s="1448" t="s">
        <v>1480</v>
      </c>
    </row>
    <row r="1096" spans="1:2" x14ac:dyDescent="0.25">
      <c r="A1096" s="879"/>
      <c r="B1096" s="1448" t="s">
        <v>1481</v>
      </c>
    </row>
    <row r="1097" spans="1:2" x14ac:dyDescent="0.25">
      <c r="A1097" s="879"/>
      <c r="B1097" s="1448" t="s">
        <v>2065</v>
      </c>
    </row>
    <row r="1098" spans="1:2" x14ac:dyDescent="0.25">
      <c r="A1098" s="879"/>
      <c r="B1098" s="1448" t="s">
        <v>1428</v>
      </c>
    </row>
    <row r="1099" spans="1:2" x14ac:dyDescent="0.25">
      <c r="A1099" s="879"/>
      <c r="B1099" s="1448" t="s">
        <v>1365</v>
      </c>
    </row>
    <row r="1100" spans="1:2" x14ac:dyDescent="0.25">
      <c r="A1100" s="879"/>
      <c r="B1100" s="1448" t="s">
        <v>1447</v>
      </c>
    </row>
    <row r="1101" spans="1:2" x14ac:dyDescent="0.25">
      <c r="A1101" s="879"/>
      <c r="B1101" s="1448" t="s">
        <v>1365</v>
      </c>
    </row>
    <row r="1102" spans="1:2" x14ac:dyDescent="0.25">
      <c r="A1102" s="879"/>
      <c r="B1102" s="1448" t="s">
        <v>1448</v>
      </c>
    </row>
    <row r="1103" spans="1:2" x14ac:dyDescent="0.25">
      <c r="A1103" s="879"/>
      <c r="B1103" s="1448" t="s">
        <v>1449</v>
      </c>
    </row>
    <row r="1104" spans="1:2" x14ac:dyDescent="0.25">
      <c r="A1104" s="879"/>
      <c r="B1104" s="1448" t="s">
        <v>2028</v>
      </c>
    </row>
    <row r="1105" spans="1:2" x14ac:dyDescent="0.25">
      <c r="A1105" s="879"/>
      <c r="B1105" s="1448" t="s">
        <v>1650</v>
      </c>
    </row>
    <row r="1106" spans="1:2" x14ac:dyDescent="0.25">
      <c r="A1106" s="879"/>
      <c r="B1106" s="1448" t="s">
        <v>1651</v>
      </c>
    </row>
    <row r="1107" spans="1:2" x14ac:dyDescent="0.25">
      <c r="A1107" s="879"/>
      <c r="B1107" s="1448" t="s">
        <v>2029</v>
      </c>
    </row>
    <row r="1108" spans="1:2" x14ac:dyDescent="0.25">
      <c r="A1108" s="879"/>
      <c r="B1108" s="1448" t="s">
        <v>1652</v>
      </c>
    </row>
    <row r="1109" spans="1:2" x14ac:dyDescent="0.25">
      <c r="A1109" s="879"/>
      <c r="B1109" s="1448" t="s">
        <v>1451</v>
      </c>
    </row>
    <row r="1110" spans="1:2" x14ac:dyDescent="0.25">
      <c r="A1110" s="879"/>
      <c r="B1110" s="1448" t="s">
        <v>2030</v>
      </c>
    </row>
    <row r="1111" spans="1:2" x14ac:dyDescent="0.25">
      <c r="A1111" s="879"/>
      <c r="B1111" s="1448" t="s">
        <v>1916</v>
      </c>
    </row>
    <row r="1112" spans="1:2" x14ac:dyDescent="0.25">
      <c r="A1112" s="879"/>
      <c r="B1112" s="1448" t="s">
        <v>1917</v>
      </c>
    </row>
    <row r="1113" spans="1:2" x14ac:dyDescent="0.25">
      <c r="A1113" s="879"/>
      <c r="B1113" s="1448" t="s">
        <v>1452</v>
      </c>
    </row>
    <row r="1114" spans="1:2" x14ac:dyDescent="0.25">
      <c r="A1114" s="879"/>
      <c r="B1114" s="1448" t="s">
        <v>2031</v>
      </c>
    </row>
    <row r="1115" spans="1:2" x14ac:dyDescent="0.25">
      <c r="A1115" s="879"/>
      <c r="B1115" s="1448" t="s">
        <v>1453</v>
      </c>
    </row>
    <row r="1116" spans="1:2" x14ac:dyDescent="0.25">
      <c r="A1116" s="879"/>
      <c r="B1116" s="1448" t="s">
        <v>2032</v>
      </c>
    </row>
    <row r="1117" spans="1:2" x14ac:dyDescent="0.25">
      <c r="A1117" s="879"/>
      <c r="B1117" s="1448" t="s">
        <v>1655</v>
      </c>
    </row>
    <row r="1118" spans="1:2" x14ac:dyDescent="0.25">
      <c r="A1118" s="879"/>
      <c r="B1118" s="1448" t="s">
        <v>2033</v>
      </c>
    </row>
    <row r="1119" spans="1:2" x14ac:dyDescent="0.25">
      <c r="A1119" s="879"/>
      <c r="B1119" s="1448" t="s">
        <v>1454</v>
      </c>
    </row>
    <row r="1120" spans="1:2" x14ac:dyDescent="0.25">
      <c r="A1120" s="879"/>
      <c r="B1120" s="1448" t="s">
        <v>1365</v>
      </c>
    </row>
    <row r="1121" spans="1:2" x14ac:dyDescent="0.25">
      <c r="A1121" s="879"/>
      <c r="B1121" s="1448" t="s">
        <v>1448</v>
      </c>
    </row>
    <row r="1122" spans="1:2" x14ac:dyDescent="0.25">
      <c r="A1122" s="879"/>
      <c r="B1122" s="1448" t="s">
        <v>1449</v>
      </c>
    </row>
    <row r="1123" spans="1:2" x14ac:dyDescent="0.25">
      <c r="A1123" s="879"/>
      <c r="B1123" s="1448" t="s">
        <v>2028</v>
      </c>
    </row>
    <row r="1124" spans="1:2" x14ac:dyDescent="0.25">
      <c r="A1124" s="879"/>
      <c r="B1124" s="1448" t="s">
        <v>1650</v>
      </c>
    </row>
    <row r="1125" spans="1:2" x14ac:dyDescent="0.25">
      <c r="A1125" s="879"/>
      <c r="B1125" s="1448" t="s">
        <v>1651</v>
      </c>
    </row>
    <row r="1126" spans="1:2" x14ac:dyDescent="0.25">
      <c r="A1126" s="879"/>
      <c r="B1126" s="1448" t="s">
        <v>2029</v>
      </c>
    </row>
    <row r="1127" spans="1:2" x14ac:dyDescent="0.25">
      <c r="A1127" s="879"/>
      <c r="B1127" s="1448" t="s">
        <v>1652</v>
      </c>
    </row>
    <row r="1128" spans="1:2" x14ac:dyDescent="0.25">
      <c r="A1128" s="879"/>
      <c r="B1128" s="1448" t="s">
        <v>1451</v>
      </c>
    </row>
    <row r="1129" spans="1:2" x14ac:dyDescent="0.25">
      <c r="A1129" s="879"/>
      <c r="B1129" s="1448" t="s">
        <v>2030</v>
      </c>
    </row>
    <row r="1130" spans="1:2" x14ac:dyDescent="0.25">
      <c r="A1130" s="879"/>
      <c r="B1130" s="1448" t="s">
        <v>1916</v>
      </c>
    </row>
    <row r="1131" spans="1:2" x14ac:dyDescent="0.25">
      <c r="A1131" s="879"/>
      <c r="B1131" s="1448" t="s">
        <v>1917</v>
      </c>
    </row>
    <row r="1132" spans="1:2" x14ac:dyDescent="0.25">
      <c r="A1132" s="879"/>
      <c r="B1132" s="1448" t="s">
        <v>1452</v>
      </c>
    </row>
    <row r="1133" spans="1:2" x14ac:dyDescent="0.25">
      <c r="A1133" s="879"/>
      <c r="B1133" s="1448" t="s">
        <v>2031</v>
      </c>
    </row>
    <row r="1134" spans="1:2" x14ac:dyDescent="0.25">
      <c r="A1134" s="879"/>
      <c r="B1134" s="1448" t="s">
        <v>1453</v>
      </c>
    </row>
    <row r="1135" spans="1:2" x14ac:dyDescent="0.25">
      <c r="A1135" s="879"/>
      <c r="B1135" s="1448" t="s">
        <v>2032</v>
      </c>
    </row>
    <row r="1136" spans="1:2" x14ac:dyDescent="0.25">
      <c r="A1136" s="879"/>
      <c r="B1136" s="1448" t="s">
        <v>1655</v>
      </c>
    </row>
    <row r="1137" spans="1:2" x14ac:dyDescent="0.25">
      <c r="A1137" s="879"/>
      <c r="B1137" s="1448" t="s">
        <v>2033</v>
      </c>
    </row>
    <row r="1138" spans="1:2" x14ac:dyDescent="0.25">
      <c r="A1138" s="879"/>
      <c r="B1138" s="1448" t="s">
        <v>1656</v>
      </c>
    </row>
    <row r="1139" spans="1:2" x14ac:dyDescent="0.25">
      <c r="A1139" s="879"/>
      <c r="B1139" s="1448" t="s">
        <v>1365</v>
      </c>
    </row>
    <row r="1140" spans="1:2" x14ac:dyDescent="0.25">
      <c r="A1140" s="879"/>
      <c r="B1140" s="1448" t="s">
        <v>1657</v>
      </c>
    </row>
    <row r="1141" spans="1:2" x14ac:dyDescent="0.25">
      <c r="A1141" s="879"/>
      <c r="B1141" s="1448" t="s">
        <v>1658</v>
      </c>
    </row>
    <row r="1142" spans="1:2" x14ac:dyDescent="0.25">
      <c r="A1142" s="879"/>
      <c r="B1142" s="1448" t="s">
        <v>1659</v>
      </c>
    </row>
    <row r="1143" spans="1:2" x14ac:dyDescent="0.25">
      <c r="A1143" s="879"/>
      <c r="B1143" s="1448" t="s">
        <v>1660</v>
      </c>
    </row>
    <row r="1144" spans="1:2" x14ac:dyDescent="0.25">
      <c r="A1144" s="879"/>
      <c r="B1144" s="1448" t="s">
        <v>1661</v>
      </c>
    </row>
    <row r="1145" spans="1:2" x14ac:dyDescent="0.25">
      <c r="A1145" s="879"/>
      <c r="B1145" s="1448" t="s">
        <v>1662</v>
      </c>
    </row>
    <row r="1146" spans="1:2" x14ac:dyDescent="0.25">
      <c r="A1146" s="879"/>
      <c r="B1146" s="1448" t="s">
        <v>1663</v>
      </c>
    </row>
    <row r="1147" spans="1:2" x14ac:dyDescent="0.25">
      <c r="A1147" s="879"/>
      <c r="B1147" s="1448" t="s">
        <v>1664</v>
      </c>
    </row>
    <row r="1148" spans="1:2" x14ac:dyDescent="0.25">
      <c r="A1148" s="879"/>
      <c r="B1148" s="1448" t="s">
        <v>1665</v>
      </c>
    </row>
    <row r="1149" spans="1:2" x14ac:dyDescent="0.25">
      <c r="A1149" s="879"/>
      <c r="B1149" s="1448" t="s">
        <v>1666</v>
      </c>
    </row>
    <row r="1150" spans="1:2" x14ac:dyDescent="0.25">
      <c r="A1150" s="879"/>
      <c r="B1150" s="1448" t="s">
        <v>1667</v>
      </c>
    </row>
    <row r="1151" spans="1:2" x14ac:dyDescent="0.25">
      <c r="A1151" s="879"/>
      <c r="B1151" s="1448" t="s">
        <v>1668</v>
      </c>
    </row>
    <row r="1152" spans="1:2" x14ac:dyDescent="0.25">
      <c r="A1152" s="879"/>
      <c r="B1152" s="1448" t="s">
        <v>1669</v>
      </c>
    </row>
    <row r="1153" spans="1:2" x14ac:dyDescent="0.25">
      <c r="A1153" s="879"/>
      <c r="B1153" s="1448" t="s">
        <v>1670</v>
      </c>
    </row>
    <row r="1154" spans="1:2" x14ac:dyDescent="0.25">
      <c r="A1154" s="879"/>
      <c r="B1154" s="1448" t="s">
        <v>1671</v>
      </c>
    </row>
    <row r="1155" spans="1:2" x14ac:dyDescent="0.25">
      <c r="A1155" s="879"/>
      <c r="B1155" s="1448" t="s">
        <v>1769</v>
      </c>
    </row>
    <row r="1156" spans="1:2" x14ac:dyDescent="0.25">
      <c r="A1156" s="879"/>
      <c r="B1156" s="1448" t="s">
        <v>1365</v>
      </c>
    </row>
    <row r="1157" spans="1:2" x14ac:dyDescent="0.25">
      <c r="A1157" s="879"/>
      <c r="B1157" s="1448" t="s">
        <v>1770</v>
      </c>
    </row>
    <row r="1158" spans="1:2" x14ac:dyDescent="0.25">
      <c r="A1158" s="879"/>
      <c r="B1158" s="1448" t="s">
        <v>2066</v>
      </c>
    </row>
    <row r="1159" spans="1:2" x14ac:dyDescent="0.25">
      <c r="A1159" s="879"/>
      <c r="B1159" s="1448" t="s">
        <v>1772</v>
      </c>
    </row>
    <row r="1160" spans="1:2" x14ac:dyDescent="0.25">
      <c r="A1160" s="879"/>
      <c r="B1160" s="1448" t="s">
        <v>1365</v>
      </c>
    </row>
    <row r="1161" spans="1:2" x14ac:dyDescent="0.25">
      <c r="A1161" s="879"/>
      <c r="B1161" s="1448" t="s">
        <v>1773</v>
      </c>
    </row>
    <row r="1162" spans="1:2" x14ac:dyDescent="0.25">
      <c r="A1162" s="879"/>
      <c r="B1162" s="1448"/>
    </row>
    <row r="1163" spans="1:2" x14ac:dyDescent="0.25">
      <c r="A1163" s="879"/>
      <c r="B1163" s="1448"/>
    </row>
    <row r="1164" spans="1:2" x14ac:dyDescent="0.25">
      <c r="A1164" s="879"/>
      <c r="B1164" s="1448" t="s">
        <v>1366</v>
      </c>
    </row>
    <row r="1165" spans="1:2" x14ac:dyDescent="0.25">
      <c r="A1165" s="879"/>
      <c r="B1165" s="1448" t="s">
        <v>2067</v>
      </c>
    </row>
    <row r="1166" spans="1:2" x14ac:dyDescent="0.25">
      <c r="A1166" s="879"/>
      <c r="B1166" s="1448" t="s">
        <v>1366</v>
      </c>
    </row>
    <row r="1167" spans="1:2" x14ac:dyDescent="0.25">
      <c r="A1167" s="879"/>
      <c r="B1167" s="1448" t="s">
        <v>1693</v>
      </c>
    </row>
    <row r="1168" spans="1:2" x14ac:dyDescent="0.25">
      <c r="A1168" s="879"/>
      <c r="B1168" s="1448" t="s">
        <v>1365</v>
      </c>
    </row>
    <row r="1169" spans="1:2" x14ac:dyDescent="0.25">
      <c r="A1169" s="879"/>
      <c r="B1169" s="1448" t="s">
        <v>1367</v>
      </c>
    </row>
    <row r="1170" spans="1:2" x14ac:dyDescent="0.25">
      <c r="A1170" s="879"/>
      <c r="B1170" s="1448" t="s">
        <v>1368</v>
      </c>
    </row>
    <row r="1171" spans="1:2" x14ac:dyDescent="0.25">
      <c r="A1171" s="879"/>
      <c r="B1171" s="1448" t="s">
        <v>1365</v>
      </c>
    </row>
    <row r="1172" spans="1:2" x14ac:dyDescent="0.25">
      <c r="A1172" s="879"/>
      <c r="B1172" s="1448" t="s">
        <v>1458</v>
      </c>
    </row>
    <row r="1173" spans="1:2" x14ac:dyDescent="0.25">
      <c r="A1173" s="879"/>
      <c r="B1173" s="1448" t="s">
        <v>1459</v>
      </c>
    </row>
    <row r="1174" spans="1:2" x14ac:dyDescent="0.25">
      <c r="A1174" s="879"/>
      <c r="B1174" s="1448" t="s">
        <v>2068</v>
      </c>
    </row>
    <row r="1175" spans="1:2" x14ac:dyDescent="0.25">
      <c r="A1175" s="879"/>
      <c r="B1175" s="1448" t="s">
        <v>2069</v>
      </c>
    </row>
    <row r="1176" spans="1:2" x14ac:dyDescent="0.25">
      <c r="A1176" s="879"/>
      <c r="B1176" s="1448" t="s">
        <v>1759</v>
      </c>
    </row>
    <row r="1177" spans="1:2" x14ac:dyDescent="0.25">
      <c r="A1177" s="879"/>
      <c r="B1177" s="1448" t="s">
        <v>1760</v>
      </c>
    </row>
    <row r="1178" spans="1:2" x14ac:dyDescent="0.25">
      <c r="A1178" s="879"/>
      <c r="B1178" s="1448" t="s">
        <v>1761</v>
      </c>
    </row>
    <row r="1179" spans="1:2" x14ac:dyDescent="0.25">
      <c r="A1179" s="879"/>
      <c r="B1179" s="1448" t="s">
        <v>2070</v>
      </c>
    </row>
    <row r="1180" spans="1:2" x14ac:dyDescent="0.25">
      <c r="A1180" s="879"/>
      <c r="B1180" s="1448" t="s">
        <v>1694</v>
      </c>
    </row>
    <row r="1181" spans="1:2" x14ac:dyDescent="0.25">
      <c r="A1181" s="879"/>
      <c r="B1181" s="1448" t="s">
        <v>2071</v>
      </c>
    </row>
    <row r="1182" spans="1:2" x14ac:dyDescent="0.25">
      <c r="A1182" s="879"/>
      <c r="B1182" s="1448" t="s">
        <v>1460</v>
      </c>
    </row>
    <row r="1183" spans="1:2" x14ac:dyDescent="0.25">
      <c r="A1183" s="879"/>
      <c r="B1183" s="1448" t="s">
        <v>1380</v>
      </c>
    </row>
    <row r="1184" spans="1:2" x14ac:dyDescent="0.25">
      <c r="A1184" s="879"/>
      <c r="B1184" s="1448" t="s">
        <v>1365</v>
      </c>
    </row>
    <row r="1185" spans="1:2" x14ac:dyDescent="0.25">
      <c r="A1185" s="879"/>
      <c r="B1185" s="1448" t="s">
        <v>1458</v>
      </c>
    </row>
    <row r="1186" spans="1:2" x14ac:dyDescent="0.25">
      <c r="A1186" s="879"/>
      <c r="B1186" s="1448" t="s">
        <v>1461</v>
      </c>
    </row>
    <row r="1187" spans="1:2" x14ac:dyDescent="0.25">
      <c r="A1187" s="879"/>
      <c r="B1187" s="1448" t="s">
        <v>2072</v>
      </c>
    </row>
    <row r="1188" spans="1:2" x14ac:dyDescent="0.25">
      <c r="A1188" s="879"/>
      <c r="B1188" s="1448" t="s">
        <v>2073</v>
      </c>
    </row>
    <row r="1189" spans="1:2" x14ac:dyDescent="0.25">
      <c r="A1189" s="879"/>
      <c r="B1189" s="1448" t="s">
        <v>2074</v>
      </c>
    </row>
    <row r="1190" spans="1:2" x14ac:dyDescent="0.25">
      <c r="A1190" s="879"/>
      <c r="B1190" s="1448" t="s">
        <v>2075</v>
      </c>
    </row>
    <row r="1191" spans="1:2" x14ac:dyDescent="0.25">
      <c r="A1191" s="879"/>
      <c r="B1191" s="1448" t="s">
        <v>2076</v>
      </c>
    </row>
    <row r="1192" spans="1:2" x14ac:dyDescent="0.25">
      <c r="A1192" s="879"/>
      <c r="B1192" s="1448" t="s">
        <v>1695</v>
      </c>
    </row>
    <row r="1193" spans="1:2" x14ac:dyDescent="0.25">
      <c r="A1193" s="879"/>
      <c r="B1193" s="1448" t="s">
        <v>1696</v>
      </c>
    </row>
    <row r="1194" spans="1:2" x14ac:dyDescent="0.25">
      <c r="A1194" s="879"/>
      <c r="B1194" s="1448" t="s">
        <v>1462</v>
      </c>
    </row>
    <row r="1195" spans="1:2" x14ac:dyDescent="0.25">
      <c r="A1195" s="879"/>
      <c r="B1195" s="1448" t="s">
        <v>1463</v>
      </c>
    </row>
    <row r="1196" spans="1:2" x14ac:dyDescent="0.25">
      <c r="A1196" s="879"/>
      <c r="B1196" s="1448" t="s">
        <v>1464</v>
      </c>
    </row>
    <row r="1197" spans="1:2" x14ac:dyDescent="0.25">
      <c r="A1197" s="879"/>
      <c r="B1197" s="1448" t="s">
        <v>1465</v>
      </c>
    </row>
    <row r="1198" spans="1:2" x14ac:dyDescent="0.25">
      <c r="A1198" s="879"/>
      <c r="B1198" s="1448" t="s">
        <v>1466</v>
      </c>
    </row>
    <row r="1199" spans="1:2" x14ac:dyDescent="0.25">
      <c r="A1199" s="879"/>
      <c r="B1199" s="1448" t="s">
        <v>1467</v>
      </c>
    </row>
    <row r="1200" spans="1:2" x14ac:dyDescent="0.25">
      <c r="A1200" s="879"/>
      <c r="B1200" s="1448" t="s">
        <v>2077</v>
      </c>
    </row>
    <row r="1201" spans="1:2" x14ac:dyDescent="0.25">
      <c r="A1201" s="879"/>
      <c r="B1201" s="1448" t="s">
        <v>1468</v>
      </c>
    </row>
    <row r="1202" spans="1:2" x14ac:dyDescent="0.25">
      <c r="A1202" s="879"/>
      <c r="B1202" s="1448" t="s">
        <v>1697</v>
      </c>
    </row>
    <row r="1203" spans="1:2" x14ac:dyDescent="0.25">
      <c r="A1203" s="879"/>
      <c r="B1203" s="1448" t="s">
        <v>1765</v>
      </c>
    </row>
    <row r="1204" spans="1:2" x14ac:dyDescent="0.25">
      <c r="A1204" s="879"/>
      <c r="B1204" s="1448" t="s">
        <v>1636</v>
      </c>
    </row>
    <row r="1205" spans="1:2" x14ac:dyDescent="0.25">
      <c r="A1205" s="879"/>
      <c r="B1205" s="1448" t="s">
        <v>1469</v>
      </c>
    </row>
    <row r="1206" spans="1:2" x14ac:dyDescent="0.25">
      <c r="A1206" s="879"/>
      <c r="B1206" s="1448" t="s">
        <v>1470</v>
      </c>
    </row>
    <row r="1207" spans="1:2" x14ac:dyDescent="0.25">
      <c r="A1207" s="879"/>
      <c r="B1207" s="1448" t="s">
        <v>1637</v>
      </c>
    </row>
    <row r="1208" spans="1:2" x14ac:dyDescent="0.25">
      <c r="A1208" s="879"/>
      <c r="B1208" s="1448" t="s">
        <v>1471</v>
      </c>
    </row>
    <row r="1209" spans="1:2" x14ac:dyDescent="0.25">
      <c r="A1209" s="879"/>
      <c r="B1209" s="1448" t="s">
        <v>1698</v>
      </c>
    </row>
    <row r="1210" spans="1:2" x14ac:dyDescent="0.25">
      <c r="A1210" s="879"/>
      <c r="B1210" s="1448" t="s">
        <v>2078</v>
      </c>
    </row>
    <row r="1211" spans="1:2" x14ac:dyDescent="0.25">
      <c r="A1211" s="879"/>
      <c r="B1211" s="1448" t="s">
        <v>1587</v>
      </c>
    </row>
    <row r="1212" spans="1:2" x14ac:dyDescent="0.25">
      <c r="A1212" s="879"/>
      <c r="B1212" s="1448" t="s">
        <v>2079</v>
      </c>
    </row>
    <row r="1213" spans="1:2" x14ac:dyDescent="0.25">
      <c r="A1213" s="879"/>
      <c r="B1213" s="1448" t="s">
        <v>1474</v>
      </c>
    </row>
    <row r="1214" spans="1:2" x14ac:dyDescent="0.25">
      <c r="A1214" s="879"/>
      <c r="B1214" s="1448" t="s">
        <v>1475</v>
      </c>
    </row>
    <row r="1215" spans="1:2" x14ac:dyDescent="0.25">
      <c r="A1215" s="879"/>
      <c r="B1215" s="1448" t="s">
        <v>1476</v>
      </c>
    </row>
    <row r="1216" spans="1:2" x14ac:dyDescent="0.25">
      <c r="A1216" s="879"/>
      <c r="B1216" s="1448" t="s">
        <v>2080</v>
      </c>
    </row>
    <row r="1217" spans="1:2" x14ac:dyDescent="0.25">
      <c r="A1217" s="879"/>
      <c r="B1217" s="1448" t="s">
        <v>1588</v>
      </c>
    </row>
    <row r="1218" spans="1:2" x14ac:dyDescent="0.25">
      <c r="A1218" s="879"/>
      <c r="B1218" s="1448" t="s">
        <v>1477</v>
      </c>
    </row>
    <row r="1219" spans="1:2" x14ac:dyDescent="0.25">
      <c r="A1219" s="879"/>
      <c r="B1219" s="1448" t="s">
        <v>1478</v>
      </c>
    </row>
    <row r="1220" spans="1:2" x14ac:dyDescent="0.25">
      <c r="A1220" s="879"/>
      <c r="B1220" s="1448" t="s">
        <v>2081</v>
      </c>
    </row>
    <row r="1221" spans="1:2" x14ac:dyDescent="0.25">
      <c r="A1221" s="879"/>
      <c r="B1221" s="1448" t="s">
        <v>2082</v>
      </c>
    </row>
    <row r="1222" spans="1:2" x14ac:dyDescent="0.25">
      <c r="A1222" s="879"/>
      <c r="B1222" s="1448" t="s">
        <v>2083</v>
      </c>
    </row>
    <row r="1223" spans="1:2" x14ac:dyDescent="0.25">
      <c r="A1223" s="879"/>
      <c r="B1223" s="1448" t="s">
        <v>2084</v>
      </c>
    </row>
    <row r="1224" spans="1:2" x14ac:dyDescent="0.25">
      <c r="A1224" s="879"/>
      <c r="B1224" s="1448" t="s">
        <v>1699</v>
      </c>
    </row>
    <row r="1225" spans="1:2" x14ac:dyDescent="0.25">
      <c r="A1225" s="879"/>
      <c r="B1225" s="1448" t="s">
        <v>2085</v>
      </c>
    </row>
    <row r="1226" spans="1:2" x14ac:dyDescent="0.25">
      <c r="A1226" s="879"/>
      <c r="B1226" s="1448" t="s">
        <v>2086</v>
      </c>
    </row>
    <row r="1227" spans="1:2" x14ac:dyDescent="0.25">
      <c r="A1227" s="879"/>
      <c r="B1227" s="1448" t="s">
        <v>2087</v>
      </c>
    </row>
    <row r="1228" spans="1:2" x14ac:dyDescent="0.25">
      <c r="A1228" s="879"/>
      <c r="B1228" s="1448" t="s">
        <v>1700</v>
      </c>
    </row>
    <row r="1229" spans="1:2" x14ac:dyDescent="0.25">
      <c r="A1229" s="879"/>
      <c r="B1229" s="1448" t="s">
        <v>1479</v>
      </c>
    </row>
    <row r="1230" spans="1:2" x14ac:dyDescent="0.25">
      <c r="A1230" s="879"/>
      <c r="B1230" s="1448" t="s">
        <v>1480</v>
      </c>
    </row>
    <row r="1231" spans="1:2" x14ac:dyDescent="0.25">
      <c r="A1231" s="879"/>
      <c r="B1231" s="1448" t="s">
        <v>1481</v>
      </c>
    </row>
    <row r="1232" spans="1:2" x14ac:dyDescent="0.25">
      <c r="A1232" s="879"/>
      <c r="B1232" s="1448" t="s">
        <v>1482</v>
      </c>
    </row>
    <row r="1233" spans="1:2" x14ac:dyDescent="0.25">
      <c r="A1233" s="879"/>
      <c r="B1233" s="1448" t="s">
        <v>1428</v>
      </c>
    </row>
    <row r="1234" spans="1:2" x14ac:dyDescent="0.25">
      <c r="A1234" s="879"/>
      <c r="B1234" s="1448" t="s">
        <v>1365</v>
      </c>
    </row>
    <row r="1235" spans="1:2" x14ac:dyDescent="0.25">
      <c r="A1235" s="879"/>
      <c r="B1235" s="1448" t="s">
        <v>1447</v>
      </c>
    </row>
    <row r="1236" spans="1:2" x14ac:dyDescent="0.25">
      <c r="A1236" s="879"/>
      <c r="B1236" s="1448" t="s">
        <v>1365</v>
      </c>
    </row>
    <row r="1237" spans="1:2" x14ac:dyDescent="0.25">
      <c r="A1237" s="879"/>
      <c r="B1237" s="1448" t="s">
        <v>1448</v>
      </c>
    </row>
    <row r="1238" spans="1:2" x14ac:dyDescent="0.25">
      <c r="A1238" s="879"/>
      <c r="B1238" s="1448" t="s">
        <v>1449</v>
      </c>
    </row>
    <row r="1239" spans="1:2" x14ac:dyDescent="0.25">
      <c r="A1239" s="879"/>
      <c r="B1239" s="1448" t="s">
        <v>1450</v>
      </c>
    </row>
    <row r="1240" spans="1:2" x14ac:dyDescent="0.25">
      <c r="A1240" s="879"/>
      <c r="B1240" s="1448" t="s">
        <v>1650</v>
      </c>
    </row>
    <row r="1241" spans="1:2" x14ac:dyDescent="0.25">
      <c r="A1241" s="879"/>
      <c r="B1241" s="1448" t="s">
        <v>1651</v>
      </c>
    </row>
    <row r="1242" spans="1:2" x14ac:dyDescent="0.25">
      <c r="A1242" s="879"/>
      <c r="B1242" s="1448" t="s">
        <v>1766</v>
      </c>
    </row>
    <row r="1243" spans="1:2" x14ac:dyDescent="0.25">
      <c r="A1243" s="879"/>
      <c r="B1243" s="1448" t="s">
        <v>1652</v>
      </c>
    </row>
    <row r="1244" spans="1:2" x14ac:dyDescent="0.25">
      <c r="A1244" s="879"/>
      <c r="B1244" s="1448" t="s">
        <v>1451</v>
      </c>
    </row>
    <row r="1245" spans="1:2" x14ac:dyDescent="0.25">
      <c r="A1245" s="879"/>
      <c r="B1245" s="1448" t="s">
        <v>1483</v>
      </c>
    </row>
    <row r="1246" spans="1:2" x14ac:dyDescent="0.25">
      <c r="A1246" s="879"/>
      <c r="B1246" s="1448" t="s">
        <v>1653</v>
      </c>
    </row>
    <row r="1247" spans="1:2" x14ac:dyDescent="0.25">
      <c r="A1247" s="879"/>
      <c r="B1247" s="1448" t="s">
        <v>1654</v>
      </c>
    </row>
    <row r="1248" spans="1:2" x14ac:dyDescent="0.25">
      <c r="A1248" s="879"/>
      <c r="B1248" s="1448" t="s">
        <v>1452</v>
      </c>
    </row>
    <row r="1249" spans="1:2" x14ac:dyDescent="0.25">
      <c r="A1249" s="879"/>
      <c r="B1249" s="1448" t="s">
        <v>1484</v>
      </c>
    </row>
    <row r="1250" spans="1:2" x14ac:dyDescent="0.25">
      <c r="A1250" s="879"/>
      <c r="B1250" s="1448" t="s">
        <v>1453</v>
      </c>
    </row>
    <row r="1251" spans="1:2" x14ac:dyDescent="0.25">
      <c r="A1251" s="879"/>
      <c r="B1251" s="1448" t="s">
        <v>1767</v>
      </c>
    </row>
    <row r="1252" spans="1:2" x14ac:dyDescent="0.25">
      <c r="A1252" s="879"/>
      <c r="B1252" s="1448" t="s">
        <v>1655</v>
      </c>
    </row>
    <row r="1253" spans="1:2" x14ac:dyDescent="0.25">
      <c r="A1253" s="879"/>
      <c r="B1253" s="1448" t="s">
        <v>1768</v>
      </c>
    </row>
    <row r="1254" spans="1:2" x14ac:dyDescent="0.25">
      <c r="A1254" s="879"/>
      <c r="B1254" s="1448" t="s">
        <v>1454</v>
      </c>
    </row>
    <row r="1255" spans="1:2" x14ac:dyDescent="0.25">
      <c r="A1255" s="879"/>
      <c r="B1255" s="1448" t="s">
        <v>1365</v>
      </c>
    </row>
    <row r="1256" spans="1:2" x14ac:dyDescent="0.25">
      <c r="A1256" s="879"/>
      <c r="B1256" s="1448" t="s">
        <v>1448</v>
      </c>
    </row>
    <row r="1257" spans="1:2" x14ac:dyDescent="0.25">
      <c r="A1257" s="879"/>
      <c r="B1257" s="1448" t="s">
        <v>1449</v>
      </c>
    </row>
    <row r="1258" spans="1:2" x14ac:dyDescent="0.25">
      <c r="A1258" s="879"/>
      <c r="B1258" s="1448" t="s">
        <v>1450</v>
      </c>
    </row>
    <row r="1259" spans="1:2" x14ac:dyDescent="0.25">
      <c r="A1259" s="879"/>
      <c r="B1259" s="1448" t="s">
        <v>1650</v>
      </c>
    </row>
    <row r="1260" spans="1:2" x14ac:dyDescent="0.25">
      <c r="A1260" s="879"/>
      <c r="B1260" s="1448" t="s">
        <v>1651</v>
      </c>
    </row>
    <row r="1261" spans="1:2" x14ac:dyDescent="0.25">
      <c r="A1261" s="879"/>
      <c r="B1261" s="1448" t="s">
        <v>1766</v>
      </c>
    </row>
    <row r="1262" spans="1:2" x14ac:dyDescent="0.25">
      <c r="A1262" s="879"/>
      <c r="B1262" s="1448" t="s">
        <v>1652</v>
      </c>
    </row>
    <row r="1263" spans="1:2" x14ac:dyDescent="0.25">
      <c r="A1263" s="879"/>
      <c r="B1263" s="1448" t="s">
        <v>1451</v>
      </c>
    </row>
    <row r="1264" spans="1:2" x14ac:dyDescent="0.25">
      <c r="A1264" s="879"/>
      <c r="B1264" s="1448" t="s">
        <v>1483</v>
      </c>
    </row>
    <row r="1265" spans="1:2" x14ac:dyDescent="0.25">
      <c r="A1265" s="879"/>
      <c r="B1265" s="1448" t="s">
        <v>1653</v>
      </c>
    </row>
    <row r="1266" spans="1:2" x14ac:dyDescent="0.25">
      <c r="A1266" s="879"/>
      <c r="B1266" s="1448" t="s">
        <v>1654</v>
      </c>
    </row>
    <row r="1267" spans="1:2" x14ac:dyDescent="0.25">
      <c r="A1267" s="879"/>
      <c r="B1267" s="1448" t="s">
        <v>1452</v>
      </c>
    </row>
    <row r="1268" spans="1:2" x14ac:dyDescent="0.25">
      <c r="A1268" s="879"/>
      <c r="B1268" s="1448" t="s">
        <v>1484</v>
      </c>
    </row>
    <row r="1269" spans="1:2" x14ac:dyDescent="0.25">
      <c r="A1269" s="879"/>
      <c r="B1269" s="1448" t="s">
        <v>1453</v>
      </c>
    </row>
    <row r="1270" spans="1:2" x14ac:dyDescent="0.25">
      <c r="A1270" s="879"/>
      <c r="B1270" s="1448" t="s">
        <v>1767</v>
      </c>
    </row>
    <row r="1271" spans="1:2" x14ac:dyDescent="0.25">
      <c r="A1271" s="879"/>
      <c r="B1271" s="1448" t="s">
        <v>1655</v>
      </c>
    </row>
    <row r="1272" spans="1:2" x14ac:dyDescent="0.25">
      <c r="A1272" s="879"/>
      <c r="B1272" s="1448" t="s">
        <v>1768</v>
      </c>
    </row>
    <row r="1273" spans="1:2" x14ac:dyDescent="0.25">
      <c r="A1273" s="879"/>
      <c r="B1273" s="1448" t="s">
        <v>1656</v>
      </c>
    </row>
    <row r="1274" spans="1:2" x14ac:dyDescent="0.25">
      <c r="A1274" s="879"/>
      <c r="B1274" s="1448" t="s">
        <v>1365</v>
      </c>
    </row>
    <row r="1275" spans="1:2" x14ac:dyDescent="0.25">
      <c r="A1275" s="879"/>
      <c r="B1275" s="1448" t="s">
        <v>1657</v>
      </c>
    </row>
    <row r="1276" spans="1:2" x14ac:dyDescent="0.25">
      <c r="A1276" s="879"/>
      <c r="B1276" s="1448" t="s">
        <v>1658</v>
      </c>
    </row>
    <row r="1277" spans="1:2" x14ac:dyDescent="0.25">
      <c r="A1277" s="879"/>
      <c r="B1277" s="1448" t="s">
        <v>1659</v>
      </c>
    </row>
    <row r="1278" spans="1:2" x14ac:dyDescent="0.25">
      <c r="A1278" s="879"/>
      <c r="B1278" s="1448" t="s">
        <v>1660</v>
      </c>
    </row>
    <row r="1279" spans="1:2" x14ac:dyDescent="0.25">
      <c r="A1279" s="879"/>
      <c r="B1279" s="1448" t="s">
        <v>1661</v>
      </c>
    </row>
    <row r="1280" spans="1:2" x14ac:dyDescent="0.25">
      <c r="A1280" s="879"/>
      <c r="B1280" s="1448" t="s">
        <v>1662</v>
      </c>
    </row>
    <row r="1281" spans="1:2" x14ac:dyDescent="0.25">
      <c r="A1281" s="879"/>
      <c r="B1281" s="1448" t="s">
        <v>1663</v>
      </c>
    </row>
    <row r="1282" spans="1:2" x14ac:dyDescent="0.25">
      <c r="A1282" s="879"/>
      <c r="B1282" s="1448" t="s">
        <v>1664</v>
      </c>
    </row>
    <row r="1283" spans="1:2" x14ac:dyDescent="0.25">
      <c r="A1283" s="879"/>
      <c r="B1283" s="1448" t="s">
        <v>1665</v>
      </c>
    </row>
    <row r="1284" spans="1:2" x14ac:dyDescent="0.25">
      <c r="A1284" s="879"/>
      <c r="B1284" s="1448" t="s">
        <v>1666</v>
      </c>
    </row>
    <row r="1285" spans="1:2" x14ac:dyDescent="0.25">
      <c r="A1285" s="879"/>
      <c r="B1285" s="1448" t="s">
        <v>1667</v>
      </c>
    </row>
    <row r="1286" spans="1:2" x14ac:dyDescent="0.25">
      <c r="A1286" s="879"/>
      <c r="B1286" s="1448" t="s">
        <v>1668</v>
      </c>
    </row>
    <row r="1287" spans="1:2" x14ac:dyDescent="0.25">
      <c r="A1287" s="879"/>
      <c r="B1287" s="1448" t="s">
        <v>1669</v>
      </c>
    </row>
    <row r="1288" spans="1:2" x14ac:dyDescent="0.25">
      <c r="A1288" s="879"/>
      <c r="B1288" s="1448" t="s">
        <v>1670</v>
      </c>
    </row>
    <row r="1289" spans="1:2" x14ac:dyDescent="0.25">
      <c r="A1289" s="879"/>
      <c r="B1289" s="1448" t="s">
        <v>1671</v>
      </c>
    </row>
    <row r="1290" spans="1:2" x14ac:dyDescent="0.25">
      <c r="A1290" s="879"/>
      <c r="B1290" s="1448" t="s">
        <v>1769</v>
      </c>
    </row>
    <row r="1291" spans="1:2" x14ac:dyDescent="0.25">
      <c r="A1291" s="879"/>
      <c r="B1291" s="1448" t="s">
        <v>1365</v>
      </c>
    </row>
    <row r="1292" spans="1:2" x14ac:dyDescent="0.25">
      <c r="A1292" s="879"/>
      <c r="B1292" s="1448" t="s">
        <v>1770</v>
      </c>
    </row>
    <row r="1293" spans="1:2" x14ac:dyDescent="0.25">
      <c r="A1293" s="879"/>
      <c r="B1293" s="1448" t="s">
        <v>2088</v>
      </c>
    </row>
    <row r="1294" spans="1:2" x14ac:dyDescent="0.25">
      <c r="A1294" s="879"/>
      <c r="B1294" s="1448" t="s">
        <v>1772</v>
      </c>
    </row>
    <row r="1295" spans="1:2" x14ac:dyDescent="0.25">
      <c r="A1295" s="879"/>
      <c r="B1295" s="1448" t="s">
        <v>1365</v>
      </c>
    </row>
    <row r="1296" spans="1:2" x14ac:dyDescent="0.25">
      <c r="A1296" s="879"/>
      <c r="B1296" s="1448" t="s">
        <v>1773</v>
      </c>
    </row>
    <row r="1297" spans="1:2" x14ac:dyDescent="0.25">
      <c r="A1297" s="879"/>
      <c r="B1297" s="1448"/>
    </row>
    <row r="1298" spans="1:2" x14ac:dyDescent="0.25">
      <c r="A1298" s="879"/>
      <c r="B1298" s="1448"/>
    </row>
    <row r="1299" spans="1:2" x14ac:dyDescent="0.25">
      <c r="A1299" s="879"/>
      <c r="B1299" s="1448" t="s">
        <v>1366</v>
      </c>
    </row>
    <row r="1300" spans="1:2" x14ac:dyDescent="0.25">
      <c r="A1300" s="879"/>
      <c r="B1300" s="1448" t="s">
        <v>2089</v>
      </c>
    </row>
    <row r="1301" spans="1:2" x14ac:dyDescent="0.25">
      <c r="A1301" s="879"/>
      <c r="B1301" s="1448" t="s">
        <v>1366</v>
      </c>
    </row>
    <row r="1302" spans="1:2" x14ac:dyDescent="0.25">
      <c r="A1302" s="879"/>
      <c r="B1302" s="1448" t="s">
        <v>2090</v>
      </c>
    </row>
    <row r="1303" spans="1:2" x14ac:dyDescent="0.25">
      <c r="A1303" s="879"/>
      <c r="B1303" s="1448" t="s">
        <v>1365</v>
      </c>
    </row>
    <row r="1304" spans="1:2" x14ac:dyDescent="0.25">
      <c r="A1304" s="879"/>
      <c r="B1304" s="1448" t="s">
        <v>1367</v>
      </c>
    </row>
    <row r="1305" spans="1:2" x14ac:dyDescent="0.25">
      <c r="A1305" s="879"/>
      <c r="B1305" s="1448" t="s">
        <v>1368</v>
      </c>
    </row>
    <row r="1306" spans="1:2" x14ac:dyDescent="0.25">
      <c r="A1306" s="879"/>
      <c r="B1306" s="1448" t="s">
        <v>1365</v>
      </c>
    </row>
    <row r="1307" spans="1:2" x14ac:dyDescent="0.25">
      <c r="A1307" s="879"/>
      <c r="B1307" s="1448" t="s">
        <v>1458</v>
      </c>
    </row>
    <row r="1308" spans="1:2" x14ac:dyDescent="0.25">
      <c r="A1308" s="879"/>
      <c r="B1308" s="1448" t="s">
        <v>1459</v>
      </c>
    </row>
    <row r="1309" spans="1:2" x14ac:dyDescent="0.25">
      <c r="A1309" s="879"/>
      <c r="B1309" s="1448" t="s">
        <v>2091</v>
      </c>
    </row>
    <row r="1310" spans="1:2" x14ac:dyDescent="0.25">
      <c r="A1310" s="879"/>
      <c r="B1310" s="1448" t="s">
        <v>2092</v>
      </c>
    </row>
    <row r="1311" spans="1:2" x14ac:dyDescent="0.25">
      <c r="A1311" s="879"/>
      <c r="B1311" s="1448" t="s">
        <v>2093</v>
      </c>
    </row>
    <row r="1312" spans="1:2" x14ac:dyDescent="0.25">
      <c r="A1312" s="879"/>
      <c r="B1312" s="1448" t="s">
        <v>2094</v>
      </c>
    </row>
    <row r="1313" spans="1:2" x14ac:dyDescent="0.25">
      <c r="A1313" s="879"/>
      <c r="B1313" s="1448" t="s">
        <v>2095</v>
      </c>
    </row>
    <row r="1314" spans="1:2" x14ac:dyDescent="0.25">
      <c r="A1314" s="879"/>
      <c r="B1314" s="1448" t="s">
        <v>2096</v>
      </c>
    </row>
    <row r="1315" spans="1:2" x14ac:dyDescent="0.25">
      <c r="A1315" s="879"/>
      <c r="B1315" s="1448" t="s">
        <v>2097</v>
      </c>
    </row>
    <row r="1316" spans="1:2" x14ac:dyDescent="0.25">
      <c r="A1316" s="879"/>
      <c r="B1316" s="1448" t="s">
        <v>2098</v>
      </c>
    </row>
    <row r="1317" spans="1:2" x14ac:dyDescent="0.25">
      <c r="A1317" s="879"/>
      <c r="B1317" s="1448" t="s">
        <v>1460</v>
      </c>
    </row>
    <row r="1318" spans="1:2" x14ac:dyDescent="0.25">
      <c r="A1318" s="879"/>
      <c r="B1318" s="1448" t="s">
        <v>1380</v>
      </c>
    </row>
    <row r="1319" spans="1:2" x14ac:dyDescent="0.25">
      <c r="A1319" s="879"/>
      <c r="B1319" s="1448" t="s">
        <v>1365</v>
      </c>
    </row>
    <row r="1320" spans="1:2" x14ac:dyDescent="0.25">
      <c r="A1320" s="879"/>
      <c r="B1320" s="1448" t="s">
        <v>1458</v>
      </c>
    </row>
    <row r="1321" spans="1:2" x14ac:dyDescent="0.25">
      <c r="A1321" s="879"/>
      <c r="B1321" s="1448" t="s">
        <v>1591</v>
      </c>
    </row>
    <row r="1322" spans="1:2" x14ac:dyDescent="0.25">
      <c r="A1322" s="879"/>
      <c r="B1322" s="1448" t="s">
        <v>2099</v>
      </c>
    </row>
    <row r="1323" spans="1:2" x14ac:dyDescent="0.25">
      <c r="A1323" s="879"/>
      <c r="B1323" s="1448" t="s">
        <v>2100</v>
      </c>
    </row>
    <row r="1324" spans="1:2" x14ac:dyDescent="0.25">
      <c r="A1324" s="879"/>
      <c r="B1324" s="1448" t="s">
        <v>2101</v>
      </c>
    </row>
    <row r="1325" spans="1:2" x14ac:dyDescent="0.25">
      <c r="A1325" s="879"/>
      <c r="B1325" s="1448" t="s">
        <v>2102</v>
      </c>
    </row>
    <row r="1326" spans="1:2" x14ac:dyDescent="0.25">
      <c r="A1326" s="879"/>
      <c r="B1326" s="1448" t="s">
        <v>2103</v>
      </c>
    </row>
    <row r="1327" spans="1:2" x14ac:dyDescent="0.25">
      <c r="A1327" s="879"/>
      <c r="B1327" s="1448" t="s">
        <v>1717</v>
      </c>
    </row>
    <row r="1328" spans="1:2" x14ac:dyDescent="0.25">
      <c r="A1328" s="879"/>
      <c r="B1328" s="1448" t="s">
        <v>1718</v>
      </c>
    </row>
    <row r="1329" spans="1:2" x14ac:dyDescent="0.25">
      <c r="A1329" s="879"/>
      <c r="B1329" s="1448" t="s">
        <v>1592</v>
      </c>
    </row>
    <row r="1330" spans="1:2" x14ac:dyDescent="0.25">
      <c r="A1330" s="879"/>
      <c r="B1330" s="1448" t="s">
        <v>1593</v>
      </c>
    </row>
    <row r="1331" spans="1:2" x14ac:dyDescent="0.25">
      <c r="A1331" s="879"/>
      <c r="B1331" s="1448" t="s">
        <v>1464</v>
      </c>
    </row>
    <row r="1332" spans="1:2" x14ac:dyDescent="0.25">
      <c r="A1332" s="879"/>
      <c r="B1332" s="1448" t="s">
        <v>1465</v>
      </c>
    </row>
    <row r="1333" spans="1:2" x14ac:dyDescent="0.25">
      <c r="A1333" s="879"/>
      <c r="B1333" s="1448" t="s">
        <v>1466</v>
      </c>
    </row>
    <row r="1334" spans="1:2" x14ac:dyDescent="0.25">
      <c r="A1334" s="879"/>
      <c r="B1334" s="1448" t="s">
        <v>1467</v>
      </c>
    </row>
    <row r="1335" spans="1:2" x14ac:dyDescent="0.25">
      <c r="A1335" s="879"/>
      <c r="B1335" s="1448" t="s">
        <v>2104</v>
      </c>
    </row>
    <row r="1336" spans="1:2" x14ac:dyDescent="0.25">
      <c r="A1336" s="879"/>
      <c r="B1336" s="1448" t="s">
        <v>1594</v>
      </c>
    </row>
    <row r="1337" spans="1:2" x14ac:dyDescent="0.25">
      <c r="A1337" s="879"/>
      <c r="B1337" s="1448" t="s">
        <v>1719</v>
      </c>
    </row>
    <row r="1338" spans="1:2" x14ac:dyDescent="0.25">
      <c r="A1338" s="879"/>
      <c r="B1338" s="1448" t="s">
        <v>2105</v>
      </c>
    </row>
    <row r="1339" spans="1:2" x14ac:dyDescent="0.25">
      <c r="A1339" s="879"/>
      <c r="B1339" s="1448" t="s">
        <v>1595</v>
      </c>
    </row>
    <row r="1340" spans="1:2" x14ac:dyDescent="0.25">
      <c r="A1340" s="879"/>
      <c r="B1340" s="1448" t="s">
        <v>1469</v>
      </c>
    </row>
    <row r="1341" spans="1:2" x14ac:dyDescent="0.25">
      <c r="A1341" s="879"/>
      <c r="B1341" s="1448" t="s">
        <v>1726</v>
      </c>
    </row>
    <row r="1342" spans="1:2" x14ac:dyDescent="0.25">
      <c r="A1342" s="879"/>
      <c r="B1342" s="1448" t="s">
        <v>1596</v>
      </c>
    </row>
    <row r="1343" spans="1:2" x14ac:dyDescent="0.25">
      <c r="A1343" s="879"/>
      <c r="B1343" s="1448" t="s">
        <v>1471</v>
      </c>
    </row>
    <row r="1344" spans="1:2" x14ac:dyDescent="0.25">
      <c r="A1344" s="879"/>
      <c r="B1344" s="1448" t="s">
        <v>1720</v>
      </c>
    </row>
    <row r="1345" spans="1:2" x14ac:dyDescent="0.25">
      <c r="A1345" s="879"/>
      <c r="B1345" s="1448" t="s">
        <v>2106</v>
      </c>
    </row>
    <row r="1346" spans="1:2" x14ac:dyDescent="0.25">
      <c r="A1346" s="879"/>
      <c r="B1346" s="1448" t="s">
        <v>1597</v>
      </c>
    </row>
    <row r="1347" spans="1:2" x14ac:dyDescent="0.25">
      <c r="A1347" s="879"/>
      <c r="B1347" s="1448" t="s">
        <v>2107</v>
      </c>
    </row>
    <row r="1348" spans="1:2" x14ac:dyDescent="0.25">
      <c r="A1348" s="879"/>
      <c r="B1348" s="1448" t="s">
        <v>1474</v>
      </c>
    </row>
    <row r="1349" spans="1:2" x14ac:dyDescent="0.25">
      <c r="A1349" s="879"/>
      <c r="B1349" s="1448" t="s">
        <v>1475</v>
      </c>
    </row>
    <row r="1350" spans="1:2" x14ac:dyDescent="0.25">
      <c r="A1350" s="879"/>
      <c r="B1350" s="1448" t="s">
        <v>1476</v>
      </c>
    </row>
    <row r="1351" spans="1:2" x14ac:dyDescent="0.25">
      <c r="A1351" s="879"/>
      <c r="B1351" s="1448" t="s">
        <v>2108</v>
      </c>
    </row>
    <row r="1352" spans="1:2" x14ac:dyDescent="0.25">
      <c r="A1352" s="879"/>
      <c r="B1352" s="1448" t="s">
        <v>1598</v>
      </c>
    </row>
    <row r="1353" spans="1:2" x14ac:dyDescent="0.25">
      <c r="A1353" s="879"/>
      <c r="B1353" s="1448" t="s">
        <v>1477</v>
      </c>
    </row>
    <row r="1354" spans="1:2" x14ac:dyDescent="0.25">
      <c r="A1354" s="879"/>
      <c r="B1354" s="1448" t="s">
        <v>1478</v>
      </c>
    </row>
    <row r="1355" spans="1:2" x14ac:dyDescent="0.25">
      <c r="A1355" s="879"/>
      <c r="B1355" s="1448" t="s">
        <v>2109</v>
      </c>
    </row>
    <row r="1356" spans="1:2" x14ac:dyDescent="0.25">
      <c r="A1356" s="879"/>
      <c r="B1356" s="1448" t="s">
        <v>2110</v>
      </c>
    </row>
    <row r="1357" spans="1:2" x14ac:dyDescent="0.25">
      <c r="A1357" s="879"/>
      <c r="B1357" s="1448" t="s">
        <v>2111</v>
      </c>
    </row>
    <row r="1358" spans="1:2" x14ac:dyDescent="0.25">
      <c r="A1358" s="879"/>
      <c r="B1358" s="1448" t="s">
        <v>2112</v>
      </c>
    </row>
    <row r="1359" spans="1:2" x14ac:dyDescent="0.25">
      <c r="A1359" s="879"/>
      <c r="B1359" s="1448" t="s">
        <v>2113</v>
      </c>
    </row>
    <row r="1360" spans="1:2" x14ac:dyDescent="0.25">
      <c r="A1360" s="879"/>
      <c r="B1360" s="1448" t="s">
        <v>2114</v>
      </c>
    </row>
    <row r="1361" spans="1:2" x14ac:dyDescent="0.25">
      <c r="A1361" s="879"/>
      <c r="B1361" s="1448" t="s">
        <v>2115</v>
      </c>
    </row>
    <row r="1362" spans="1:2" x14ac:dyDescent="0.25">
      <c r="A1362" s="879"/>
      <c r="B1362" s="1448" t="s">
        <v>2116</v>
      </c>
    </row>
    <row r="1363" spans="1:2" x14ac:dyDescent="0.25">
      <c r="A1363" s="879"/>
      <c r="B1363" s="1448" t="s">
        <v>2117</v>
      </c>
    </row>
    <row r="1364" spans="1:2" x14ac:dyDescent="0.25">
      <c r="A1364" s="879"/>
      <c r="B1364" s="1448" t="s">
        <v>1479</v>
      </c>
    </row>
    <row r="1365" spans="1:2" x14ac:dyDescent="0.25">
      <c r="A1365" s="879"/>
      <c r="B1365" s="1448" t="s">
        <v>1480</v>
      </c>
    </row>
    <row r="1366" spans="1:2" x14ac:dyDescent="0.25">
      <c r="A1366" s="879"/>
      <c r="B1366" s="1448" t="s">
        <v>1481</v>
      </c>
    </row>
    <row r="1367" spans="1:2" x14ac:dyDescent="0.25">
      <c r="A1367" s="879"/>
      <c r="B1367" s="1448" t="s">
        <v>1482</v>
      </c>
    </row>
    <row r="1368" spans="1:2" x14ac:dyDescent="0.25">
      <c r="A1368" s="879"/>
      <c r="B1368" s="1448" t="s">
        <v>1428</v>
      </c>
    </row>
    <row r="1369" spans="1:2" x14ac:dyDescent="0.25">
      <c r="A1369" s="879"/>
      <c r="B1369" s="1448" t="s">
        <v>1365</v>
      </c>
    </row>
    <row r="1370" spans="1:2" x14ac:dyDescent="0.25">
      <c r="A1370" s="879"/>
      <c r="B1370" s="1448" t="s">
        <v>1447</v>
      </c>
    </row>
    <row r="1371" spans="1:2" x14ac:dyDescent="0.25">
      <c r="A1371" s="879"/>
      <c r="B1371" s="1448" t="s">
        <v>1365</v>
      </c>
    </row>
    <row r="1372" spans="1:2" x14ac:dyDescent="0.25">
      <c r="A1372" s="879"/>
      <c r="B1372" s="1448" t="s">
        <v>1448</v>
      </c>
    </row>
    <row r="1373" spans="1:2" x14ac:dyDescent="0.25">
      <c r="A1373" s="879"/>
      <c r="B1373" s="1448" t="s">
        <v>1449</v>
      </c>
    </row>
    <row r="1374" spans="1:2" x14ac:dyDescent="0.25">
      <c r="A1374" s="879"/>
      <c r="B1374" s="1448" t="s">
        <v>1450</v>
      </c>
    </row>
    <row r="1375" spans="1:2" x14ac:dyDescent="0.25">
      <c r="A1375" s="879"/>
      <c r="B1375" s="1448" t="s">
        <v>1650</v>
      </c>
    </row>
    <row r="1376" spans="1:2" x14ac:dyDescent="0.25">
      <c r="A1376" s="879"/>
      <c r="B1376" s="1448" t="s">
        <v>1651</v>
      </c>
    </row>
    <row r="1377" spans="1:2" x14ac:dyDescent="0.25">
      <c r="A1377" s="879"/>
      <c r="B1377" s="1448" t="s">
        <v>1515</v>
      </c>
    </row>
    <row r="1378" spans="1:2" x14ac:dyDescent="0.25">
      <c r="A1378" s="879"/>
      <c r="B1378" s="1448" t="s">
        <v>1652</v>
      </c>
    </row>
    <row r="1379" spans="1:2" x14ac:dyDescent="0.25">
      <c r="A1379" s="879"/>
      <c r="B1379" s="1448" t="s">
        <v>2118</v>
      </c>
    </row>
    <row r="1380" spans="1:2" x14ac:dyDescent="0.25">
      <c r="A1380" s="879"/>
      <c r="B1380" s="1448" t="s">
        <v>1483</v>
      </c>
    </row>
    <row r="1381" spans="1:2" x14ac:dyDescent="0.25">
      <c r="A1381" s="879"/>
      <c r="B1381" s="1448" t="s">
        <v>1653</v>
      </c>
    </row>
    <row r="1382" spans="1:2" x14ac:dyDescent="0.25">
      <c r="A1382" s="879"/>
      <c r="B1382" s="1448" t="s">
        <v>1654</v>
      </c>
    </row>
    <row r="1383" spans="1:2" x14ac:dyDescent="0.25">
      <c r="A1383" s="879"/>
      <c r="B1383" s="1448" t="s">
        <v>1452</v>
      </c>
    </row>
    <row r="1384" spans="1:2" x14ac:dyDescent="0.25">
      <c r="A1384" s="879"/>
      <c r="B1384" s="1448" t="s">
        <v>1484</v>
      </c>
    </row>
    <row r="1385" spans="1:2" x14ac:dyDescent="0.25">
      <c r="A1385" s="879"/>
      <c r="B1385" s="1448" t="s">
        <v>1453</v>
      </c>
    </row>
    <row r="1386" spans="1:2" x14ac:dyDescent="0.25">
      <c r="A1386" s="879"/>
      <c r="B1386" s="1448" t="s">
        <v>1516</v>
      </c>
    </row>
    <row r="1387" spans="1:2" x14ac:dyDescent="0.25">
      <c r="A1387" s="879"/>
      <c r="B1387" s="1448" t="s">
        <v>1655</v>
      </c>
    </row>
    <row r="1388" spans="1:2" x14ac:dyDescent="0.25">
      <c r="A1388" s="879"/>
      <c r="B1388" s="1448" t="s">
        <v>2119</v>
      </c>
    </row>
    <row r="1389" spans="1:2" x14ac:dyDescent="0.25">
      <c r="A1389" s="879"/>
      <c r="B1389" s="1448" t="s">
        <v>1454</v>
      </c>
    </row>
    <row r="1390" spans="1:2" x14ac:dyDescent="0.25">
      <c r="A1390" s="879"/>
      <c r="B1390" s="1448" t="s">
        <v>1365</v>
      </c>
    </row>
    <row r="1391" spans="1:2" x14ac:dyDescent="0.25">
      <c r="A1391" s="879"/>
      <c r="B1391" s="1448" t="s">
        <v>1448</v>
      </c>
    </row>
    <row r="1392" spans="1:2" x14ac:dyDescent="0.25">
      <c r="A1392" s="879"/>
      <c r="B1392" s="1448" t="s">
        <v>1449</v>
      </c>
    </row>
    <row r="1393" spans="1:2" x14ac:dyDescent="0.25">
      <c r="A1393" s="879"/>
      <c r="B1393" s="1448" t="s">
        <v>1450</v>
      </c>
    </row>
    <row r="1394" spans="1:2" x14ac:dyDescent="0.25">
      <c r="A1394" s="879"/>
      <c r="B1394" s="1448" t="s">
        <v>1650</v>
      </c>
    </row>
    <row r="1395" spans="1:2" x14ac:dyDescent="0.25">
      <c r="A1395" s="879"/>
      <c r="B1395" s="1448" t="s">
        <v>1651</v>
      </c>
    </row>
    <row r="1396" spans="1:2" x14ac:dyDescent="0.25">
      <c r="A1396" s="879"/>
      <c r="B1396" s="1448" t="s">
        <v>1515</v>
      </c>
    </row>
    <row r="1397" spans="1:2" x14ac:dyDescent="0.25">
      <c r="A1397" s="879"/>
      <c r="B1397" s="1448" t="s">
        <v>1652</v>
      </c>
    </row>
    <row r="1398" spans="1:2" x14ac:dyDescent="0.25">
      <c r="A1398" s="879"/>
      <c r="B1398" s="1448" t="s">
        <v>2118</v>
      </c>
    </row>
    <row r="1399" spans="1:2" x14ac:dyDescent="0.25">
      <c r="A1399" s="879"/>
      <c r="B1399" s="1448" t="s">
        <v>1483</v>
      </c>
    </row>
    <row r="1400" spans="1:2" x14ac:dyDescent="0.25">
      <c r="A1400" s="879"/>
      <c r="B1400" s="1448" t="s">
        <v>1653</v>
      </c>
    </row>
    <row r="1401" spans="1:2" x14ac:dyDescent="0.25">
      <c r="A1401" s="879"/>
      <c r="B1401" s="1448" t="s">
        <v>1654</v>
      </c>
    </row>
    <row r="1402" spans="1:2" x14ac:dyDescent="0.25">
      <c r="A1402" s="879"/>
      <c r="B1402" s="1448" t="s">
        <v>1452</v>
      </c>
    </row>
    <row r="1403" spans="1:2" x14ac:dyDescent="0.25">
      <c r="A1403" s="879"/>
      <c r="B1403" s="1448" t="s">
        <v>1484</v>
      </c>
    </row>
    <row r="1404" spans="1:2" x14ac:dyDescent="0.25">
      <c r="A1404" s="879"/>
      <c r="B1404" s="1448" t="s">
        <v>1453</v>
      </c>
    </row>
    <row r="1405" spans="1:2" x14ac:dyDescent="0.25">
      <c r="A1405" s="879"/>
      <c r="B1405" s="1448" t="s">
        <v>1516</v>
      </c>
    </row>
    <row r="1406" spans="1:2" x14ac:dyDescent="0.25">
      <c r="A1406" s="879"/>
      <c r="B1406" s="1448" t="s">
        <v>1655</v>
      </c>
    </row>
    <row r="1407" spans="1:2" x14ac:dyDescent="0.25">
      <c r="A1407" s="879"/>
      <c r="B1407" s="1448" t="s">
        <v>2119</v>
      </c>
    </row>
    <row r="1408" spans="1:2" x14ac:dyDescent="0.25">
      <c r="A1408" s="879"/>
      <c r="B1408" s="1448" t="s">
        <v>1656</v>
      </c>
    </row>
    <row r="1409" spans="1:2" x14ac:dyDescent="0.25">
      <c r="A1409" s="879"/>
      <c r="B1409" s="1448" t="s">
        <v>1365</v>
      </c>
    </row>
    <row r="1410" spans="1:2" x14ac:dyDescent="0.25">
      <c r="A1410" s="879"/>
      <c r="B1410" s="1448" t="s">
        <v>1657</v>
      </c>
    </row>
    <row r="1411" spans="1:2" x14ac:dyDescent="0.25">
      <c r="A1411" s="879"/>
      <c r="B1411" s="1448" t="s">
        <v>1658</v>
      </c>
    </row>
    <row r="1412" spans="1:2" x14ac:dyDescent="0.25">
      <c r="A1412" s="879"/>
      <c r="B1412" s="1448" t="s">
        <v>1659</v>
      </c>
    </row>
    <row r="1413" spans="1:2" x14ac:dyDescent="0.25">
      <c r="A1413" s="879"/>
      <c r="B1413" s="1448" t="s">
        <v>1660</v>
      </c>
    </row>
    <row r="1414" spans="1:2" x14ac:dyDescent="0.25">
      <c r="A1414" s="879"/>
      <c r="B1414" s="1448" t="s">
        <v>1661</v>
      </c>
    </row>
    <row r="1415" spans="1:2" x14ac:dyDescent="0.25">
      <c r="A1415" s="879"/>
      <c r="B1415" s="1448" t="s">
        <v>1662</v>
      </c>
    </row>
    <row r="1416" spans="1:2" x14ac:dyDescent="0.25">
      <c r="A1416" s="879"/>
      <c r="B1416" s="1448" t="s">
        <v>1663</v>
      </c>
    </row>
    <row r="1417" spans="1:2" x14ac:dyDescent="0.25">
      <c r="A1417" s="879"/>
      <c r="B1417" s="1448" t="s">
        <v>1664</v>
      </c>
    </row>
    <row r="1418" spans="1:2" x14ac:dyDescent="0.25">
      <c r="A1418" s="879"/>
      <c r="B1418" s="1448" t="s">
        <v>1665</v>
      </c>
    </row>
    <row r="1419" spans="1:2" x14ac:dyDescent="0.25">
      <c r="A1419" s="879"/>
      <c r="B1419" s="1448" t="s">
        <v>1666</v>
      </c>
    </row>
    <row r="1420" spans="1:2" x14ac:dyDescent="0.25">
      <c r="A1420" s="879"/>
      <c r="B1420" s="1448" t="s">
        <v>1667</v>
      </c>
    </row>
    <row r="1421" spans="1:2" x14ac:dyDescent="0.25">
      <c r="A1421" s="879"/>
      <c r="B1421" s="1448" t="s">
        <v>1668</v>
      </c>
    </row>
    <row r="1422" spans="1:2" x14ac:dyDescent="0.25">
      <c r="A1422" s="879"/>
      <c r="B1422" s="1448" t="s">
        <v>1669</v>
      </c>
    </row>
    <row r="1423" spans="1:2" x14ac:dyDescent="0.25">
      <c r="A1423" s="879"/>
      <c r="B1423" s="1448" t="s">
        <v>1670</v>
      </c>
    </row>
    <row r="1424" spans="1:2" x14ac:dyDescent="0.25">
      <c r="A1424" s="879"/>
      <c r="B1424" s="1448" t="s">
        <v>1671</v>
      </c>
    </row>
    <row r="1425" spans="1:2" x14ac:dyDescent="0.25">
      <c r="A1425" s="879"/>
      <c r="B1425" s="1448" t="s">
        <v>1769</v>
      </c>
    </row>
    <row r="1426" spans="1:2" x14ac:dyDescent="0.25">
      <c r="A1426" s="879"/>
      <c r="B1426" s="1448" t="s">
        <v>1365</v>
      </c>
    </row>
    <row r="1427" spans="1:2" x14ac:dyDescent="0.25">
      <c r="A1427" s="879"/>
      <c r="B1427" s="1448" t="s">
        <v>1770</v>
      </c>
    </row>
    <row r="1428" spans="1:2" x14ac:dyDescent="0.25">
      <c r="A1428" s="879"/>
      <c r="B1428" s="1448" t="s">
        <v>2120</v>
      </c>
    </row>
    <row r="1429" spans="1:2" x14ac:dyDescent="0.25">
      <c r="A1429" s="879"/>
      <c r="B1429" s="1448" t="s">
        <v>1772</v>
      </c>
    </row>
    <row r="1430" spans="1:2" x14ac:dyDescent="0.25">
      <c r="A1430" s="879"/>
      <c r="B1430" s="1448" t="s">
        <v>1365</v>
      </c>
    </row>
    <row r="1431" spans="1:2" x14ac:dyDescent="0.25">
      <c r="A1431" s="879"/>
      <c r="B1431" s="1448" t="s">
        <v>1773</v>
      </c>
    </row>
    <row r="1432" spans="1:2" x14ac:dyDescent="0.25">
      <c r="A1432" s="879"/>
      <c r="B1432" s="1448"/>
    </row>
    <row r="1433" spans="1:2" x14ac:dyDescent="0.25">
      <c r="A1433" s="879"/>
      <c r="B1433" s="1448"/>
    </row>
    <row r="1434" spans="1:2" x14ac:dyDescent="0.25">
      <c r="A1434" s="879"/>
      <c r="B1434" s="1448" t="s">
        <v>1366</v>
      </c>
    </row>
    <row r="1435" spans="1:2" x14ac:dyDescent="0.25">
      <c r="A1435" s="879"/>
      <c r="B1435" s="1448" t="s">
        <v>2121</v>
      </c>
    </row>
    <row r="1436" spans="1:2" x14ac:dyDescent="0.25">
      <c r="A1436" s="879"/>
      <c r="B1436" s="1448" t="s">
        <v>1366</v>
      </c>
    </row>
    <row r="1437" spans="1:2" x14ac:dyDescent="0.25">
      <c r="A1437" s="879"/>
      <c r="B1437" s="1448" t="s">
        <v>2122</v>
      </c>
    </row>
    <row r="1438" spans="1:2" x14ac:dyDescent="0.25">
      <c r="A1438" s="879"/>
      <c r="B1438" s="1448" t="s">
        <v>1365</v>
      </c>
    </row>
    <row r="1439" spans="1:2" x14ac:dyDescent="0.25">
      <c r="A1439" s="879"/>
      <c r="B1439" s="1448" t="s">
        <v>1367</v>
      </c>
    </row>
    <row r="1440" spans="1:2" x14ac:dyDescent="0.25">
      <c r="A1440" s="879"/>
      <c r="B1440" s="1448" t="s">
        <v>1368</v>
      </c>
    </row>
    <row r="1441" spans="1:2" x14ac:dyDescent="0.25">
      <c r="A1441" s="879"/>
      <c r="B1441" s="1448" t="s">
        <v>1365</v>
      </c>
    </row>
    <row r="1442" spans="1:2" x14ac:dyDescent="0.25">
      <c r="A1442" s="879"/>
      <c r="B1442" s="1448" t="s">
        <v>1458</v>
      </c>
    </row>
    <row r="1443" spans="1:2" x14ac:dyDescent="0.25">
      <c r="A1443" s="879"/>
      <c r="B1443" s="1448" t="s">
        <v>1459</v>
      </c>
    </row>
    <row r="1444" spans="1:2" x14ac:dyDescent="0.25">
      <c r="A1444" s="879"/>
      <c r="B1444" s="1448" t="s">
        <v>2123</v>
      </c>
    </row>
    <row r="1445" spans="1:2" x14ac:dyDescent="0.25">
      <c r="A1445" s="879"/>
      <c r="B1445" s="1448" t="s">
        <v>1675</v>
      </c>
    </row>
    <row r="1446" spans="1:2" x14ac:dyDescent="0.25">
      <c r="A1446" s="879"/>
      <c r="B1446" s="1448" t="s">
        <v>1776</v>
      </c>
    </row>
    <row r="1447" spans="1:2" x14ac:dyDescent="0.25">
      <c r="A1447" s="879"/>
      <c r="B1447" s="1448" t="s">
        <v>1777</v>
      </c>
    </row>
    <row r="1448" spans="1:2" x14ac:dyDescent="0.25">
      <c r="A1448" s="879"/>
      <c r="B1448" s="1448" t="s">
        <v>1778</v>
      </c>
    </row>
    <row r="1449" spans="1:2" x14ac:dyDescent="0.25">
      <c r="A1449" s="879"/>
      <c r="B1449" s="1448" t="s">
        <v>2124</v>
      </c>
    </row>
    <row r="1450" spans="1:2" x14ac:dyDescent="0.25">
      <c r="A1450" s="879"/>
      <c r="B1450" s="1448" t="s">
        <v>2125</v>
      </c>
    </row>
    <row r="1451" spans="1:2" x14ac:dyDescent="0.25">
      <c r="A1451" s="879"/>
      <c r="B1451" s="1448" t="s">
        <v>2126</v>
      </c>
    </row>
    <row r="1452" spans="1:2" x14ac:dyDescent="0.25">
      <c r="A1452" s="879"/>
      <c r="B1452" s="1448" t="s">
        <v>1460</v>
      </c>
    </row>
    <row r="1453" spans="1:2" x14ac:dyDescent="0.25">
      <c r="A1453" s="879"/>
      <c r="B1453" s="1448" t="s">
        <v>1380</v>
      </c>
    </row>
    <row r="1454" spans="1:2" x14ac:dyDescent="0.25">
      <c r="A1454" s="879"/>
      <c r="B1454" s="1448" t="s">
        <v>1365</v>
      </c>
    </row>
    <row r="1455" spans="1:2" x14ac:dyDescent="0.25">
      <c r="A1455" s="879"/>
      <c r="B1455" s="1448" t="s">
        <v>1458</v>
      </c>
    </row>
    <row r="1456" spans="1:2" x14ac:dyDescent="0.25">
      <c r="A1456" s="879"/>
      <c r="B1456" s="1448" t="s">
        <v>1781</v>
      </c>
    </row>
    <row r="1457" spans="1:2" x14ac:dyDescent="0.25">
      <c r="A1457" s="879"/>
      <c r="B1457" s="1448" t="s">
        <v>2127</v>
      </c>
    </row>
    <row r="1458" spans="1:2" x14ac:dyDescent="0.25">
      <c r="A1458" s="879"/>
      <c r="B1458" s="1448" t="s">
        <v>2128</v>
      </c>
    </row>
    <row r="1459" spans="1:2" x14ac:dyDescent="0.25">
      <c r="A1459" s="879"/>
      <c r="B1459" s="1448" t="s">
        <v>2129</v>
      </c>
    </row>
    <row r="1460" spans="1:2" x14ac:dyDescent="0.25">
      <c r="A1460" s="879"/>
      <c r="B1460" s="1448" t="s">
        <v>2130</v>
      </c>
    </row>
    <row r="1461" spans="1:2" x14ac:dyDescent="0.25">
      <c r="A1461" s="879"/>
      <c r="B1461" s="1448" t="s">
        <v>2131</v>
      </c>
    </row>
    <row r="1462" spans="1:2" x14ac:dyDescent="0.25">
      <c r="A1462" s="879"/>
      <c r="B1462" s="1448" t="s">
        <v>2132</v>
      </c>
    </row>
    <row r="1463" spans="1:2" x14ac:dyDescent="0.25">
      <c r="A1463" s="879"/>
      <c r="B1463" s="1448" t="s">
        <v>2133</v>
      </c>
    </row>
    <row r="1464" spans="1:2" x14ac:dyDescent="0.25">
      <c r="A1464" s="879"/>
      <c r="B1464" s="1448" t="s">
        <v>1788</v>
      </c>
    </row>
    <row r="1465" spans="1:2" x14ac:dyDescent="0.25">
      <c r="A1465" s="879"/>
      <c r="B1465" s="1448" t="s">
        <v>1789</v>
      </c>
    </row>
    <row r="1466" spans="1:2" x14ac:dyDescent="0.25">
      <c r="A1466" s="879"/>
      <c r="B1466" s="1448" t="s">
        <v>1464</v>
      </c>
    </row>
    <row r="1467" spans="1:2" x14ac:dyDescent="0.25">
      <c r="A1467" s="879"/>
      <c r="B1467" s="1448" t="s">
        <v>1465</v>
      </c>
    </row>
    <row r="1468" spans="1:2" x14ac:dyDescent="0.25">
      <c r="A1468" s="879"/>
      <c r="B1468" s="1448" t="s">
        <v>2134</v>
      </c>
    </row>
    <row r="1469" spans="1:2" x14ac:dyDescent="0.25">
      <c r="A1469" s="879"/>
      <c r="B1469" s="1448" t="s">
        <v>1467</v>
      </c>
    </row>
    <row r="1470" spans="1:2" x14ac:dyDescent="0.25">
      <c r="A1470" s="879"/>
      <c r="B1470" s="1448" t="s">
        <v>2135</v>
      </c>
    </row>
    <row r="1471" spans="1:2" x14ac:dyDescent="0.25">
      <c r="A1471" s="879"/>
      <c r="B1471" s="1448" t="s">
        <v>1792</v>
      </c>
    </row>
    <row r="1472" spans="1:2" x14ac:dyDescent="0.25">
      <c r="A1472" s="879"/>
      <c r="B1472" s="1448" t="s">
        <v>2136</v>
      </c>
    </row>
    <row r="1473" spans="1:2" x14ac:dyDescent="0.25">
      <c r="A1473" s="879"/>
      <c r="B1473" s="1448" t="s">
        <v>1794</v>
      </c>
    </row>
    <row r="1474" spans="1:2" x14ac:dyDescent="0.25">
      <c r="A1474" s="879"/>
      <c r="B1474" s="1448" t="s">
        <v>1795</v>
      </c>
    </row>
    <row r="1475" spans="1:2" x14ac:dyDescent="0.25">
      <c r="A1475" s="879"/>
      <c r="B1475" s="1448" t="s">
        <v>1469</v>
      </c>
    </row>
    <row r="1476" spans="1:2" x14ac:dyDescent="0.25">
      <c r="A1476" s="879"/>
      <c r="B1476" s="1448" t="s">
        <v>2137</v>
      </c>
    </row>
    <row r="1477" spans="1:2" x14ac:dyDescent="0.25">
      <c r="A1477" s="879"/>
      <c r="B1477" s="1448" t="s">
        <v>1796</v>
      </c>
    </row>
    <row r="1478" spans="1:2" x14ac:dyDescent="0.25">
      <c r="A1478" s="879"/>
      <c r="B1478" s="1448" t="s">
        <v>1471</v>
      </c>
    </row>
    <row r="1479" spans="1:2" x14ac:dyDescent="0.25">
      <c r="A1479" s="879"/>
      <c r="B1479" s="1448" t="s">
        <v>2138</v>
      </c>
    </row>
    <row r="1480" spans="1:2" x14ac:dyDescent="0.25">
      <c r="A1480" s="879"/>
      <c r="B1480" s="1448" t="s">
        <v>2139</v>
      </c>
    </row>
    <row r="1481" spans="1:2" x14ac:dyDescent="0.25">
      <c r="A1481" s="879"/>
      <c r="B1481" s="1448" t="s">
        <v>2140</v>
      </c>
    </row>
    <row r="1482" spans="1:2" x14ac:dyDescent="0.25">
      <c r="A1482" s="879"/>
      <c r="B1482" s="1448" t="s">
        <v>2141</v>
      </c>
    </row>
    <row r="1483" spans="1:2" x14ac:dyDescent="0.25">
      <c r="A1483" s="879"/>
      <c r="B1483" s="1448" t="s">
        <v>1474</v>
      </c>
    </row>
    <row r="1484" spans="1:2" x14ac:dyDescent="0.25">
      <c r="A1484" s="879"/>
      <c r="B1484" s="1448" t="s">
        <v>1475</v>
      </c>
    </row>
    <row r="1485" spans="1:2" x14ac:dyDescent="0.25">
      <c r="A1485" s="879"/>
      <c r="B1485" s="1448" t="s">
        <v>1476</v>
      </c>
    </row>
    <row r="1486" spans="1:2" x14ac:dyDescent="0.25">
      <c r="A1486" s="879"/>
      <c r="B1486" s="1448" t="s">
        <v>2142</v>
      </c>
    </row>
    <row r="1487" spans="1:2" x14ac:dyDescent="0.25">
      <c r="A1487" s="879"/>
      <c r="B1487" s="1448" t="s">
        <v>1802</v>
      </c>
    </row>
    <row r="1488" spans="1:2" x14ac:dyDescent="0.25">
      <c r="A1488" s="879"/>
      <c r="B1488" s="1448" t="s">
        <v>1477</v>
      </c>
    </row>
    <row r="1489" spans="1:2" x14ac:dyDescent="0.25">
      <c r="A1489" s="879"/>
      <c r="B1489" s="1448" t="s">
        <v>1478</v>
      </c>
    </row>
    <row r="1490" spans="1:2" x14ac:dyDescent="0.25">
      <c r="A1490" s="879"/>
      <c r="B1490" s="1448" t="s">
        <v>2143</v>
      </c>
    </row>
    <row r="1491" spans="1:2" x14ac:dyDescent="0.25">
      <c r="A1491" s="879"/>
      <c r="B1491" s="1448" t="s">
        <v>2144</v>
      </c>
    </row>
    <row r="1492" spans="1:2" x14ac:dyDescent="0.25">
      <c r="A1492" s="879"/>
      <c r="B1492" s="1448" t="s">
        <v>2145</v>
      </c>
    </row>
    <row r="1493" spans="1:2" x14ac:dyDescent="0.25">
      <c r="A1493" s="879"/>
      <c r="B1493" s="1448" t="s">
        <v>2146</v>
      </c>
    </row>
    <row r="1494" spans="1:2" x14ac:dyDescent="0.25">
      <c r="A1494" s="879"/>
      <c r="B1494" s="1448" t="s">
        <v>2147</v>
      </c>
    </row>
    <row r="1495" spans="1:2" x14ac:dyDescent="0.25">
      <c r="A1495" s="879"/>
      <c r="B1495" s="1448" t="s">
        <v>2148</v>
      </c>
    </row>
    <row r="1496" spans="1:2" x14ac:dyDescent="0.25">
      <c r="A1496" s="879"/>
      <c r="B1496" s="1448" t="s">
        <v>2149</v>
      </c>
    </row>
    <row r="1497" spans="1:2" x14ac:dyDescent="0.25">
      <c r="A1497" s="879"/>
      <c r="B1497" s="1448" t="s">
        <v>2150</v>
      </c>
    </row>
    <row r="1498" spans="1:2" x14ac:dyDescent="0.25">
      <c r="A1498" s="879"/>
      <c r="B1498" s="1448" t="s">
        <v>2151</v>
      </c>
    </row>
    <row r="1499" spans="1:2" x14ac:dyDescent="0.25">
      <c r="A1499" s="879"/>
      <c r="B1499" s="1448" t="s">
        <v>1479</v>
      </c>
    </row>
    <row r="1500" spans="1:2" x14ac:dyDescent="0.25">
      <c r="A1500" s="879"/>
      <c r="B1500" s="1448" t="s">
        <v>1812</v>
      </c>
    </row>
    <row r="1501" spans="1:2" x14ac:dyDescent="0.25">
      <c r="A1501" s="879"/>
      <c r="B1501" s="1448" t="s">
        <v>1481</v>
      </c>
    </row>
    <row r="1502" spans="1:2" x14ac:dyDescent="0.25">
      <c r="A1502" s="879"/>
      <c r="B1502" s="1448" t="s">
        <v>2152</v>
      </c>
    </row>
    <row r="1503" spans="1:2" x14ac:dyDescent="0.25">
      <c r="A1503" s="879"/>
      <c r="B1503" s="1448" t="s">
        <v>1428</v>
      </c>
    </row>
    <row r="1504" spans="1:2" x14ac:dyDescent="0.25">
      <c r="A1504" s="879"/>
      <c r="B1504" s="1448" t="s">
        <v>1365</v>
      </c>
    </row>
    <row r="1505" spans="1:2" x14ac:dyDescent="0.25">
      <c r="A1505" s="879"/>
      <c r="B1505" s="1448" t="s">
        <v>1447</v>
      </c>
    </row>
    <row r="1506" spans="1:2" x14ac:dyDescent="0.25">
      <c r="A1506" s="879"/>
      <c r="B1506" s="1448" t="s">
        <v>1365</v>
      </c>
    </row>
    <row r="1507" spans="1:2" x14ac:dyDescent="0.25">
      <c r="A1507" s="879"/>
      <c r="B1507" s="1448" t="s">
        <v>1448</v>
      </c>
    </row>
    <row r="1508" spans="1:2" x14ac:dyDescent="0.25">
      <c r="A1508" s="879"/>
      <c r="B1508" s="1448" t="s">
        <v>1449</v>
      </c>
    </row>
    <row r="1509" spans="1:2" x14ac:dyDescent="0.25">
      <c r="A1509" s="879"/>
      <c r="B1509" s="1448" t="s">
        <v>1450</v>
      </c>
    </row>
    <row r="1510" spans="1:2" x14ac:dyDescent="0.25">
      <c r="A1510" s="879"/>
      <c r="B1510" s="1448" t="s">
        <v>1650</v>
      </c>
    </row>
    <row r="1511" spans="1:2" x14ac:dyDescent="0.25">
      <c r="A1511" s="879"/>
      <c r="B1511" s="1448" t="s">
        <v>1651</v>
      </c>
    </row>
    <row r="1512" spans="1:2" x14ac:dyDescent="0.25">
      <c r="A1512" s="879"/>
      <c r="B1512" s="1448" t="s">
        <v>1814</v>
      </c>
    </row>
    <row r="1513" spans="1:2" x14ac:dyDescent="0.25">
      <c r="A1513" s="879"/>
      <c r="B1513" s="1448" t="s">
        <v>1652</v>
      </c>
    </row>
    <row r="1514" spans="1:2" x14ac:dyDescent="0.25">
      <c r="A1514" s="879"/>
      <c r="B1514" s="1448" t="s">
        <v>1451</v>
      </c>
    </row>
    <row r="1515" spans="1:2" x14ac:dyDescent="0.25">
      <c r="A1515" s="879"/>
      <c r="B1515" s="1448" t="s">
        <v>1815</v>
      </c>
    </row>
    <row r="1516" spans="1:2" x14ac:dyDescent="0.25">
      <c r="A1516" s="879"/>
      <c r="B1516" s="1448" t="s">
        <v>1816</v>
      </c>
    </row>
    <row r="1517" spans="1:2" x14ac:dyDescent="0.25">
      <c r="A1517" s="879"/>
      <c r="B1517" s="1448" t="s">
        <v>1654</v>
      </c>
    </row>
    <row r="1518" spans="1:2" x14ac:dyDescent="0.25">
      <c r="A1518" s="879"/>
      <c r="B1518" s="1448" t="s">
        <v>1817</v>
      </c>
    </row>
    <row r="1519" spans="1:2" x14ac:dyDescent="0.25">
      <c r="A1519" s="879"/>
      <c r="B1519" s="1448" t="s">
        <v>1818</v>
      </c>
    </row>
    <row r="1520" spans="1:2" x14ac:dyDescent="0.25">
      <c r="A1520" s="879"/>
      <c r="B1520" s="1448" t="s">
        <v>1453</v>
      </c>
    </row>
    <row r="1521" spans="1:2" x14ac:dyDescent="0.25">
      <c r="A1521" s="879"/>
      <c r="B1521" s="1448" t="s">
        <v>1819</v>
      </c>
    </row>
    <row r="1522" spans="1:2" x14ac:dyDescent="0.25">
      <c r="A1522" s="879"/>
      <c r="B1522" s="1448" t="s">
        <v>1655</v>
      </c>
    </row>
    <row r="1523" spans="1:2" x14ac:dyDescent="0.25">
      <c r="A1523" s="879"/>
      <c r="B1523" s="1448" t="s">
        <v>1820</v>
      </c>
    </row>
    <row r="1524" spans="1:2" x14ac:dyDescent="0.25">
      <c r="A1524" s="879"/>
      <c r="B1524" s="1448" t="s">
        <v>1454</v>
      </c>
    </row>
    <row r="1525" spans="1:2" x14ac:dyDescent="0.25">
      <c r="A1525" s="879"/>
      <c r="B1525" s="1448" t="s">
        <v>1365</v>
      </c>
    </row>
    <row r="1526" spans="1:2" x14ac:dyDescent="0.25">
      <c r="A1526" s="879"/>
      <c r="B1526" s="1448" t="s">
        <v>1448</v>
      </c>
    </row>
    <row r="1527" spans="1:2" x14ac:dyDescent="0.25">
      <c r="A1527" s="879"/>
      <c r="B1527" s="1448" t="s">
        <v>1449</v>
      </c>
    </row>
    <row r="1528" spans="1:2" x14ac:dyDescent="0.25">
      <c r="A1528" s="879"/>
      <c r="B1528" s="1448" t="s">
        <v>1450</v>
      </c>
    </row>
    <row r="1529" spans="1:2" x14ac:dyDescent="0.25">
      <c r="A1529" s="879"/>
      <c r="B1529" s="1448" t="s">
        <v>1650</v>
      </c>
    </row>
    <row r="1530" spans="1:2" x14ac:dyDescent="0.25">
      <c r="A1530" s="879"/>
      <c r="B1530" s="1448" t="s">
        <v>1651</v>
      </c>
    </row>
    <row r="1531" spans="1:2" x14ac:dyDescent="0.25">
      <c r="A1531" s="879"/>
      <c r="B1531" s="1448" t="s">
        <v>1814</v>
      </c>
    </row>
    <row r="1532" spans="1:2" x14ac:dyDescent="0.25">
      <c r="A1532" s="879"/>
      <c r="B1532" s="1448" t="s">
        <v>1652</v>
      </c>
    </row>
    <row r="1533" spans="1:2" x14ac:dyDescent="0.25">
      <c r="A1533" s="879"/>
      <c r="B1533" s="1448" t="s">
        <v>1451</v>
      </c>
    </row>
    <row r="1534" spans="1:2" x14ac:dyDescent="0.25">
      <c r="A1534" s="879"/>
      <c r="B1534" s="1448" t="s">
        <v>1815</v>
      </c>
    </row>
    <row r="1535" spans="1:2" x14ac:dyDescent="0.25">
      <c r="A1535" s="879"/>
      <c r="B1535" s="1448" t="s">
        <v>1816</v>
      </c>
    </row>
    <row r="1536" spans="1:2" x14ac:dyDescent="0.25">
      <c r="A1536" s="879"/>
      <c r="B1536" s="1448" t="s">
        <v>1654</v>
      </c>
    </row>
    <row r="1537" spans="1:2" x14ac:dyDescent="0.25">
      <c r="A1537" s="879"/>
      <c r="B1537" s="1448" t="s">
        <v>1817</v>
      </c>
    </row>
    <row r="1538" spans="1:2" x14ac:dyDescent="0.25">
      <c r="A1538" s="879"/>
      <c r="B1538" s="1448" t="s">
        <v>1818</v>
      </c>
    </row>
    <row r="1539" spans="1:2" x14ac:dyDescent="0.25">
      <c r="A1539" s="879"/>
      <c r="B1539" s="1448" t="s">
        <v>1453</v>
      </c>
    </row>
    <row r="1540" spans="1:2" x14ac:dyDescent="0.25">
      <c r="A1540" s="879"/>
      <c r="B1540" s="1448" t="s">
        <v>1819</v>
      </c>
    </row>
    <row r="1541" spans="1:2" x14ac:dyDescent="0.25">
      <c r="A1541" s="879"/>
      <c r="B1541" s="1448" t="s">
        <v>1655</v>
      </c>
    </row>
    <row r="1542" spans="1:2" x14ac:dyDescent="0.25">
      <c r="A1542" s="879"/>
      <c r="B1542" s="1448" t="s">
        <v>1820</v>
      </c>
    </row>
    <row r="1543" spans="1:2" x14ac:dyDescent="0.25">
      <c r="A1543" s="879"/>
      <c r="B1543" s="1448" t="s">
        <v>1656</v>
      </c>
    </row>
    <row r="1544" spans="1:2" x14ac:dyDescent="0.25">
      <c r="A1544" s="879"/>
      <c r="B1544" s="1448" t="s">
        <v>1365</v>
      </c>
    </row>
    <row r="1545" spans="1:2" x14ac:dyDescent="0.25">
      <c r="A1545" s="879"/>
      <c r="B1545" s="1448" t="s">
        <v>1657</v>
      </c>
    </row>
    <row r="1546" spans="1:2" x14ac:dyDescent="0.25">
      <c r="A1546" s="879"/>
      <c r="B1546" s="1448" t="s">
        <v>1658</v>
      </c>
    </row>
    <row r="1547" spans="1:2" x14ac:dyDescent="0.25">
      <c r="A1547" s="879"/>
      <c r="B1547" s="1448" t="s">
        <v>1659</v>
      </c>
    </row>
    <row r="1548" spans="1:2" x14ac:dyDescent="0.25">
      <c r="A1548" s="879"/>
      <c r="B1548" s="1448" t="s">
        <v>1660</v>
      </c>
    </row>
    <row r="1549" spans="1:2" x14ac:dyDescent="0.25">
      <c r="A1549" s="879"/>
      <c r="B1549" s="1448" t="s">
        <v>1661</v>
      </c>
    </row>
    <row r="1550" spans="1:2" x14ac:dyDescent="0.25">
      <c r="A1550" s="879"/>
      <c r="B1550" s="1448" t="s">
        <v>1662</v>
      </c>
    </row>
    <row r="1551" spans="1:2" x14ac:dyDescent="0.25">
      <c r="A1551" s="879"/>
      <c r="B1551" s="1448" t="s">
        <v>1663</v>
      </c>
    </row>
    <row r="1552" spans="1:2" x14ac:dyDescent="0.25">
      <c r="A1552" s="879"/>
      <c r="B1552" s="1448" t="s">
        <v>1664</v>
      </c>
    </row>
    <row r="1553" spans="1:2" x14ac:dyDescent="0.25">
      <c r="A1553" s="879"/>
      <c r="B1553" s="1448" t="s">
        <v>1665</v>
      </c>
    </row>
    <row r="1554" spans="1:2" x14ac:dyDescent="0.25">
      <c r="A1554" s="879"/>
      <c r="B1554" s="1448" t="s">
        <v>1666</v>
      </c>
    </row>
    <row r="1555" spans="1:2" x14ac:dyDescent="0.25">
      <c r="A1555" s="879"/>
      <c r="B1555" s="1448" t="s">
        <v>1667</v>
      </c>
    </row>
    <row r="1556" spans="1:2" x14ac:dyDescent="0.25">
      <c r="A1556" s="879"/>
      <c r="B1556" s="1448" t="s">
        <v>1668</v>
      </c>
    </row>
    <row r="1557" spans="1:2" x14ac:dyDescent="0.25">
      <c r="A1557" s="879"/>
      <c r="B1557" s="1448" t="s">
        <v>1669</v>
      </c>
    </row>
    <row r="1558" spans="1:2" x14ac:dyDescent="0.25">
      <c r="A1558" s="879"/>
      <c r="B1558" s="1448" t="s">
        <v>1670</v>
      </c>
    </row>
    <row r="1559" spans="1:2" x14ac:dyDescent="0.25">
      <c r="A1559" s="879"/>
      <c r="B1559" s="1448" t="s">
        <v>1671</v>
      </c>
    </row>
    <row r="1560" spans="1:2" x14ac:dyDescent="0.25">
      <c r="A1560" s="879"/>
      <c r="B1560" s="1448" t="s">
        <v>1769</v>
      </c>
    </row>
    <row r="1561" spans="1:2" x14ac:dyDescent="0.25">
      <c r="A1561" s="879"/>
      <c r="B1561" s="1448" t="s">
        <v>1365</v>
      </c>
    </row>
    <row r="1562" spans="1:2" x14ac:dyDescent="0.25">
      <c r="A1562" s="879"/>
      <c r="B1562" s="1448" t="s">
        <v>1770</v>
      </c>
    </row>
    <row r="1563" spans="1:2" x14ac:dyDescent="0.25">
      <c r="A1563" s="879"/>
      <c r="B1563" s="1448" t="s">
        <v>2153</v>
      </c>
    </row>
    <row r="1564" spans="1:2" x14ac:dyDescent="0.25">
      <c r="A1564" s="879"/>
      <c r="B1564" s="1448" t="s">
        <v>1772</v>
      </c>
    </row>
    <row r="1565" spans="1:2" x14ac:dyDescent="0.25">
      <c r="A1565" s="879"/>
      <c r="B1565" s="1448" t="s">
        <v>1365</v>
      </c>
    </row>
    <row r="1566" spans="1:2" x14ac:dyDescent="0.25">
      <c r="A1566" s="879"/>
      <c r="B1566" s="1448" t="s">
        <v>1773</v>
      </c>
    </row>
    <row r="1567" spans="1:2" x14ac:dyDescent="0.25">
      <c r="A1567" s="879"/>
      <c r="B1567" s="1448"/>
    </row>
    <row r="1568" spans="1:2" x14ac:dyDescent="0.25">
      <c r="A1568" s="879"/>
      <c r="B1568" s="1448"/>
    </row>
    <row r="1569" spans="1:2" x14ac:dyDescent="0.25">
      <c r="A1569" s="879"/>
      <c r="B1569" s="1448" t="s">
        <v>1366</v>
      </c>
    </row>
    <row r="1570" spans="1:2" x14ac:dyDescent="0.25">
      <c r="A1570" s="879"/>
      <c r="B1570" s="1448" t="s">
        <v>2154</v>
      </c>
    </row>
    <row r="1571" spans="1:2" x14ac:dyDescent="0.25">
      <c r="A1571" s="879"/>
      <c r="B1571" s="1448" t="s">
        <v>1366</v>
      </c>
    </row>
    <row r="1572" spans="1:2" x14ac:dyDescent="0.25">
      <c r="A1572" s="879"/>
      <c r="B1572" s="1448" t="s">
        <v>2155</v>
      </c>
    </row>
    <row r="1573" spans="1:2" x14ac:dyDescent="0.25">
      <c r="A1573" s="879"/>
      <c r="B1573" s="1448" t="s">
        <v>1365</v>
      </c>
    </row>
    <row r="1574" spans="1:2" x14ac:dyDescent="0.25">
      <c r="A1574" s="879"/>
      <c r="B1574" s="1448" t="s">
        <v>1367</v>
      </c>
    </row>
    <row r="1575" spans="1:2" x14ac:dyDescent="0.25">
      <c r="A1575" s="879"/>
      <c r="B1575" s="1448" t="s">
        <v>1368</v>
      </c>
    </row>
    <row r="1576" spans="1:2" x14ac:dyDescent="0.25">
      <c r="A1576" s="879"/>
      <c r="B1576" s="1448" t="s">
        <v>1365</v>
      </c>
    </row>
    <row r="1577" spans="1:2" x14ac:dyDescent="0.25">
      <c r="A1577" s="879"/>
      <c r="B1577" s="1448" t="s">
        <v>1458</v>
      </c>
    </row>
    <row r="1578" spans="1:2" x14ac:dyDescent="0.25">
      <c r="A1578" s="879"/>
      <c r="B1578" s="1448" t="s">
        <v>1459</v>
      </c>
    </row>
    <row r="1579" spans="1:2" x14ac:dyDescent="0.25">
      <c r="A1579" s="879"/>
      <c r="B1579" s="1448" t="s">
        <v>2091</v>
      </c>
    </row>
    <row r="1580" spans="1:2" x14ac:dyDescent="0.25">
      <c r="A1580" s="879"/>
      <c r="B1580" s="1448" t="s">
        <v>1626</v>
      </c>
    </row>
    <row r="1581" spans="1:2" x14ac:dyDescent="0.25">
      <c r="A1581" s="879"/>
      <c r="B1581" s="1448" t="s">
        <v>2093</v>
      </c>
    </row>
    <row r="1582" spans="1:2" x14ac:dyDescent="0.25">
      <c r="A1582" s="879"/>
      <c r="B1582" s="1448" t="s">
        <v>2094</v>
      </c>
    </row>
    <row r="1583" spans="1:2" x14ac:dyDescent="0.25">
      <c r="A1583" s="879"/>
      <c r="B1583" s="1448" t="s">
        <v>2095</v>
      </c>
    </row>
    <row r="1584" spans="1:2" x14ac:dyDescent="0.25">
      <c r="A1584" s="879"/>
      <c r="B1584" s="1448" t="s">
        <v>2156</v>
      </c>
    </row>
    <row r="1585" spans="1:2" x14ac:dyDescent="0.25">
      <c r="A1585" s="879"/>
      <c r="B1585" s="1448" t="s">
        <v>2157</v>
      </c>
    </row>
    <row r="1586" spans="1:2" x14ac:dyDescent="0.25">
      <c r="A1586" s="879"/>
      <c r="B1586" s="1448" t="s">
        <v>2158</v>
      </c>
    </row>
    <row r="1587" spans="1:2" x14ac:dyDescent="0.25">
      <c r="A1587" s="879"/>
      <c r="B1587" s="1448" t="s">
        <v>1460</v>
      </c>
    </row>
    <row r="1588" spans="1:2" x14ac:dyDescent="0.25">
      <c r="A1588" s="879"/>
      <c r="B1588" s="1448" t="s">
        <v>1380</v>
      </c>
    </row>
    <row r="1589" spans="1:2" x14ac:dyDescent="0.25">
      <c r="A1589" s="879"/>
      <c r="B1589" s="1448" t="s">
        <v>1365</v>
      </c>
    </row>
    <row r="1590" spans="1:2" x14ac:dyDescent="0.25">
      <c r="A1590" s="879"/>
      <c r="B1590" s="1448" t="s">
        <v>1458</v>
      </c>
    </row>
    <row r="1591" spans="1:2" x14ac:dyDescent="0.25">
      <c r="A1591" s="879"/>
      <c r="B1591" s="1448" t="s">
        <v>1591</v>
      </c>
    </row>
    <row r="1592" spans="1:2" x14ac:dyDescent="0.25">
      <c r="A1592" s="879"/>
      <c r="B1592" s="1448" t="s">
        <v>2159</v>
      </c>
    </row>
    <row r="1593" spans="1:2" x14ac:dyDescent="0.25">
      <c r="A1593" s="879"/>
      <c r="B1593" s="1448" t="s">
        <v>2160</v>
      </c>
    </row>
    <row r="1594" spans="1:2" x14ac:dyDescent="0.25">
      <c r="A1594" s="879"/>
      <c r="B1594" s="1448" t="s">
        <v>2161</v>
      </c>
    </row>
    <row r="1595" spans="1:2" x14ac:dyDescent="0.25">
      <c r="A1595" s="879"/>
      <c r="B1595" s="1448" t="s">
        <v>2162</v>
      </c>
    </row>
    <row r="1596" spans="1:2" x14ac:dyDescent="0.25">
      <c r="A1596" s="879"/>
      <c r="B1596" s="1448" t="s">
        <v>2163</v>
      </c>
    </row>
    <row r="1597" spans="1:2" x14ac:dyDescent="0.25">
      <c r="A1597" s="879"/>
      <c r="B1597" s="1448" t="s">
        <v>2164</v>
      </c>
    </row>
    <row r="1598" spans="1:2" x14ac:dyDescent="0.25">
      <c r="A1598" s="879"/>
      <c r="B1598" s="1448" t="s">
        <v>2165</v>
      </c>
    </row>
    <row r="1599" spans="1:2" x14ac:dyDescent="0.25">
      <c r="A1599" s="879"/>
      <c r="B1599" s="1448" t="s">
        <v>1592</v>
      </c>
    </row>
    <row r="1600" spans="1:2" x14ac:dyDescent="0.25">
      <c r="A1600" s="879"/>
      <c r="B1600" s="1448" t="s">
        <v>1593</v>
      </c>
    </row>
    <row r="1601" spans="1:2" x14ac:dyDescent="0.25">
      <c r="A1601" s="879"/>
      <c r="B1601" s="1448" t="s">
        <v>1464</v>
      </c>
    </row>
    <row r="1602" spans="1:2" x14ac:dyDescent="0.25">
      <c r="A1602" s="879"/>
      <c r="B1602" s="1448" t="s">
        <v>1465</v>
      </c>
    </row>
    <row r="1603" spans="1:2" x14ac:dyDescent="0.25">
      <c r="A1603" s="879"/>
      <c r="B1603" s="1448" t="s">
        <v>1466</v>
      </c>
    </row>
    <row r="1604" spans="1:2" x14ac:dyDescent="0.25">
      <c r="A1604" s="879"/>
      <c r="B1604" s="1448" t="s">
        <v>1467</v>
      </c>
    </row>
    <row r="1605" spans="1:2" x14ac:dyDescent="0.25">
      <c r="A1605" s="879"/>
      <c r="B1605" s="1448" t="s">
        <v>2166</v>
      </c>
    </row>
    <row r="1606" spans="1:2" x14ac:dyDescent="0.25">
      <c r="A1606" s="879"/>
      <c r="B1606" s="1448" t="s">
        <v>1594</v>
      </c>
    </row>
    <row r="1607" spans="1:2" x14ac:dyDescent="0.25">
      <c r="A1607" s="879"/>
      <c r="B1607" s="1448" t="s">
        <v>2167</v>
      </c>
    </row>
    <row r="1608" spans="1:2" x14ac:dyDescent="0.25">
      <c r="A1608" s="879"/>
      <c r="B1608" s="1448" t="s">
        <v>2105</v>
      </c>
    </row>
    <row r="1609" spans="1:2" x14ac:dyDescent="0.25">
      <c r="A1609" s="879"/>
      <c r="B1609" s="1448" t="s">
        <v>1595</v>
      </c>
    </row>
    <row r="1610" spans="1:2" x14ac:dyDescent="0.25">
      <c r="A1610" s="879"/>
      <c r="B1610" s="1448" t="s">
        <v>1469</v>
      </c>
    </row>
    <row r="1611" spans="1:2" x14ac:dyDescent="0.25">
      <c r="A1611" s="879"/>
      <c r="B1611" s="1448" t="s">
        <v>1506</v>
      </c>
    </row>
    <row r="1612" spans="1:2" x14ac:dyDescent="0.25">
      <c r="A1612" s="879"/>
      <c r="B1612" s="1448" t="s">
        <v>1596</v>
      </c>
    </row>
    <row r="1613" spans="1:2" x14ac:dyDescent="0.25">
      <c r="A1613" s="879"/>
      <c r="B1613" s="1448" t="s">
        <v>1471</v>
      </c>
    </row>
    <row r="1614" spans="1:2" x14ac:dyDescent="0.25">
      <c r="A1614" s="879"/>
      <c r="B1614" s="1448" t="s">
        <v>2168</v>
      </c>
    </row>
    <row r="1615" spans="1:2" x14ac:dyDescent="0.25">
      <c r="A1615" s="879"/>
      <c r="B1615" s="1448" t="s">
        <v>2169</v>
      </c>
    </row>
    <row r="1616" spans="1:2" x14ac:dyDescent="0.25">
      <c r="A1616" s="879"/>
      <c r="B1616" s="1448" t="s">
        <v>2170</v>
      </c>
    </row>
    <row r="1617" spans="1:2" x14ac:dyDescent="0.25">
      <c r="A1617" s="879"/>
      <c r="B1617" s="1448" t="s">
        <v>2171</v>
      </c>
    </row>
    <row r="1618" spans="1:2" x14ac:dyDescent="0.25">
      <c r="A1618" s="879"/>
      <c r="B1618" s="1448" t="s">
        <v>1474</v>
      </c>
    </row>
    <row r="1619" spans="1:2" x14ac:dyDescent="0.25">
      <c r="A1619" s="879"/>
      <c r="B1619" s="1448" t="s">
        <v>1475</v>
      </c>
    </row>
    <row r="1620" spans="1:2" x14ac:dyDescent="0.25">
      <c r="A1620" s="879"/>
      <c r="B1620" s="1448" t="s">
        <v>1476</v>
      </c>
    </row>
    <row r="1621" spans="1:2" x14ac:dyDescent="0.25">
      <c r="A1621" s="879"/>
      <c r="B1621" s="1448" t="s">
        <v>2172</v>
      </c>
    </row>
    <row r="1622" spans="1:2" x14ac:dyDescent="0.25">
      <c r="A1622" s="879"/>
      <c r="B1622" s="1448" t="s">
        <v>2173</v>
      </c>
    </row>
    <row r="1623" spans="1:2" x14ac:dyDescent="0.25">
      <c r="A1623" s="879"/>
      <c r="B1623" s="1448" t="s">
        <v>1477</v>
      </c>
    </row>
    <row r="1624" spans="1:2" x14ac:dyDescent="0.25">
      <c r="A1624" s="879"/>
      <c r="B1624" s="1448" t="s">
        <v>1478</v>
      </c>
    </row>
    <row r="1625" spans="1:2" x14ac:dyDescent="0.25">
      <c r="A1625" s="879"/>
      <c r="B1625" s="1448" t="s">
        <v>2174</v>
      </c>
    </row>
    <row r="1626" spans="1:2" x14ac:dyDescent="0.25">
      <c r="A1626" s="879"/>
      <c r="B1626" s="1448" t="s">
        <v>2175</v>
      </c>
    </row>
    <row r="1627" spans="1:2" x14ac:dyDescent="0.25">
      <c r="A1627" s="879"/>
      <c r="B1627" s="1448" t="s">
        <v>2176</v>
      </c>
    </row>
    <row r="1628" spans="1:2" x14ac:dyDescent="0.25">
      <c r="A1628" s="879"/>
      <c r="B1628" s="1448" t="s">
        <v>2177</v>
      </c>
    </row>
    <row r="1629" spans="1:2" x14ac:dyDescent="0.25">
      <c r="A1629" s="879"/>
      <c r="B1629" s="1448" t="s">
        <v>1721</v>
      </c>
    </row>
    <row r="1630" spans="1:2" x14ac:dyDescent="0.25">
      <c r="A1630" s="879"/>
      <c r="B1630" s="1448" t="s">
        <v>1722</v>
      </c>
    </row>
    <row r="1631" spans="1:2" x14ac:dyDescent="0.25">
      <c r="A1631" s="879"/>
      <c r="B1631" s="1448" t="s">
        <v>2178</v>
      </c>
    </row>
    <row r="1632" spans="1:2" x14ac:dyDescent="0.25">
      <c r="A1632" s="879"/>
      <c r="B1632" s="1448" t="s">
        <v>2179</v>
      </c>
    </row>
    <row r="1633" spans="1:2" x14ac:dyDescent="0.25">
      <c r="A1633" s="879"/>
      <c r="B1633" s="1448" t="s">
        <v>2180</v>
      </c>
    </row>
    <row r="1634" spans="1:2" x14ac:dyDescent="0.25">
      <c r="A1634" s="879"/>
      <c r="B1634" s="1448" t="s">
        <v>1479</v>
      </c>
    </row>
    <row r="1635" spans="1:2" x14ac:dyDescent="0.25">
      <c r="A1635" s="879"/>
      <c r="B1635" s="1448" t="s">
        <v>1480</v>
      </c>
    </row>
    <row r="1636" spans="1:2" x14ac:dyDescent="0.25">
      <c r="A1636" s="879"/>
      <c r="B1636" s="1448" t="s">
        <v>1481</v>
      </c>
    </row>
    <row r="1637" spans="1:2" x14ac:dyDescent="0.25">
      <c r="A1637" s="879"/>
      <c r="B1637" s="1448" t="s">
        <v>1482</v>
      </c>
    </row>
    <row r="1638" spans="1:2" x14ac:dyDescent="0.25">
      <c r="A1638" s="879"/>
      <c r="B1638" s="1448" t="s">
        <v>1428</v>
      </c>
    </row>
    <row r="1639" spans="1:2" x14ac:dyDescent="0.25">
      <c r="A1639" s="879"/>
      <c r="B1639" s="1448" t="s">
        <v>1365</v>
      </c>
    </row>
    <row r="1640" spans="1:2" x14ac:dyDescent="0.25">
      <c r="A1640" s="879"/>
      <c r="B1640" s="1448" t="s">
        <v>1447</v>
      </c>
    </row>
    <row r="1641" spans="1:2" x14ac:dyDescent="0.25">
      <c r="A1641" s="879"/>
      <c r="B1641" s="1448" t="s">
        <v>1365</v>
      </c>
    </row>
    <row r="1642" spans="1:2" x14ac:dyDescent="0.25">
      <c r="A1642" s="879"/>
      <c r="B1642" s="1448" t="s">
        <v>1448</v>
      </c>
    </row>
    <row r="1643" spans="1:2" x14ac:dyDescent="0.25">
      <c r="A1643" s="879"/>
      <c r="B1643" s="1448" t="s">
        <v>1449</v>
      </c>
    </row>
    <row r="1644" spans="1:2" x14ac:dyDescent="0.25">
      <c r="A1644" s="879"/>
      <c r="B1644" s="1448" t="s">
        <v>1450</v>
      </c>
    </row>
    <row r="1645" spans="1:2" x14ac:dyDescent="0.25">
      <c r="A1645" s="879"/>
      <c r="B1645" s="1448" t="s">
        <v>1650</v>
      </c>
    </row>
    <row r="1646" spans="1:2" x14ac:dyDescent="0.25">
      <c r="A1646" s="879"/>
      <c r="B1646" s="1448" t="s">
        <v>1651</v>
      </c>
    </row>
    <row r="1647" spans="1:2" x14ac:dyDescent="0.25">
      <c r="A1647" s="879"/>
      <c r="B1647" s="1448" t="s">
        <v>1515</v>
      </c>
    </row>
    <row r="1648" spans="1:2" x14ac:dyDescent="0.25">
      <c r="A1648" s="879"/>
      <c r="B1648" s="1448" t="s">
        <v>1652</v>
      </c>
    </row>
    <row r="1649" spans="1:2" x14ac:dyDescent="0.25">
      <c r="A1649" s="879"/>
      <c r="B1649" s="1448" t="s">
        <v>2118</v>
      </c>
    </row>
    <row r="1650" spans="1:2" x14ac:dyDescent="0.25">
      <c r="A1650" s="879"/>
      <c r="B1650" s="1448" t="s">
        <v>1483</v>
      </c>
    </row>
    <row r="1651" spans="1:2" x14ac:dyDescent="0.25">
      <c r="A1651" s="879"/>
      <c r="B1651" s="1448" t="s">
        <v>1653</v>
      </c>
    </row>
    <row r="1652" spans="1:2" x14ac:dyDescent="0.25">
      <c r="A1652" s="879"/>
      <c r="B1652" s="1448" t="s">
        <v>1654</v>
      </c>
    </row>
    <row r="1653" spans="1:2" x14ac:dyDescent="0.25">
      <c r="A1653" s="879"/>
      <c r="B1653" s="1448" t="s">
        <v>1452</v>
      </c>
    </row>
    <row r="1654" spans="1:2" x14ac:dyDescent="0.25">
      <c r="A1654" s="879"/>
      <c r="B1654" s="1448" t="s">
        <v>1484</v>
      </c>
    </row>
    <row r="1655" spans="1:2" x14ac:dyDescent="0.25">
      <c r="A1655" s="879"/>
      <c r="B1655" s="1448" t="s">
        <v>1453</v>
      </c>
    </row>
    <row r="1656" spans="1:2" x14ac:dyDescent="0.25">
      <c r="A1656" s="879"/>
      <c r="B1656" s="1448" t="s">
        <v>1516</v>
      </c>
    </row>
    <row r="1657" spans="1:2" x14ac:dyDescent="0.25">
      <c r="A1657" s="879"/>
      <c r="B1657" s="1448" t="s">
        <v>1655</v>
      </c>
    </row>
    <row r="1658" spans="1:2" x14ac:dyDescent="0.25">
      <c r="A1658" s="879"/>
      <c r="B1658" s="1448" t="s">
        <v>2119</v>
      </c>
    </row>
    <row r="1659" spans="1:2" x14ac:dyDescent="0.25">
      <c r="A1659" s="879"/>
      <c r="B1659" s="1448" t="s">
        <v>1454</v>
      </c>
    </row>
    <row r="1660" spans="1:2" x14ac:dyDescent="0.25">
      <c r="A1660" s="879"/>
      <c r="B1660" s="1448" t="s">
        <v>1365</v>
      </c>
    </row>
    <row r="1661" spans="1:2" x14ac:dyDescent="0.25">
      <c r="A1661" s="879"/>
      <c r="B1661" s="1448" t="s">
        <v>1448</v>
      </c>
    </row>
    <row r="1662" spans="1:2" x14ac:dyDescent="0.25">
      <c r="A1662" s="879"/>
      <c r="B1662" s="1448" t="s">
        <v>1449</v>
      </c>
    </row>
    <row r="1663" spans="1:2" x14ac:dyDescent="0.25">
      <c r="A1663" s="879"/>
      <c r="B1663" s="1448" t="s">
        <v>1450</v>
      </c>
    </row>
    <row r="1664" spans="1:2" x14ac:dyDescent="0.25">
      <c r="A1664" s="879"/>
      <c r="B1664" s="1448" t="s">
        <v>1650</v>
      </c>
    </row>
    <row r="1665" spans="1:2" x14ac:dyDescent="0.25">
      <c r="A1665" s="879"/>
      <c r="B1665" s="1448" t="s">
        <v>1651</v>
      </c>
    </row>
    <row r="1666" spans="1:2" x14ac:dyDescent="0.25">
      <c r="A1666" s="879"/>
      <c r="B1666" s="1448" t="s">
        <v>1515</v>
      </c>
    </row>
    <row r="1667" spans="1:2" x14ac:dyDescent="0.25">
      <c r="A1667" s="879"/>
      <c r="B1667" s="1448" t="s">
        <v>1652</v>
      </c>
    </row>
    <row r="1668" spans="1:2" x14ac:dyDescent="0.25">
      <c r="A1668" s="879"/>
      <c r="B1668" s="1448" t="s">
        <v>2118</v>
      </c>
    </row>
    <row r="1669" spans="1:2" x14ac:dyDescent="0.25">
      <c r="A1669" s="879"/>
      <c r="B1669" s="1448" t="s">
        <v>1483</v>
      </c>
    </row>
    <row r="1670" spans="1:2" x14ac:dyDescent="0.25">
      <c r="A1670" s="879"/>
      <c r="B1670" s="1448" t="s">
        <v>1653</v>
      </c>
    </row>
    <row r="1671" spans="1:2" x14ac:dyDescent="0.25">
      <c r="A1671" s="879"/>
      <c r="B1671" s="1448" t="s">
        <v>1654</v>
      </c>
    </row>
    <row r="1672" spans="1:2" x14ac:dyDescent="0.25">
      <c r="A1672" s="879"/>
      <c r="B1672" s="1448" t="s">
        <v>1452</v>
      </c>
    </row>
    <row r="1673" spans="1:2" x14ac:dyDescent="0.25">
      <c r="A1673" s="879"/>
      <c r="B1673" s="1448" t="s">
        <v>1484</v>
      </c>
    </row>
    <row r="1674" spans="1:2" x14ac:dyDescent="0.25">
      <c r="A1674" s="879"/>
      <c r="B1674" s="1448" t="s">
        <v>1453</v>
      </c>
    </row>
    <row r="1675" spans="1:2" x14ac:dyDescent="0.25">
      <c r="A1675" s="879"/>
      <c r="B1675" s="1448" t="s">
        <v>1516</v>
      </c>
    </row>
    <row r="1676" spans="1:2" x14ac:dyDescent="0.25">
      <c r="A1676" s="879"/>
      <c r="B1676" s="1448" t="s">
        <v>1655</v>
      </c>
    </row>
    <row r="1677" spans="1:2" x14ac:dyDescent="0.25">
      <c r="A1677" s="879"/>
      <c r="B1677" s="1448" t="s">
        <v>2119</v>
      </c>
    </row>
    <row r="1678" spans="1:2" x14ac:dyDescent="0.25">
      <c r="A1678" s="879"/>
      <c r="B1678" s="1448" t="s">
        <v>1656</v>
      </c>
    </row>
    <row r="1679" spans="1:2" x14ac:dyDescent="0.25">
      <c r="A1679" s="879"/>
      <c r="B1679" s="1448" t="s">
        <v>1365</v>
      </c>
    </row>
    <row r="1680" spans="1:2" x14ac:dyDescent="0.25">
      <c r="A1680" s="879"/>
      <c r="B1680" s="1448" t="s">
        <v>1657</v>
      </c>
    </row>
    <row r="1681" spans="1:2" x14ac:dyDescent="0.25">
      <c r="A1681" s="879"/>
      <c r="B1681" s="1448" t="s">
        <v>1658</v>
      </c>
    </row>
    <row r="1682" spans="1:2" x14ac:dyDescent="0.25">
      <c r="A1682" s="879"/>
      <c r="B1682" s="1448" t="s">
        <v>1659</v>
      </c>
    </row>
    <row r="1683" spans="1:2" x14ac:dyDescent="0.25">
      <c r="A1683" s="879"/>
      <c r="B1683" s="1448" t="s">
        <v>1660</v>
      </c>
    </row>
    <row r="1684" spans="1:2" x14ac:dyDescent="0.25">
      <c r="A1684" s="879"/>
      <c r="B1684" s="1448" t="s">
        <v>1661</v>
      </c>
    </row>
    <row r="1685" spans="1:2" x14ac:dyDescent="0.25">
      <c r="A1685" s="879"/>
      <c r="B1685" s="1448" t="s">
        <v>1662</v>
      </c>
    </row>
    <row r="1686" spans="1:2" x14ac:dyDescent="0.25">
      <c r="A1686" s="879"/>
      <c r="B1686" s="1448" t="s">
        <v>1663</v>
      </c>
    </row>
    <row r="1687" spans="1:2" x14ac:dyDescent="0.25">
      <c r="A1687" s="879"/>
      <c r="B1687" s="1448" t="s">
        <v>1664</v>
      </c>
    </row>
    <row r="1688" spans="1:2" x14ac:dyDescent="0.25">
      <c r="A1688" s="879"/>
      <c r="B1688" s="1448" t="s">
        <v>1665</v>
      </c>
    </row>
    <row r="1689" spans="1:2" x14ac:dyDescent="0.25">
      <c r="A1689" s="879"/>
      <c r="B1689" s="1448" t="s">
        <v>1666</v>
      </c>
    </row>
    <row r="1690" spans="1:2" x14ac:dyDescent="0.25">
      <c r="A1690" s="879"/>
      <c r="B1690" s="1448" t="s">
        <v>1667</v>
      </c>
    </row>
    <row r="1691" spans="1:2" x14ac:dyDescent="0.25">
      <c r="A1691" s="879"/>
      <c r="B1691" s="1448" t="s">
        <v>1668</v>
      </c>
    </row>
    <row r="1692" spans="1:2" x14ac:dyDescent="0.25">
      <c r="A1692" s="879"/>
      <c r="B1692" s="1448" t="s">
        <v>1669</v>
      </c>
    </row>
    <row r="1693" spans="1:2" x14ac:dyDescent="0.25">
      <c r="A1693" s="879"/>
      <c r="B1693" s="1448" t="s">
        <v>1670</v>
      </c>
    </row>
    <row r="1694" spans="1:2" x14ac:dyDescent="0.25">
      <c r="A1694" s="879"/>
      <c r="B1694" s="1448" t="s">
        <v>1671</v>
      </c>
    </row>
    <row r="1695" spans="1:2" x14ac:dyDescent="0.25">
      <c r="A1695" s="879"/>
      <c r="B1695" s="1448" t="s">
        <v>1769</v>
      </c>
    </row>
    <row r="1696" spans="1:2" x14ac:dyDescent="0.25">
      <c r="A1696" s="879"/>
      <c r="B1696" s="1448" t="s">
        <v>1365</v>
      </c>
    </row>
    <row r="1697" spans="1:2" x14ac:dyDescent="0.25">
      <c r="A1697" s="879"/>
      <c r="B1697" s="1448" t="s">
        <v>1770</v>
      </c>
    </row>
    <row r="1698" spans="1:2" x14ac:dyDescent="0.25">
      <c r="A1698" s="879"/>
      <c r="B1698" s="1448" t="s">
        <v>2181</v>
      </c>
    </row>
    <row r="1699" spans="1:2" x14ac:dyDescent="0.25">
      <c r="A1699" s="879"/>
      <c r="B1699" s="1448" t="s">
        <v>1772</v>
      </c>
    </row>
    <row r="1700" spans="1:2" x14ac:dyDescent="0.25">
      <c r="A1700" s="879"/>
      <c r="B1700" s="1448" t="s">
        <v>1365</v>
      </c>
    </row>
    <row r="1701" spans="1:2" x14ac:dyDescent="0.25">
      <c r="A1701" s="879"/>
      <c r="B1701" s="1448" t="s">
        <v>1773</v>
      </c>
    </row>
    <row r="1702" spans="1:2" x14ac:dyDescent="0.25">
      <c r="A1702" s="879"/>
      <c r="B1702" s="1448"/>
    </row>
    <row r="1703" spans="1:2" x14ac:dyDescent="0.25">
      <c r="A1703" s="879"/>
      <c r="B1703" s="1448"/>
    </row>
    <row r="1704" spans="1:2" x14ac:dyDescent="0.25">
      <c r="A1704" s="879"/>
      <c r="B1704" s="1448" t="s">
        <v>1366</v>
      </c>
    </row>
    <row r="1705" spans="1:2" x14ac:dyDescent="0.25">
      <c r="A1705" s="879"/>
      <c r="B1705" s="1448" t="s">
        <v>2182</v>
      </c>
    </row>
    <row r="1706" spans="1:2" x14ac:dyDescent="0.25">
      <c r="A1706" s="879"/>
      <c r="B1706" s="1448" t="s">
        <v>1366</v>
      </c>
    </row>
    <row r="1707" spans="1:2" x14ac:dyDescent="0.25">
      <c r="A1707" s="879"/>
      <c r="B1707" s="1448" t="s">
        <v>1703</v>
      </c>
    </row>
    <row r="1708" spans="1:2" x14ac:dyDescent="0.25">
      <c r="A1708" s="879"/>
      <c r="B1708" s="1448" t="s">
        <v>1365</v>
      </c>
    </row>
    <row r="1709" spans="1:2" x14ac:dyDescent="0.25">
      <c r="A1709" s="879"/>
      <c r="B1709" s="1448" t="s">
        <v>1367</v>
      </c>
    </row>
    <row r="1710" spans="1:2" x14ac:dyDescent="0.25">
      <c r="A1710" s="879"/>
      <c r="B1710" s="1448" t="s">
        <v>1368</v>
      </c>
    </row>
    <row r="1711" spans="1:2" x14ac:dyDescent="0.25">
      <c r="A1711" s="879"/>
      <c r="B1711" s="1448" t="s">
        <v>1365</v>
      </c>
    </row>
    <row r="1712" spans="1:2" x14ac:dyDescent="0.25">
      <c r="A1712" s="879"/>
      <c r="B1712" s="1448" t="s">
        <v>1532</v>
      </c>
    </row>
    <row r="1713" spans="1:2" x14ac:dyDescent="0.25">
      <c r="A1713" s="879"/>
      <c r="B1713" s="1448" t="s">
        <v>1507</v>
      </c>
    </row>
    <row r="1714" spans="1:2" x14ac:dyDescent="0.25">
      <c r="A1714" s="879"/>
      <c r="B1714" s="1448" t="s">
        <v>1508</v>
      </c>
    </row>
    <row r="1715" spans="1:2" x14ac:dyDescent="0.25">
      <c r="A1715" s="879"/>
      <c r="B1715" s="1448" t="s">
        <v>1626</v>
      </c>
    </row>
    <row r="1716" spans="1:2" x14ac:dyDescent="0.25">
      <c r="A1716" s="879"/>
      <c r="B1716" s="1448" t="s">
        <v>2183</v>
      </c>
    </row>
    <row r="1717" spans="1:2" x14ac:dyDescent="0.25">
      <c r="A1717" s="879"/>
      <c r="B1717" s="1448" t="s">
        <v>2184</v>
      </c>
    </row>
    <row r="1718" spans="1:2" x14ac:dyDescent="0.25">
      <c r="A1718" s="879"/>
      <c r="B1718" s="1448" t="s">
        <v>2185</v>
      </c>
    </row>
    <row r="1719" spans="1:2" x14ac:dyDescent="0.25">
      <c r="A1719" s="879"/>
      <c r="B1719" s="1448" t="s">
        <v>1533</v>
      </c>
    </row>
    <row r="1720" spans="1:2" x14ac:dyDescent="0.25">
      <c r="A1720" s="879"/>
      <c r="B1720" s="1448" t="s">
        <v>1534</v>
      </c>
    </row>
    <row r="1721" spans="1:2" x14ac:dyDescent="0.25">
      <c r="A1721" s="879"/>
      <c r="B1721" s="1448" t="s">
        <v>2186</v>
      </c>
    </row>
    <row r="1722" spans="1:2" x14ac:dyDescent="0.25">
      <c r="A1722" s="879"/>
      <c r="B1722" s="1448" t="s">
        <v>2187</v>
      </c>
    </row>
    <row r="1723" spans="1:2" x14ac:dyDescent="0.25">
      <c r="A1723" s="879"/>
      <c r="B1723" s="1448" t="s">
        <v>1380</v>
      </c>
    </row>
    <row r="1724" spans="1:2" x14ac:dyDescent="0.25">
      <c r="A1724" s="879"/>
      <c r="B1724" s="1448" t="s">
        <v>1365</v>
      </c>
    </row>
    <row r="1725" spans="1:2" x14ac:dyDescent="0.25">
      <c r="A1725" s="879"/>
      <c r="B1725" s="1448" t="s">
        <v>1532</v>
      </c>
    </row>
    <row r="1726" spans="1:2" x14ac:dyDescent="0.25">
      <c r="A1726" s="879"/>
      <c r="B1726" s="1448" t="s">
        <v>1535</v>
      </c>
    </row>
    <row r="1727" spans="1:2" x14ac:dyDescent="0.25">
      <c r="A1727" s="879"/>
      <c r="B1727" s="1448" t="s">
        <v>1536</v>
      </c>
    </row>
    <row r="1728" spans="1:2" x14ac:dyDescent="0.25">
      <c r="A1728" s="879"/>
      <c r="B1728" s="1448" t="s">
        <v>1537</v>
      </c>
    </row>
    <row r="1729" spans="1:2" x14ac:dyDescent="0.25">
      <c r="A1729" s="879"/>
      <c r="B1729" s="1448" t="s">
        <v>2188</v>
      </c>
    </row>
    <row r="1730" spans="1:2" x14ac:dyDescent="0.25">
      <c r="A1730" s="879"/>
      <c r="B1730" s="1448" t="s">
        <v>1538</v>
      </c>
    </row>
    <row r="1731" spans="1:2" x14ac:dyDescent="0.25">
      <c r="A1731" s="879"/>
      <c r="B1731" s="1448" t="s">
        <v>1539</v>
      </c>
    </row>
    <row r="1732" spans="1:2" x14ac:dyDescent="0.25">
      <c r="A1732" s="879"/>
      <c r="B1732" s="1448" t="s">
        <v>1540</v>
      </c>
    </row>
    <row r="1733" spans="1:2" x14ac:dyDescent="0.25">
      <c r="A1733" s="879"/>
      <c r="B1733" s="1448" t="s">
        <v>1541</v>
      </c>
    </row>
    <row r="1734" spans="1:2" x14ac:dyDescent="0.25">
      <c r="A1734" s="879"/>
      <c r="B1734" s="1448" t="s">
        <v>1462</v>
      </c>
    </row>
    <row r="1735" spans="1:2" x14ac:dyDescent="0.25">
      <c r="A1735" s="879"/>
      <c r="B1735" s="1448" t="s">
        <v>1463</v>
      </c>
    </row>
    <row r="1736" spans="1:2" x14ac:dyDescent="0.25">
      <c r="A1736" s="879"/>
      <c r="B1736" s="1448" t="s">
        <v>1464</v>
      </c>
    </row>
    <row r="1737" spans="1:2" x14ac:dyDescent="0.25">
      <c r="A1737" s="879"/>
      <c r="B1737" s="1448" t="s">
        <v>1542</v>
      </c>
    </row>
    <row r="1738" spans="1:2" x14ac:dyDescent="0.25">
      <c r="A1738" s="879"/>
      <c r="B1738" s="1448" t="s">
        <v>1466</v>
      </c>
    </row>
    <row r="1739" spans="1:2" x14ac:dyDescent="0.25">
      <c r="A1739" s="879"/>
      <c r="B1739" s="1448" t="s">
        <v>1467</v>
      </c>
    </row>
    <row r="1740" spans="1:2" x14ac:dyDescent="0.25">
      <c r="A1740" s="879"/>
      <c r="B1740" s="1448" t="s">
        <v>1509</v>
      </c>
    </row>
    <row r="1741" spans="1:2" x14ac:dyDescent="0.25">
      <c r="A1741" s="879"/>
      <c r="B1741" s="1448" t="s">
        <v>1543</v>
      </c>
    </row>
    <row r="1742" spans="1:2" x14ac:dyDescent="0.25">
      <c r="A1742" s="879"/>
      <c r="B1742" s="1448" t="s">
        <v>1544</v>
      </c>
    </row>
    <row r="1743" spans="1:2" x14ac:dyDescent="0.25">
      <c r="A1743" s="879"/>
      <c r="B1743" s="1448" t="s">
        <v>2189</v>
      </c>
    </row>
    <row r="1744" spans="1:2" x14ac:dyDescent="0.25">
      <c r="A1744" s="879"/>
      <c r="B1744" s="1448" t="s">
        <v>1545</v>
      </c>
    </row>
    <row r="1745" spans="1:2" x14ac:dyDescent="0.25">
      <c r="A1745" s="879"/>
      <c r="B1745" s="1448" t="s">
        <v>2190</v>
      </c>
    </row>
    <row r="1746" spans="1:2" x14ac:dyDescent="0.25">
      <c r="A1746" s="879"/>
      <c r="B1746" s="1448" t="s">
        <v>1704</v>
      </c>
    </row>
    <row r="1747" spans="1:2" x14ac:dyDescent="0.25">
      <c r="A1747" s="879"/>
      <c r="B1747" s="1448" t="s">
        <v>1546</v>
      </c>
    </row>
    <row r="1748" spans="1:2" x14ac:dyDescent="0.25">
      <c r="A1748" s="879"/>
      <c r="B1748" s="1448" t="s">
        <v>1471</v>
      </c>
    </row>
    <row r="1749" spans="1:2" x14ac:dyDescent="0.25">
      <c r="A1749" s="879"/>
      <c r="B1749" s="1448" t="s">
        <v>1547</v>
      </c>
    </row>
    <row r="1750" spans="1:2" x14ac:dyDescent="0.25">
      <c r="A1750" s="879"/>
      <c r="B1750" s="1448" t="s">
        <v>1548</v>
      </c>
    </row>
    <row r="1751" spans="1:2" x14ac:dyDescent="0.25">
      <c r="A1751" s="879"/>
      <c r="B1751" s="1448" t="s">
        <v>1549</v>
      </c>
    </row>
    <row r="1752" spans="1:2" x14ac:dyDescent="0.25">
      <c r="A1752" s="879"/>
      <c r="B1752" s="1448" t="s">
        <v>1550</v>
      </c>
    </row>
    <row r="1753" spans="1:2" x14ac:dyDescent="0.25">
      <c r="A1753" s="879"/>
      <c r="B1753" s="1448" t="s">
        <v>1551</v>
      </c>
    </row>
    <row r="1754" spans="1:2" x14ac:dyDescent="0.25">
      <c r="A1754" s="879"/>
      <c r="B1754" s="1448" t="s">
        <v>2191</v>
      </c>
    </row>
    <row r="1755" spans="1:2" x14ac:dyDescent="0.25">
      <c r="A1755" s="879"/>
      <c r="B1755" s="1448" t="s">
        <v>1510</v>
      </c>
    </row>
    <row r="1756" spans="1:2" x14ac:dyDescent="0.25">
      <c r="A1756" s="879"/>
      <c r="B1756" s="1448" t="s">
        <v>1552</v>
      </c>
    </row>
    <row r="1757" spans="1:2" x14ac:dyDescent="0.25">
      <c r="A1757" s="879"/>
      <c r="B1757" s="1448" t="s">
        <v>1705</v>
      </c>
    </row>
    <row r="1758" spans="1:2" x14ac:dyDescent="0.25">
      <c r="A1758" s="879"/>
      <c r="B1758" s="1448" t="s">
        <v>1511</v>
      </c>
    </row>
    <row r="1759" spans="1:2" x14ac:dyDescent="0.25">
      <c r="A1759" s="879"/>
      <c r="B1759" s="1448" t="s">
        <v>1553</v>
      </c>
    </row>
    <row r="1760" spans="1:2" x14ac:dyDescent="0.25">
      <c r="A1760" s="879"/>
      <c r="B1760" s="1448" t="s">
        <v>1554</v>
      </c>
    </row>
    <row r="1761" spans="1:2" x14ac:dyDescent="0.25">
      <c r="A1761" s="879"/>
      <c r="B1761" s="1448" t="s">
        <v>1555</v>
      </c>
    </row>
    <row r="1762" spans="1:2" x14ac:dyDescent="0.25">
      <c r="A1762" s="879"/>
      <c r="B1762" s="1448" t="s">
        <v>1556</v>
      </c>
    </row>
    <row r="1763" spans="1:2" x14ac:dyDescent="0.25">
      <c r="A1763" s="879"/>
      <c r="B1763" s="1448" t="s">
        <v>1557</v>
      </c>
    </row>
    <row r="1764" spans="1:2" x14ac:dyDescent="0.25">
      <c r="A1764" s="879"/>
      <c r="B1764" s="1448" t="s">
        <v>1558</v>
      </c>
    </row>
    <row r="1765" spans="1:2" x14ac:dyDescent="0.25">
      <c r="A1765" s="879"/>
      <c r="B1765" s="1448" t="s">
        <v>1559</v>
      </c>
    </row>
    <row r="1766" spans="1:2" x14ac:dyDescent="0.25">
      <c r="A1766" s="879"/>
      <c r="B1766" s="1448" t="s">
        <v>1512</v>
      </c>
    </row>
    <row r="1767" spans="1:2" x14ac:dyDescent="0.25">
      <c r="A1767" s="879"/>
      <c r="B1767" s="1448" t="s">
        <v>1513</v>
      </c>
    </row>
    <row r="1768" spans="1:2" x14ac:dyDescent="0.25">
      <c r="A1768" s="879"/>
      <c r="B1768" s="1448" t="s">
        <v>1514</v>
      </c>
    </row>
    <row r="1769" spans="1:2" x14ac:dyDescent="0.25">
      <c r="A1769" s="879"/>
      <c r="B1769" s="1448" t="s">
        <v>1479</v>
      </c>
    </row>
    <row r="1770" spans="1:2" x14ac:dyDescent="0.25">
      <c r="A1770" s="879"/>
      <c r="B1770" s="1448" t="s">
        <v>1560</v>
      </c>
    </row>
    <row r="1771" spans="1:2" x14ac:dyDescent="0.25">
      <c r="A1771" s="879"/>
      <c r="B1771" s="1448" t="s">
        <v>2192</v>
      </c>
    </row>
    <row r="1772" spans="1:2" x14ac:dyDescent="0.25">
      <c r="A1772" s="879"/>
      <c r="B1772" s="1448" t="s">
        <v>1482</v>
      </c>
    </row>
    <row r="1773" spans="1:2" x14ac:dyDescent="0.25">
      <c r="A1773" s="879"/>
      <c r="B1773" s="1448" t="s">
        <v>1428</v>
      </c>
    </row>
    <row r="1774" spans="1:2" x14ac:dyDescent="0.25">
      <c r="A1774" s="879"/>
      <c r="B1774" s="1448" t="s">
        <v>1365</v>
      </c>
    </row>
    <row r="1775" spans="1:2" x14ac:dyDescent="0.25">
      <c r="A1775" s="879"/>
      <c r="B1775" s="1448" t="s">
        <v>1502</v>
      </c>
    </row>
    <row r="1776" spans="1:2" x14ac:dyDescent="0.25">
      <c r="A1776" s="879"/>
      <c r="B1776" s="1448" t="s">
        <v>1365</v>
      </c>
    </row>
    <row r="1777" spans="1:2" x14ac:dyDescent="0.25">
      <c r="A1777" s="879"/>
      <c r="B1777" s="1448" t="s">
        <v>1448</v>
      </c>
    </row>
    <row r="1778" spans="1:2" x14ac:dyDescent="0.25">
      <c r="A1778" s="879"/>
      <c r="B1778" s="1448" t="s">
        <v>1449</v>
      </c>
    </row>
    <row r="1779" spans="1:2" x14ac:dyDescent="0.25">
      <c r="A1779" s="879"/>
      <c r="B1779" s="1448" t="s">
        <v>1450</v>
      </c>
    </row>
    <row r="1780" spans="1:2" x14ac:dyDescent="0.25">
      <c r="A1780" s="879"/>
      <c r="B1780" s="1448" t="s">
        <v>1650</v>
      </c>
    </row>
    <row r="1781" spans="1:2" x14ac:dyDescent="0.25">
      <c r="A1781" s="879"/>
      <c r="B1781" s="1448" t="s">
        <v>1651</v>
      </c>
    </row>
    <row r="1782" spans="1:2" x14ac:dyDescent="0.25">
      <c r="A1782" s="879"/>
      <c r="B1782" s="1448" t="s">
        <v>1515</v>
      </c>
    </row>
    <row r="1783" spans="1:2" x14ac:dyDescent="0.25">
      <c r="A1783" s="879"/>
      <c r="B1783" s="1448" t="s">
        <v>1652</v>
      </c>
    </row>
    <row r="1784" spans="1:2" x14ac:dyDescent="0.25">
      <c r="A1784" s="879"/>
      <c r="B1784" s="1448" t="s">
        <v>1451</v>
      </c>
    </row>
    <row r="1785" spans="1:2" x14ac:dyDescent="0.25">
      <c r="A1785" s="879"/>
      <c r="B1785" s="1448" t="s">
        <v>2193</v>
      </c>
    </row>
    <row r="1786" spans="1:2" x14ac:dyDescent="0.25">
      <c r="A1786" s="879"/>
      <c r="B1786" s="1448" t="s">
        <v>1653</v>
      </c>
    </row>
    <row r="1787" spans="1:2" x14ac:dyDescent="0.25">
      <c r="A1787" s="879"/>
      <c r="B1787" s="1448" t="s">
        <v>1654</v>
      </c>
    </row>
    <row r="1788" spans="1:2" x14ac:dyDescent="0.25">
      <c r="A1788" s="879"/>
      <c r="B1788" s="1448" t="s">
        <v>1452</v>
      </c>
    </row>
    <row r="1789" spans="1:2" x14ac:dyDescent="0.25">
      <c r="A1789" s="879"/>
      <c r="B1789" s="1448" t="s">
        <v>1484</v>
      </c>
    </row>
    <row r="1790" spans="1:2" x14ac:dyDescent="0.25">
      <c r="A1790" s="879"/>
      <c r="B1790" s="1448" t="s">
        <v>1453</v>
      </c>
    </row>
    <row r="1791" spans="1:2" x14ac:dyDescent="0.25">
      <c r="A1791" s="879"/>
      <c r="B1791" s="1448" t="s">
        <v>1516</v>
      </c>
    </row>
    <row r="1792" spans="1:2" x14ac:dyDescent="0.25">
      <c r="A1792" s="879"/>
      <c r="B1792" s="1448" t="s">
        <v>1655</v>
      </c>
    </row>
    <row r="1793" spans="1:2" x14ac:dyDescent="0.25">
      <c r="A1793" s="879"/>
      <c r="B1793" s="1448" t="s">
        <v>2194</v>
      </c>
    </row>
    <row r="1794" spans="1:2" x14ac:dyDescent="0.25">
      <c r="A1794" s="879"/>
      <c r="B1794" s="1448" t="s">
        <v>1531</v>
      </c>
    </row>
    <row r="1795" spans="1:2" x14ac:dyDescent="0.25">
      <c r="A1795" s="879"/>
      <c r="B1795" s="1448" t="s">
        <v>1365</v>
      </c>
    </row>
    <row r="1796" spans="1:2" x14ac:dyDescent="0.25">
      <c r="A1796" s="879"/>
      <c r="B1796" s="1448" t="s">
        <v>1448</v>
      </c>
    </row>
    <row r="1797" spans="1:2" x14ac:dyDescent="0.25">
      <c r="A1797" s="879"/>
      <c r="B1797" s="1448" t="s">
        <v>1449</v>
      </c>
    </row>
    <row r="1798" spans="1:2" x14ac:dyDescent="0.25">
      <c r="A1798" s="879"/>
      <c r="B1798" s="1448" t="s">
        <v>1450</v>
      </c>
    </row>
    <row r="1799" spans="1:2" x14ac:dyDescent="0.25">
      <c r="A1799" s="879"/>
      <c r="B1799" s="1448" t="s">
        <v>1650</v>
      </c>
    </row>
    <row r="1800" spans="1:2" x14ac:dyDescent="0.25">
      <c r="A1800" s="879"/>
      <c r="B1800" s="1448" t="s">
        <v>1651</v>
      </c>
    </row>
    <row r="1801" spans="1:2" x14ac:dyDescent="0.25">
      <c r="A1801" s="879"/>
      <c r="B1801" s="1448" t="s">
        <v>1515</v>
      </c>
    </row>
    <row r="1802" spans="1:2" x14ac:dyDescent="0.25">
      <c r="A1802" s="879"/>
      <c r="B1802" s="1448" t="s">
        <v>1652</v>
      </c>
    </row>
    <row r="1803" spans="1:2" x14ac:dyDescent="0.25">
      <c r="A1803" s="879"/>
      <c r="B1803" s="1448" t="s">
        <v>1451</v>
      </c>
    </row>
    <row r="1804" spans="1:2" x14ac:dyDescent="0.25">
      <c r="A1804" s="879"/>
      <c r="B1804" s="1448" t="s">
        <v>2193</v>
      </c>
    </row>
    <row r="1805" spans="1:2" x14ac:dyDescent="0.25">
      <c r="A1805" s="879"/>
      <c r="B1805" s="1448" t="s">
        <v>1653</v>
      </c>
    </row>
    <row r="1806" spans="1:2" x14ac:dyDescent="0.25">
      <c r="A1806" s="879"/>
      <c r="B1806" s="1448" t="s">
        <v>1654</v>
      </c>
    </row>
    <row r="1807" spans="1:2" x14ac:dyDescent="0.25">
      <c r="A1807" s="879"/>
      <c r="B1807" s="1448" t="s">
        <v>1452</v>
      </c>
    </row>
    <row r="1808" spans="1:2" x14ac:dyDescent="0.25">
      <c r="A1808" s="879"/>
      <c r="B1808" s="1448" t="s">
        <v>1484</v>
      </c>
    </row>
    <row r="1809" spans="1:2" x14ac:dyDescent="0.25">
      <c r="A1809" s="879"/>
      <c r="B1809" s="1448" t="s">
        <v>1453</v>
      </c>
    </row>
    <row r="1810" spans="1:2" x14ac:dyDescent="0.25">
      <c r="A1810" s="879"/>
      <c r="B1810" s="1448" t="s">
        <v>1516</v>
      </c>
    </row>
    <row r="1811" spans="1:2" x14ac:dyDescent="0.25">
      <c r="A1811" s="879"/>
      <c r="B1811" s="1448" t="s">
        <v>1655</v>
      </c>
    </row>
    <row r="1812" spans="1:2" x14ac:dyDescent="0.25">
      <c r="A1812" s="879"/>
      <c r="B1812" s="1448" t="s">
        <v>2194</v>
      </c>
    </row>
    <row r="1813" spans="1:2" x14ac:dyDescent="0.25">
      <c r="A1813" s="879"/>
      <c r="B1813" s="1448" t="s">
        <v>1656</v>
      </c>
    </row>
    <row r="1814" spans="1:2" x14ac:dyDescent="0.25">
      <c r="A1814" s="879"/>
      <c r="B1814" s="1448" t="s">
        <v>1365</v>
      </c>
    </row>
    <row r="1815" spans="1:2" x14ac:dyDescent="0.25">
      <c r="A1815" s="879"/>
      <c r="B1815" s="1448" t="s">
        <v>1657</v>
      </c>
    </row>
    <row r="1816" spans="1:2" x14ac:dyDescent="0.25">
      <c r="A1816" s="879"/>
      <c r="B1816" s="1448" t="s">
        <v>1658</v>
      </c>
    </row>
    <row r="1817" spans="1:2" x14ac:dyDescent="0.25">
      <c r="A1817" s="879"/>
      <c r="B1817" s="1448" t="s">
        <v>1659</v>
      </c>
    </row>
    <row r="1818" spans="1:2" x14ac:dyDescent="0.25">
      <c r="A1818" s="879"/>
      <c r="B1818" s="1448" t="s">
        <v>1660</v>
      </c>
    </row>
    <row r="1819" spans="1:2" x14ac:dyDescent="0.25">
      <c r="A1819" s="879"/>
      <c r="B1819" s="1448" t="s">
        <v>1661</v>
      </c>
    </row>
    <row r="1820" spans="1:2" x14ac:dyDescent="0.25">
      <c r="A1820" s="879"/>
      <c r="B1820" s="1448" t="s">
        <v>1662</v>
      </c>
    </row>
    <row r="1821" spans="1:2" x14ac:dyDescent="0.25">
      <c r="A1821" s="879"/>
      <c r="B1821" s="1448" t="s">
        <v>1663</v>
      </c>
    </row>
    <row r="1822" spans="1:2" x14ac:dyDescent="0.25">
      <c r="A1822" s="879"/>
      <c r="B1822" s="1448" t="s">
        <v>1706</v>
      </c>
    </row>
    <row r="1823" spans="1:2" x14ac:dyDescent="0.25">
      <c r="A1823" s="879"/>
      <c r="B1823" s="1448" t="s">
        <v>1665</v>
      </c>
    </row>
    <row r="1824" spans="1:2" x14ac:dyDescent="0.25">
      <c r="A1824" s="879"/>
      <c r="B1824" s="1448" t="s">
        <v>1666</v>
      </c>
    </row>
    <row r="1825" spans="1:2" x14ac:dyDescent="0.25">
      <c r="A1825" s="879"/>
      <c r="B1825" s="1448" t="s">
        <v>1667</v>
      </c>
    </row>
    <row r="1826" spans="1:2" x14ac:dyDescent="0.25">
      <c r="A1826" s="879"/>
      <c r="B1826" s="1448" t="s">
        <v>1668</v>
      </c>
    </row>
    <row r="1827" spans="1:2" x14ac:dyDescent="0.25">
      <c r="A1827" s="879"/>
      <c r="B1827" s="1448" t="s">
        <v>1669</v>
      </c>
    </row>
    <row r="1828" spans="1:2" x14ac:dyDescent="0.25">
      <c r="A1828" s="879"/>
      <c r="B1828" s="1448" t="s">
        <v>1670</v>
      </c>
    </row>
    <row r="1829" spans="1:2" x14ac:dyDescent="0.25">
      <c r="A1829" s="879"/>
      <c r="B1829" s="1448" t="s">
        <v>1671</v>
      </c>
    </row>
    <row r="1830" spans="1:2" x14ac:dyDescent="0.25">
      <c r="A1830" s="879"/>
      <c r="B1830" s="1448" t="s">
        <v>1769</v>
      </c>
    </row>
    <row r="1831" spans="1:2" x14ac:dyDescent="0.25">
      <c r="A1831" s="879"/>
      <c r="B1831" s="1448" t="s">
        <v>1365</v>
      </c>
    </row>
    <row r="1832" spans="1:2" x14ac:dyDescent="0.25">
      <c r="A1832" s="879"/>
      <c r="B1832" s="1448" t="s">
        <v>1770</v>
      </c>
    </row>
    <row r="1833" spans="1:2" x14ac:dyDescent="0.25">
      <c r="A1833" s="879"/>
      <c r="B1833" s="1448" t="s">
        <v>2195</v>
      </c>
    </row>
    <row r="1834" spans="1:2" x14ac:dyDescent="0.25">
      <c r="A1834" s="879"/>
      <c r="B1834" s="1448" t="s">
        <v>1772</v>
      </c>
    </row>
    <row r="1835" spans="1:2" x14ac:dyDescent="0.25">
      <c r="A1835" s="879"/>
      <c r="B1835" s="1448" t="s">
        <v>1365</v>
      </c>
    </row>
    <row r="1836" spans="1:2" x14ac:dyDescent="0.25">
      <c r="A1836" s="879"/>
      <c r="B1836" s="1448" t="s">
        <v>1773</v>
      </c>
    </row>
    <row r="1837" spans="1:2" x14ac:dyDescent="0.25">
      <c r="A1837" s="879"/>
      <c r="B1837" s="1448"/>
    </row>
    <row r="1838" spans="1:2" x14ac:dyDescent="0.25">
      <c r="A1838" s="879"/>
      <c r="B1838" s="1448"/>
    </row>
    <row r="1839" spans="1:2" x14ac:dyDescent="0.25">
      <c r="A1839" s="879"/>
      <c r="B1839" s="1448" t="s">
        <v>1366</v>
      </c>
    </row>
    <row r="1840" spans="1:2" x14ac:dyDescent="0.25">
      <c r="A1840" s="879"/>
      <c r="B1840" s="1448" t="s">
        <v>2196</v>
      </c>
    </row>
    <row r="1841" spans="1:2" x14ac:dyDescent="0.25">
      <c r="A1841" s="879"/>
      <c r="B1841" s="1448" t="s">
        <v>1366</v>
      </c>
    </row>
    <row r="1842" spans="1:2" x14ac:dyDescent="0.25">
      <c r="A1842" s="879"/>
      <c r="B1842" s="1448" t="s">
        <v>1707</v>
      </c>
    </row>
    <row r="1843" spans="1:2" x14ac:dyDescent="0.25">
      <c r="A1843" s="879"/>
      <c r="B1843" s="1448" t="s">
        <v>1365</v>
      </c>
    </row>
    <row r="1844" spans="1:2" x14ac:dyDescent="0.25">
      <c r="A1844" s="879"/>
      <c r="B1844" s="1448" t="s">
        <v>1367</v>
      </c>
    </row>
    <row r="1845" spans="1:2" x14ac:dyDescent="0.25">
      <c r="A1845" s="879"/>
      <c r="B1845" s="1448" t="s">
        <v>1368</v>
      </c>
    </row>
    <row r="1846" spans="1:2" x14ac:dyDescent="0.25">
      <c r="A1846" s="879"/>
      <c r="B1846" s="1448" t="s">
        <v>1365</v>
      </c>
    </row>
    <row r="1847" spans="1:2" x14ac:dyDescent="0.25">
      <c r="A1847" s="879"/>
      <c r="B1847" s="1448" t="s">
        <v>1369</v>
      </c>
    </row>
    <row r="1848" spans="1:2" x14ac:dyDescent="0.25">
      <c r="A1848" s="879"/>
      <c r="B1848" s="1448" t="s">
        <v>1370</v>
      </c>
    </row>
    <row r="1849" spans="1:2" x14ac:dyDescent="0.25">
      <c r="A1849" s="879"/>
      <c r="B1849" s="1448" t="s">
        <v>1371</v>
      </c>
    </row>
    <row r="1850" spans="1:2" x14ac:dyDescent="0.25">
      <c r="A1850" s="879"/>
      <c r="B1850" s="1448" t="s">
        <v>1372</v>
      </c>
    </row>
    <row r="1851" spans="1:2" x14ac:dyDescent="0.25">
      <c r="A1851" s="879"/>
      <c r="B1851" s="1448" t="s">
        <v>1373</v>
      </c>
    </row>
    <row r="1852" spans="1:2" x14ac:dyDescent="0.25">
      <c r="A1852" s="879"/>
      <c r="B1852" s="1448" t="s">
        <v>1374</v>
      </c>
    </row>
    <row r="1853" spans="1:2" x14ac:dyDescent="0.25">
      <c r="A1853" s="879"/>
      <c r="B1853" s="1448" t="s">
        <v>1375</v>
      </c>
    </row>
    <row r="1854" spans="1:2" x14ac:dyDescent="0.25">
      <c r="A1854" s="879"/>
      <c r="B1854" s="1448" t="s">
        <v>1376</v>
      </c>
    </row>
    <row r="1855" spans="1:2" x14ac:dyDescent="0.25">
      <c r="A1855" s="879"/>
      <c r="B1855" s="1448" t="s">
        <v>1377</v>
      </c>
    </row>
    <row r="1856" spans="1:2" x14ac:dyDescent="0.25">
      <c r="A1856" s="879"/>
      <c r="B1856" s="1448" t="s">
        <v>1378</v>
      </c>
    </row>
    <row r="1857" spans="1:2" x14ac:dyDescent="0.25">
      <c r="A1857" s="879"/>
      <c r="B1857" s="1448" t="s">
        <v>1379</v>
      </c>
    </row>
    <row r="1858" spans="1:2" x14ac:dyDescent="0.25">
      <c r="A1858" s="879"/>
      <c r="B1858" s="1448" t="s">
        <v>1380</v>
      </c>
    </row>
    <row r="1859" spans="1:2" x14ac:dyDescent="0.25">
      <c r="A1859" s="879"/>
      <c r="B1859" s="1448" t="s">
        <v>1365</v>
      </c>
    </row>
    <row r="1860" spans="1:2" x14ac:dyDescent="0.25">
      <c r="A1860" s="879"/>
      <c r="B1860" s="1448" t="s">
        <v>1369</v>
      </c>
    </row>
    <row r="1861" spans="1:2" x14ac:dyDescent="0.25">
      <c r="A1861" s="879"/>
      <c r="B1861" s="1448" t="s">
        <v>1381</v>
      </c>
    </row>
    <row r="1862" spans="1:2" x14ac:dyDescent="0.25">
      <c r="A1862" s="879"/>
      <c r="B1862" s="1448" t="s">
        <v>1382</v>
      </c>
    </row>
    <row r="1863" spans="1:2" x14ac:dyDescent="0.25">
      <c r="A1863" s="879"/>
      <c r="B1863" s="1448" t="s">
        <v>1383</v>
      </c>
    </row>
    <row r="1864" spans="1:2" x14ac:dyDescent="0.25">
      <c r="A1864" s="879"/>
      <c r="B1864" s="1448" t="s">
        <v>1384</v>
      </c>
    </row>
    <row r="1865" spans="1:2" x14ac:dyDescent="0.25">
      <c r="A1865" s="879"/>
      <c r="B1865" s="1448" t="s">
        <v>1385</v>
      </c>
    </row>
    <row r="1866" spans="1:2" x14ac:dyDescent="0.25">
      <c r="A1866" s="879"/>
      <c r="B1866" s="1448" t="s">
        <v>1386</v>
      </c>
    </row>
    <row r="1867" spans="1:2" x14ac:dyDescent="0.25">
      <c r="A1867" s="879"/>
      <c r="B1867" s="1448" t="s">
        <v>1387</v>
      </c>
    </row>
    <row r="1868" spans="1:2" x14ac:dyDescent="0.25">
      <c r="A1868" s="879"/>
      <c r="B1868" s="1448" t="s">
        <v>1388</v>
      </c>
    </row>
    <row r="1869" spans="1:2" x14ac:dyDescent="0.25">
      <c r="A1869" s="879"/>
      <c r="B1869" s="1448" t="s">
        <v>1389</v>
      </c>
    </row>
    <row r="1870" spans="1:2" x14ac:dyDescent="0.25">
      <c r="A1870" s="879"/>
      <c r="B1870" s="1448" t="s">
        <v>1390</v>
      </c>
    </row>
    <row r="1871" spans="1:2" x14ac:dyDescent="0.25">
      <c r="A1871" s="879"/>
      <c r="B1871" s="1448" t="s">
        <v>1391</v>
      </c>
    </row>
    <row r="1872" spans="1:2" x14ac:dyDescent="0.25">
      <c r="A1872" s="879"/>
      <c r="B1872" s="1448" t="s">
        <v>1392</v>
      </c>
    </row>
    <row r="1873" spans="1:2" x14ac:dyDescent="0.25">
      <c r="A1873" s="879"/>
      <c r="B1873" s="1448" t="s">
        <v>1393</v>
      </c>
    </row>
    <row r="1874" spans="1:2" x14ac:dyDescent="0.25">
      <c r="A1874" s="879"/>
      <c r="B1874" s="1448" t="s">
        <v>1394</v>
      </c>
    </row>
    <row r="1875" spans="1:2" x14ac:dyDescent="0.25">
      <c r="A1875" s="879"/>
      <c r="B1875" s="1448" t="s">
        <v>1395</v>
      </c>
    </row>
    <row r="1876" spans="1:2" x14ac:dyDescent="0.25">
      <c r="A1876" s="879"/>
      <c r="B1876" s="1448" t="s">
        <v>1396</v>
      </c>
    </row>
    <row r="1877" spans="1:2" x14ac:dyDescent="0.25">
      <c r="A1877" s="879"/>
      <c r="B1877" s="1448" t="s">
        <v>1397</v>
      </c>
    </row>
    <row r="1878" spans="1:2" x14ac:dyDescent="0.25">
      <c r="A1878" s="879"/>
      <c r="B1878" s="1448" t="s">
        <v>1398</v>
      </c>
    </row>
    <row r="1879" spans="1:2" x14ac:dyDescent="0.25">
      <c r="A1879" s="879"/>
      <c r="B1879" s="1448" t="s">
        <v>1399</v>
      </c>
    </row>
    <row r="1880" spans="1:2" x14ac:dyDescent="0.25">
      <c r="A1880" s="879"/>
      <c r="B1880" s="1448" t="s">
        <v>1400</v>
      </c>
    </row>
    <row r="1881" spans="1:2" x14ac:dyDescent="0.25">
      <c r="A1881" s="879"/>
      <c r="B1881" s="1448" t="s">
        <v>1401</v>
      </c>
    </row>
    <row r="1882" spans="1:2" x14ac:dyDescent="0.25">
      <c r="A1882" s="879"/>
      <c r="B1882" s="1448" t="s">
        <v>1402</v>
      </c>
    </row>
    <row r="1883" spans="1:2" x14ac:dyDescent="0.25">
      <c r="A1883" s="879"/>
      <c r="B1883" s="1448" t="s">
        <v>1403</v>
      </c>
    </row>
    <row r="1884" spans="1:2" x14ac:dyDescent="0.25">
      <c r="A1884" s="879"/>
      <c r="B1884" s="1448" t="s">
        <v>1404</v>
      </c>
    </row>
    <row r="1885" spans="1:2" x14ac:dyDescent="0.25">
      <c r="A1885" s="879"/>
      <c r="B1885" s="1448" t="s">
        <v>1405</v>
      </c>
    </row>
    <row r="1886" spans="1:2" x14ac:dyDescent="0.25">
      <c r="A1886" s="879"/>
      <c r="B1886" s="1448" t="s">
        <v>1406</v>
      </c>
    </row>
    <row r="1887" spans="1:2" x14ac:dyDescent="0.25">
      <c r="A1887" s="879"/>
      <c r="B1887" s="1448" t="s">
        <v>1407</v>
      </c>
    </row>
    <row r="1888" spans="1:2" x14ac:dyDescent="0.25">
      <c r="A1888" s="879"/>
      <c r="B1888" s="1448" t="s">
        <v>1408</v>
      </c>
    </row>
    <row r="1889" spans="1:2" x14ac:dyDescent="0.25">
      <c r="A1889" s="879"/>
      <c r="B1889" s="1448" t="s">
        <v>1409</v>
      </c>
    </row>
    <row r="1890" spans="1:2" x14ac:dyDescent="0.25">
      <c r="A1890" s="879"/>
      <c r="B1890" s="1448" t="s">
        <v>1410</v>
      </c>
    </row>
    <row r="1891" spans="1:2" x14ac:dyDescent="0.25">
      <c r="A1891" s="879"/>
      <c r="B1891" s="1448" t="s">
        <v>1411</v>
      </c>
    </row>
    <row r="1892" spans="1:2" x14ac:dyDescent="0.25">
      <c r="A1892" s="879"/>
      <c r="B1892" s="1448" t="s">
        <v>1412</v>
      </c>
    </row>
    <row r="1893" spans="1:2" x14ac:dyDescent="0.25">
      <c r="A1893" s="879"/>
      <c r="B1893" s="1448" t="s">
        <v>1413</v>
      </c>
    </row>
    <row r="1894" spans="1:2" x14ac:dyDescent="0.25">
      <c r="A1894" s="879"/>
      <c r="B1894" s="1448" t="s">
        <v>1414</v>
      </c>
    </row>
    <row r="1895" spans="1:2" x14ac:dyDescent="0.25">
      <c r="A1895" s="879"/>
      <c r="B1895" s="1448" t="s">
        <v>1415</v>
      </c>
    </row>
    <row r="1896" spans="1:2" x14ac:dyDescent="0.25">
      <c r="A1896" s="879"/>
      <c r="B1896" s="1448" t="s">
        <v>1416</v>
      </c>
    </row>
    <row r="1897" spans="1:2" x14ac:dyDescent="0.25">
      <c r="A1897" s="879"/>
      <c r="B1897" s="1448" t="s">
        <v>1417</v>
      </c>
    </row>
    <row r="1898" spans="1:2" x14ac:dyDescent="0.25">
      <c r="A1898" s="879"/>
      <c r="B1898" s="1448" t="s">
        <v>1418</v>
      </c>
    </row>
    <row r="1899" spans="1:2" x14ac:dyDescent="0.25">
      <c r="A1899" s="879"/>
      <c r="B1899" s="1448" t="s">
        <v>1419</v>
      </c>
    </row>
    <row r="1900" spans="1:2" x14ac:dyDescent="0.25">
      <c r="A1900" s="879"/>
      <c r="B1900" s="1448" t="s">
        <v>1420</v>
      </c>
    </row>
    <row r="1901" spans="1:2" x14ac:dyDescent="0.25">
      <c r="A1901" s="879"/>
      <c r="B1901" s="1448" t="s">
        <v>1421</v>
      </c>
    </row>
    <row r="1902" spans="1:2" x14ac:dyDescent="0.25">
      <c r="A1902" s="879"/>
      <c r="B1902" s="1448" t="s">
        <v>1422</v>
      </c>
    </row>
    <row r="1903" spans="1:2" x14ac:dyDescent="0.25">
      <c r="A1903" s="879"/>
      <c r="B1903" s="1448" t="s">
        <v>1423</v>
      </c>
    </row>
    <row r="1904" spans="1:2" x14ac:dyDescent="0.25">
      <c r="A1904" s="879"/>
      <c r="B1904" s="1448" t="s">
        <v>1424</v>
      </c>
    </row>
    <row r="1905" spans="1:2" x14ac:dyDescent="0.25">
      <c r="A1905" s="879"/>
      <c r="B1905" s="1448" t="s">
        <v>1425</v>
      </c>
    </row>
    <row r="1906" spans="1:2" x14ac:dyDescent="0.25">
      <c r="A1906" s="879"/>
      <c r="B1906" s="1448" t="s">
        <v>1426</v>
      </c>
    </row>
    <row r="1907" spans="1:2" x14ac:dyDescent="0.25">
      <c r="A1907" s="879"/>
      <c r="B1907" s="1448" t="s">
        <v>1427</v>
      </c>
    </row>
    <row r="1908" spans="1:2" x14ac:dyDescent="0.25">
      <c r="A1908" s="879"/>
      <c r="B1908" s="1448" t="s">
        <v>1428</v>
      </c>
    </row>
    <row r="1909" spans="1:2" x14ac:dyDescent="0.25">
      <c r="A1909" s="879"/>
      <c r="B1909" s="1448" t="s">
        <v>1365</v>
      </c>
    </row>
    <row r="1910" spans="1:2" x14ac:dyDescent="0.25">
      <c r="A1910" s="879"/>
      <c r="B1910" s="1448" t="s">
        <v>1429</v>
      </c>
    </row>
    <row r="1911" spans="1:2" x14ac:dyDescent="0.25">
      <c r="A1911" s="879"/>
      <c r="B1911" s="1448" t="s">
        <v>1769</v>
      </c>
    </row>
    <row r="1912" spans="1:2" x14ac:dyDescent="0.25">
      <c r="A1912" s="879"/>
      <c r="B1912" s="1448" t="s">
        <v>1365</v>
      </c>
    </row>
    <row r="1913" spans="1:2" x14ac:dyDescent="0.25">
      <c r="A1913" s="879"/>
      <c r="B1913" s="1448" t="s">
        <v>1770</v>
      </c>
    </row>
    <row r="1914" spans="1:2" x14ac:dyDescent="0.25">
      <c r="A1914" s="879"/>
      <c r="B1914" s="1448" t="s">
        <v>1365</v>
      </c>
    </row>
    <row r="1915" spans="1:2" x14ac:dyDescent="0.25">
      <c r="A1915" s="879"/>
      <c r="B1915" s="1448" t="s">
        <v>1772</v>
      </c>
    </row>
    <row r="1916" spans="1:2" x14ac:dyDescent="0.25">
      <c r="A1916" s="879"/>
      <c r="B1916" s="1448" t="s">
        <v>1365</v>
      </c>
    </row>
    <row r="1917" spans="1:2" x14ac:dyDescent="0.25">
      <c r="A1917" s="879"/>
      <c r="B1917" s="1448" t="s">
        <v>1773</v>
      </c>
    </row>
    <row r="1918" spans="1:2" x14ac:dyDescent="0.25">
      <c r="A1918" s="879"/>
      <c r="B1918" s="1448"/>
    </row>
    <row r="1919" spans="1:2" x14ac:dyDescent="0.25">
      <c r="A1919" s="879"/>
      <c r="B1919" s="1448"/>
    </row>
    <row r="1920" spans="1:2" x14ac:dyDescent="0.25">
      <c r="A1920" s="879"/>
      <c r="B1920" s="1448" t="s">
        <v>1366</v>
      </c>
    </row>
    <row r="1921" spans="1:2" x14ac:dyDescent="0.25">
      <c r="A1921" s="879"/>
      <c r="B1921" s="1448" t="s">
        <v>2197</v>
      </c>
    </row>
    <row r="1922" spans="1:2" x14ac:dyDescent="0.25">
      <c r="A1922" s="879"/>
      <c r="B1922" s="1448" t="s">
        <v>1366</v>
      </c>
    </row>
    <row r="1923" spans="1:2" x14ac:dyDescent="0.25">
      <c r="A1923" s="879"/>
      <c r="B1923" s="1448" t="s">
        <v>1708</v>
      </c>
    </row>
    <row r="1924" spans="1:2" x14ac:dyDescent="0.25">
      <c r="A1924" s="879"/>
      <c r="B1924" s="1448" t="s">
        <v>1365</v>
      </c>
    </row>
    <row r="1925" spans="1:2" x14ac:dyDescent="0.25">
      <c r="A1925" s="879"/>
      <c r="B1925" s="1448" t="s">
        <v>1367</v>
      </c>
    </row>
    <row r="1926" spans="1:2" x14ac:dyDescent="0.25">
      <c r="A1926" s="879"/>
      <c r="B1926" s="1448" t="s">
        <v>1368</v>
      </c>
    </row>
    <row r="1927" spans="1:2" x14ac:dyDescent="0.25">
      <c r="A1927" s="879"/>
      <c r="B1927" s="1448" t="s">
        <v>1365</v>
      </c>
    </row>
    <row r="1928" spans="1:2" x14ac:dyDescent="0.25">
      <c r="A1928" s="879"/>
      <c r="B1928" s="1448" t="s">
        <v>1369</v>
      </c>
    </row>
    <row r="1929" spans="1:2" x14ac:dyDescent="0.25">
      <c r="A1929" s="879"/>
      <c r="B1929" s="1448" t="s">
        <v>1370</v>
      </c>
    </row>
    <row r="1930" spans="1:2" x14ac:dyDescent="0.25">
      <c r="A1930" s="879"/>
      <c r="B1930" s="1448" t="s">
        <v>1371</v>
      </c>
    </row>
    <row r="1931" spans="1:2" x14ac:dyDescent="0.25">
      <c r="A1931" s="879"/>
      <c r="B1931" s="1448" t="s">
        <v>1372</v>
      </c>
    </row>
    <row r="1932" spans="1:2" x14ac:dyDescent="0.25">
      <c r="A1932" s="879"/>
      <c r="B1932" s="1448" t="s">
        <v>1373</v>
      </c>
    </row>
    <row r="1933" spans="1:2" x14ac:dyDescent="0.25">
      <c r="A1933" s="879"/>
      <c r="B1933" s="1448" t="s">
        <v>1374</v>
      </c>
    </row>
    <row r="1934" spans="1:2" x14ac:dyDescent="0.25">
      <c r="A1934" s="879"/>
      <c r="B1934" s="1448" t="s">
        <v>1375</v>
      </c>
    </row>
    <row r="1935" spans="1:2" x14ac:dyDescent="0.25">
      <c r="A1935" s="879"/>
      <c r="B1935" s="1448" t="s">
        <v>1376</v>
      </c>
    </row>
    <row r="1936" spans="1:2" x14ac:dyDescent="0.25">
      <c r="A1936" s="879"/>
      <c r="B1936" s="1448" t="s">
        <v>1377</v>
      </c>
    </row>
    <row r="1937" spans="1:2" x14ac:dyDescent="0.25">
      <c r="A1937" s="879"/>
      <c r="B1937" s="1448" t="s">
        <v>1378</v>
      </c>
    </row>
    <row r="1938" spans="1:2" x14ac:dyDescent="0.25">
      <c r="A1938" s="879"/>
      <c r="B1938" s="1448" t="s">
        <v>1379</v>
      </c>
    </row>
    <row r="1939" spans="1:2" x14ac:dyDescent="0.25">
      <c r="A1939" s="879"/>
      <c r="B1939" s="1448" t="s">
        <v>1380</v>
      </c>
    </row>
    <row r="1940" spans="1:2" x14ac:dyDescent="0.25">
      <c r="A1940" s="879"/>
      <c r="B1940" s="1448" t="s">
        <v>1365</v>
      </c>
    </row>
    <row r="1941" spans="1:2" x14ac:dyDescent="0.25">
      <c r="A1941" s="879"/>
      <c r="B1941" s="1448" t="s">
        <v>1369</v>
      </c>
    </row>
    <row r="1942" spans="1:2" x14ac:dyDescent="0.25">
      <c r="A1942" s="879"/>
      <c r="B1942" s="1448" t="s">
        <v>1381</v>
      </c>
    </row>
    <row r="1943" spans="1:2" x14ac:dyDescent="0.25">
      <c r="A1943" s="879"/>
      <c r="B1943" s="1448" t="s">
        <v>1382</v>
      </c>
    </row>
    <row r="1944" spans="1:2" x14ac:dyDescent="0.25">
      <c r="A1944" s="879"/>
      <c r="B1944" s="1448" t="s">
        <v>1383</v>
      </c>
    </row>
    <row r="1945" spans="1:2" x14ac:dyDescent="0.25">
      <c r="A1945" s="879"/>
      <c r="B1945" s="1448" t="s">
        <v>1384</v>
      </c>
    </row>
    <row r="1946" spans="1:2" x14ac:dyDescent="0.25">
      <c r="A1946" s="879"/>
      <c r="B1946" s="1448" t="s">
        <v>1385</v>
      </c>
    </row>
    <row r="1947" spans="1:2" x14ac:dyDescent="0.25">
      <c r="A1947" s="879"/>
      <c r="B1947" s="1448" t="s">
        <v>1386</v>
      </c>
    </row>
    <row r="1948" spans="1:2" x14ac:dyDescent="0.25">
      <c r="A1948" s="879"/>
      <c r="B1948" s="1448" t="s">
        <v>1387</v>
      </c>
    </row>
    <row r="1949" spans="1:2" x14ac:dyDescent="0.25">
      <c r="A1949" s="879"/>
      <c r="B1949" s="1448" t="s">
        <v>1388</v>
      </c>
    </row>
    <row r="1950" spans="1:2" x14ac:dyDescent="0.25">
      <c r="A1950" s="879"/>
      <c r="B1950" s="1448" t="s">
        <v>1389</v>
      </c>
    </row>
    <row r="1951" spans="1:2" x14ac:dyDescent="0.25">
      <c r="A1951" s="879"/>
      <c r="B1951" s="1448" t="s">
        <v>1390</v>
      </c>
    </row>
    <row r="1952" spans="1:2" x14ac:dyDescent="0.25">
      <c r="A1952" s="879"/>
      <c r="B1952" s="1448" t="s">
        <v>1391</v>
      </c>
    </row>
    <row r="1953" spans="1:2" x14ac:dyDescent="0.25">
      <c r="A1953" s="879"/>
      <c r="B1953" s="1448" t="s">
        <v>1392</v>
      </c>
    </row>
    <row r="1954" spans="1:2" x14ac:dyDescent="0.25">
      <c r="A1954" s="879"/>
      <c r="B1954" s="1448" t="s">
        <v>1393</v>
      </c>
    </row>
    <row r="1955" spans="1:2" x14ac:dyDescent="0.25">
      <c r="A1955" s="879"/>
      <c r="B1955" s="1448" t="s">
        <v>1394</v>
      </c>
    </row>
    <row r="1956" spans="1:2" x14ac:dyDescent="0.25">
      <c r="A1956" s="879"/>
      <c r="B1956" s="1448" t="s">
        <v>1395</v>
      </c>
    </row>
    <row r="1957" spans="1:2" x14ac:dyDescent="0.25">
      <c r="A1957" s="879"/>
      <c r="B1957" s="1448" t="s">
        <v>1396</v>
      </c>
    </row>
    <row r="1958" spans="1:2" x14ac:dyDescent="0.25">
      <c r="A1958" s="879"/>
      <c r="B1958" s="1448" t="s">
        <v>1397</v>
      </c>
    </row>
    <row r="1959" spans="1:2" x14ac:dyDescent="0.25">
      <c r="A1959" s="879"/>
      <c r="B1959" s="1448" t="s">
        <v>1398</v>
      </c>
    </row>
    <row r="1960" spans="1:2" x14ac:dyDescent="0.25">
      <c r="A1960" s="879"/>
      <c r="B1960" s="1448" t="s">
        <v>1399</v>
      </c>
    </row>
    <row r="1961" spans="1:2" x14ac:dyDescent="0.25">
      <c r="A1961" s="879"/>
      <c r="B1961" s="1448" t="s">
        <v>1400</v>
      </c>
    </row>
    <row r="1962" spans="1:2" x14ac:dyDescent="0.25">
      <c r="A1962" s="879"/>
      <c r="B1962" s="1448" t="s">
        <v>1401</v>
      </c>
    </row>
    <row r="1963" spans="1:2" x14ac:dyDescent="0.25">
      <c r="A1963" s="879"/>
      <c r="B1963" s="1448" t="s">
        <v>1402</v>
      </c>
    </row>
    <row r="1964" spans="1:2" x14ac:dyDescent="0.25">
      <c r="A1964" s="879"/>
      <c r="B1964" s="1448" t="s">
        <v>1403</v>
      </c>
    </row>
    <row r="1965" spans="1:2" x14ac:dyDescent="0.25">
      <c r="A1965" s="879"/>
      <c r="B1965" s="1448" t="s">
        <v>1404</v>
      </c>
    </row>
    <row r="1966" spans="1:2" x14ac:dyDescent="0.25">
      <c r="A1966" s="879"/>
      <c r="B1966" s="1448" t="s">
        <v>1405</v>
      </c>
    </row>
    <row r="1967" spans="1:2" x14ac:dyDescent="0.25">
      <c r="A1967" s="879"/>
      <c r="B1967" s="1448" t="s">
        <v>1406</v>
      </c>
    </row>
    <row r="1968" spans="1:2" x14ac:dyDescent="0.25">
      <c r="A1968" s="879"/>
      <c r="B1968" s="1448" t="s">
        <v>1407</v>
      </c>
    </row>
    <row r="1969" spans="1:2" x14ac:dyDescent="0.25">
      <c r="A1969" s="879"/>
      <c r="B1969" s="1448" t="s">
        <v>1408</v>
      </c>
    </row>
    <row r="1970" spans="1:2" x14ac:dyDescent="0.25">
      <c r="A1970" s="879"/>
      <c r="B1970" s="1448" t="s">
        <v>1409</v>
      </c>
    </row>
    <row r="1971" spans="1:2" x14ac:dyDescent="0.25">
      <c r="A1971" s="879"/>
      <c r="B1971" s="1448" t="s">
        <v>1410</v>
      </c>
    </row>
    <row r="1972" spans="1:2" x14ac:dyDescent="0.25">
      <c r="A1972" s="879"/>
      <c r="B1972" s="1448" t="s">
        <v>1411</v>
      </c>
    </row>
    <row r="1973" spans="1:2" x14ac:dyDescent="0.25">
      <c r="A1973" s="879"/>
      <c r="B1973" s="1448" t="s">
        <v>1412</v>
      </c>
    </row>
    <row r="1974" spans="1:2" x14ac:dyDescent="0.25">
      <c r="A1974" s="879"/>
      <c r="B1974" s="1448" t="s">
        <v>1413</v>
      </c>
    </row>
    <row r="1975" spans="1:2" x14ac:dyDescent="0.25">
      <c r="A1975" s="879"/>
      <c r="B1975" s="1448" t="s">
        <v>1414</v>
      </c>
    </row>
    <row r="1976" spans="1:2" x14ac:dyDescent="0.25">
      <c r="A1976" s="879"/>
      <c r="B1976" s="1448" t="s">
        <v>1415</v>
      </c>
    </row>
    <row r="1977" spans="1:2" x14ac:dyDescent="0.25">
      <c r="A1977" s="879"/>
      <c r="B1977" s="1448" t="s">
        <v>1416</v>
      </c>
    </row>
    <row r="1978" spans="1:2" x14ac:dyDescent="0.25">
      <c r="A1978" s="879"/>
      <c r="B1978" s="1448" t="s">
        <v>1417</v>
      </c>
    </row>
    <row r="1979" spans="1:2" x14ac:dyDescent="0.25">
      <c r="A1979" s="879"/>
      <c r="B1979" s="1448" t="s">
        <v>1418</v>
      </c>
    </row>
    <row r="1980" spans="1:2" x14ac:dyDescent="0.25">
      <c r="A1980" s="879"/>
      <c r="B1980" s="1448" t="s">
        <v>1419</v>
      </c>
    </row>
    <row r="1981" spans="1:2" x14ac:dyDescent="0.25">
      <c r="A1981" s="879"/>
      <c r="B1981" s="1448" t="s">
        <v>1420</v>
      </c>
    </row>
    <row r="1982" spans="1:2" x14ac:dyDescent="0.25">
      <c r="A1982" s="879"/>
      <c r="B1982" s="1448" t="s">
        <v>1421</v>
      </c>
    </row>
    <row r="1983" spans="1:2" x14ac:dyDescent="0.25">
      <c r="A1983" s="879"/>
      <c r="B1983" s="1448" t="s">
        <v>1422</v>
      </c>
    </row>
    <row r="1984" spans="1:2" x14ac:dyDescent="0.25">
      <c r="A1984" s="879"/>
      <c r="B1984" s="1448" t="s">
        <v>1423</v>
      </c>
    </row>
    <row r="1985" spans="1:2" x14ac:dyDescent="0.25">
      <c r="A1985" s="879"/>
      <c r="B1985" s="1448" t="s">
        <v>1424</v>
      </c>
    </row>
    <row r="1986" spans="1:2" x14ac:dyDescent="0.25">
      <c r="A1986" s="879"/>
      <c r="B1986" s="1448" t="s">
        <v>1425</v>
      </c>
    </row>
    <row r="1987" spans="1:2" x14ac:dyDescent="0.25">
      <c r="A1987" s="879"/>
      <c r="B1987" s="1448" t="s">
        <v>1426</v>
      </c>
    </row>
    <row r="1988" spans="1:2" x14ac:dyDescent="0.25">
      <c r="A1988" s="879"/>
      <c r="B1988" s="1448" t="s">
        <v>1427</v>
      </c>
    </row>
    <row r="1989" spans="1:2" x14ac:dyDescent="0.25">
      <c r="A1989" s="879"/>
      <c r="B1989" s="1448" t="s">
        <v>1428</v>
      </c>
    </row>
    <row r="1990" spans="1:2" x14ac:dyDescent="0.25">
      <c r="A1990" s="879"/>
      <c r="B1990" s="1448" t="s">
        <v>1365</v>
      </c>
    </row>
    <row r="1991" spans="1:2" x14ac:dyDescent="0.25">
      <c r="A1991" s="879"/>
      <c r="B1991" s="1448" t="s">
        <v>1429</v>
      </c>
    </row>
    <row r="1992" spans="1:2" x14ac:dyDescent="0.25">
      <c r="A1992" s="879"/>
      <c r="B1992" s="1448" t="s">
        <v>1769</v>
      </c>
    </row>
    <row r="1993" spans="1:2" x14ac:dyDescent="0.25">
      <c r="A1993" s="879"/>
      <c r="B1993" s="1448" t="s">
        <v>1365</v>
      </c>
    </row>
    <row r="1994" spans="1:2" x14ac:dyDescent="0.25">
      <c r="A1994" s="879"/>
      <c r="B1994" s="1448" t="s">
        <v>1770</v>
      </c>
    </row>
    <row r="1995" spans="1:2" x14ac:dyDescent="0.25">
      <c r="A1995" s="879"/>
      <c r="B1995" s="1448" t="s">
        <v>1365</v>
      </c>
    </row>
    <row r="1996" spans="1:2" x14ac:dyDescent="0.25">
      <c r="A1996" s="879"/>
      <c r="B1996" s="1448" t="s">
        <v>1772</v>
      </c>
    </row>
    <row r="1997" spans="1:2" x14ac:dyDescent="0.25">
      <c r="A1997" s="879"/>
      <c r="B1997" s="1448" t="s">
        <v>1365</v>
      </c>
    </row>
    <row r="1998" spans="1:2" x14ac:dyDescent="0.25">
      <c r="A1998" s="879"/>
      <c r="B1998" s="1448" t="s">
        <v>1773</v>
      </c>
    </row>
    <row r="1999" spans="1:2" x14ac:dyDescent="0.25">
      <c r="A1999" s="879"/>
      <c r="B1999" s="1448"/>
    </row>
    <row r="2000" spans="1:2" x14ac:dyDescent="0.25">
      <c r="A2000" s="879"/>
      <c r="B2000" s="1448"/>
    </row>
    <row r="2001" spans="1:2" x14ac:dyDescent="0.25">
      <c r="A2001" s="879"/>
      <c r="B2001" s="1448" t="s">
        <v>1366</v>
      </c>
    </row>
    <row r="2002" spans="1:2" x14ac:dyDescent="0.25">
      <c r="A2002" s="879"/>
      <c r="B2002" s="1448" t="s">
        <v>2198</v>
      </c>
    </row>
    <row r="2003" spans="1:2" x14ac:dyDescent="0.25">
      <c r="A2003" s="879"/>
      <c r="B2003" s="1448" t="s">
        <v>1366</v>
      </c>
    </row>
    <row r="2004" spans="1:2" x14ac:dyDescent="0.25">
      <c r="A2004" s="879"/>
      <c r="B2004" s="1448" t="s">
        <v>1709</v>
      </c>
    </row>
    <row r="2005" spans="1:2" x14ac:dyDescent="0.25">
      <c r="A2005" s="879"/>
      <c r="B2005" s="1448" t="s">
        <v>1365</v>
      </c>
    </row>
    <row r="2006" spans="1:2" x14ac:dyDescent="0.25">
      <c r="A2006" s="879"/>
      <c r="B2006" s="1448" t="s">
        <v>1367</v>
      </c>
    </row>
    <row r="2007" spans="1:2" x14ac:dyDescent="0.25">
      <c r="A2007" s="879"/>
      <c r="B2007" s="1448" t="s">
        <v>1368</v>
      </c>
    </row>
    <row r="2008" spans="1:2" x14ac:dyDescent="0.25">
      <c r="A2008" s="879"/>
      <c r="B2008" s="1448" t="s">
        <v>1365</v>
      </c>
    </row>
    <row r="2009" spans="1:2" x14ac:dyDescent="0.25">
      <c r="A2009" s="879"/>
      <c r="B2009" s="1448" t="s">
        <v>1369</v>
      </c>
    </row>
    <row r="2010" spans="1:2" x14ac:dyDescent="0.25">
      <c r="A2010" s="879"/>
      <c r="B2010" s="1448" t="s">
        <v>1370</v>
      </c>
    </row>
    <row r="2011" spans="1:2" x14ac:dyDescent="0.25">
      <c r="A2011" s="879"/>
      <c r="B2011" s="1448" t="s">
        <v>1371</v>
      </c>
    </row>
    <row r="2012" spans="1:2" x14ac:dyDescent="0.25">
      <c r="A2012" s="879"/>
      <c r="B2012" s="1448" t="s">
        <v>1372</v>
      </c>
    </row>
    <row r="2013" spans="1:2" x14ac:dyDescent="0.25">
      <c r="A2013" s="879"/>
      <c r="B2013" s="1448" t="s">
        <v>1373</v>
      </c>
    </row>
    <row r="2014" spans="1:2" x14ac:dyDescent="0.25">
      <c r="A2014" s="879"/>
      <c r="B2014" s="1448" t="s">
        <v>1374</v>
      </c>
    </row>
    <row r="2015" spans="1:2" x14ac:dyDescent="0.25">
      <c r="A2015" s="879"/>
      <c r="B2015" s="1448" t="s">
        <v>1375</v>
      </c>
    </row>
    <row r="2016" spans="1:2" x14ac:dyDescent="0.25">
      <c r="A2016" s="879"/>
      <c r="B2016" s="1448" t="s">
        <v>1376</v>
      </c>
    </row>
    <row r="2017" spans="1:2" x14ac:dyDescent="0.25">
      <c r="A2017" s="879"/>
      <c r="B2017" s="1448" t="s">
        <v>1377</v>
      </c>
    </row>
    <row r="2018" spans="1:2" x14ac:dyDescent="0.25">
      <c r="A2018" s="879"/>
      <c r="B2018" s="1448" t="s">
        <v>1378</v>
      </c>
    </row>
    <row r="2019" spans="1:2" x14ac:dyDescent="0.25">
      <c r="A2019" s="879"/>
      <c r="B2019" s="1448" t="s">
        <v>1379</v>
      </c>
    </row>
    <row r="2020" spans="1:2" x14ac:dyDescent="0.25">
      <c r="A2020" s="879"/>
      <c r="B2020" s="1448" t="s">
        <v>1380</v>
      </c>
    </row>
    <row r="2021" spans="1:2" x14ac:dyDescent="0.25">
      <c r="A2021" s="879"/>
      <c r="B2021" s="1448" t="s">
        <v>1365</v>
      </c>
    </row>
    <row r="2022" spans="1:2" x14ac:dyDescent="0.25">
      <c r="A2022" s="879"/>
      <c r="B2022" s="1448" t="s">
        <v>1369</v>
      </c>
    </row>
    <row r="2023" spans="1:2" x14ac:dyDescent="0.25">
      <c r="A2023" s="879"/>
      <c r="B2023" s="1448" t="s">
        <v>1381</v>
      </c>
    </row>
    <row r="2024" spans="1:2" x14ac:dyDescent="0.25">
      <c r="A2024" s="879"/>
      <c r="B2024" s="1448" t="s">
        <v>1382</v>
      </c>
    </row>
    <row r="2025" spans="1:2" x14ac:dyDescent="0.25">
      <c r="A2025" s="879"/>
      <c r="B2025" s="1448" t="s">
        <v>1383</v>
      </c>
    </row>
    <row r="2026" spans="1:2" x14ac:dyDescent="0.25">
      <c r="A2026" s="879"/>
      <c r="B2026" s="1448" t="s">
        <v>1384</v>
      </c>
    </row>
    <row r="2027" spans="1:2" x14ac:dyDescent="0.25">
      <c r="A2027" s="879"/>
      <c r="B2027" s="1448" t="s">
        <v>1385</v>
      </c>
    </row>
    <row r="2028" spans="1:2" x14ac:dyDescent="0.25">
      <c r="A2028" s="879"/>
      <c r="B2028" s="1448" t="s">
        <v>1386</v>
      </c>
    </row>
    <row r="2029" spans="1:2" x14ac:dyDescent="0.25">
      <c r="A2029" s="879"/>
      <c r="B2029" s="1448" t="s">
        <v>1387</v>
      </c>
    </row>
    <row r="2030" spans="1:2" x14ac:dyDescent="0.25">
      <c r="A2030" s="879"/>
      <c r="B2030" s="1448" t="s">
        <v>1388</v>
      </c>
    </row>
    <row r="2031" spans="1:2" x14ac:dyDescent="0.25">
      <c r="A2031" s="879"/>
      <c r="B2031" s="1448" t="s">
        <v>1389</v>
      </c>
    </row>
    <row r="2032" spans="1:2" x14ac:dyDescent="0.25">
      <c r="A2032" s="879"/>
      <c r="B2032" s="1448" t="s">
        <v>1390</v>
      </c>
    </row>
    <row r="2033" spans="1:2" x14ac:dyDescent="0.25">
      <c r="A2033" s="879"/>
      <c r="B2033" s="1448" t="s">
        <v>1391</v>
      </c>
    </row>
    <row r="2034" spans="1:2" x14ac:dyDescent="0.25">
      <c r="A2034" s="879"/>
      <c r="B2034" s="1448" t="s">
        <v>1392</v>
      </c>
    </row>
    <row r="2035" spans="1:2" x14ac:dyDescent="0.25">
      <c r="A2035" s="879"/>
      <c r="B2035" s="1448" t="s">
        <v>1393</v>
      </c>
    </row>
    <row r="2036" spans="1:2" x14ac:dyDescent="0.25">
      <c r="A2036" s="879"/>
      <c r="B2036" s="1448" t="s">
        <v>1394</v>
      </c>
    </row>
    <row r="2037" spans="1:2" x14ac:dyDescent="0.25">
      <c r="A2037" s="879"/>
      <c r="B2037" s="1448" t="s">
        <v>1395</v>
      </c>
    </row>
    <row r="2038" spans="1:2" x14ac:dyDescent="0.25">
      <c r="A2038" s="879"/>
      <c r="B2038" s="1448" t="s">
        <v>1396</v>
      </c>
    </row>
    <row r="2039" spans="1:2" x14ac:dyDescent="0.25">
      <c r="A2039" s="879"/>
      <c r="B2039" s="1448" t="s">
        <v>1397</v>
      </c>
    </row>
    <row r="2040" spans="1:2" x14ac:dyDescent="0.25">
      <c r="A2040" s="879"/>
      <c r="B2040" s="1448" t="s">
        <v>1398</v>
      </c>
    </row>
    <row r="2041" spans="1:2" x14ac:dyDescent="0.25">
      <c r="A2041" s="879"/>
      <c r="B2041" s="1448" t="s">
        <v>1399</v>
      </c>
    </row>
    <row r="2042" spans="1:2" x14ac:dyDescent="0.25">
      <c r="A2042" s="879"/>
      <c r="B2042" s="1448" t="s">
        <v>1400</v>
      </c>
    </row>
    <row r="2043" spans="1:2" x14ac:dyDescent="0.25">
      <c r="A2043" s="879"/>
      <c r="B2043" s="1448" t="s">
        <v>1401</v>
      </c>
    </row>
    <row r="2044" spans="1:2" x14ac:dyDescent="0.25">
      <c r="A2044" s="879"/>
      <c r="B2044" s="1448" t="s">
        <v>1402</v>
      </c>
    </row>
    <row r="2045" spans="1:2" x14ac:dyDescent="0.25">
      <c r="A2045" s="879"/>
      <c r="B2045" s="1448" t="s">
        <v>1403</v>
      </c>
    </row>
    <row r="2046" spans="1:2" x14ac:dyDescent="0.25">
      <c r="A2046" s="879"/>
      <c r="B2046" s="1448" t="s">
        <v>1404</v>
      </c>
    </row>
    <row r="2047" spans="1:2" x14ac:dyDescent="0.25">
      <c r="A2047" s="879"/>
      <c r="B2047" s="1448" t="s">
        <v>1405</v>
      </c>
    </row>
    <row r="2048" spans="1:2" x14ac:dyDescent="0.25">
      <c r="A2048" s="879"/>
      <c r="B2048" s="1448" t="s">
        <v>1406</v>
      </c>
    </row>
    <row r="2049" spans="1:2" x14ac:dyDescent="0.25">
      <c r="A2049" s="879"/>
      <c r="B2049" s="1448" t="s">
        <v>1407</v>
      </c>
    </row>
    <row r="2050" spans="1:2" x14ac:dyDescent="0.25">
      <c r="A2050" s="879"/>
      <c r="B2050" s="1448" t="s">
        <v>1408</v>
      </c>
    </row>
    <row r="2051" spans="1:2" x14ac:dyDescent="0.25">
      <c r="A2051" s="879"/>
      <c r="B2051" s="1448" t="s">
        <v>1409</v>
      </c>
    </row>
    <row r="2052" spans="1:2" x14ac:dyDescent="0.25">
      <c r="A2052" s="879"/>
      <c r="B2052" s="1448" t="s">
        <v>1410</v>
      </c>
    </row>
    <row r="2053" spans="1:2" x14ac:dyDescent="0.25">
      <c r="A2053" s="879"/>
      <c r="B2053" s="1448" t="s">
        <v>1411</v>
      </c>
    </row>
    <row r="2054" spans="1:2" x14ac:dyDescent="0.25">
      <c r="A2054" s="879"/>
      <c r="B2054" s="1448" t="s">
        <v>1412</v>
      </c>
    </row>
    <row r="2055" spans="1:2" x14ac:dyDescent="0.25">
      <c r="A2055" s="879"/>
      <c r="B2055" s="1448" t="s">
        <v>1413</v>
      </c>
    </row>
    <row r="2056" spans="1:2" x14ac:dyDescent="0.25">
      <c r="A2056" s="879"/>
      <c r="B2056" s="1448" t="s">
        <v>1414</v>
      </c>
    </row>
    <row r="2057" spans="1:2" x14ac:dyDescent="0.25">
      <c r="A2057" s="879"/>
      <c r="B2057" s="1448" t="s">
        <v>1415</v>
      </c>
    </row>
    <row r="2058" spans="1:2" x14ac:dyDescent="0.25">
      <c r="A2058" s="879"/>
      <c r="B2058" s="1448" t="s">
        <v>1416</v>
      </c>
    </row>
    <row r="2059" spans="1:2" x14ac:dyDescent="0.25">
      <c r="A2059" s="879"/>
      <c r="B2059" s="1448" t="s">
        <v>1417</v>
      </c>
    </row>
    <row r="2060" spans="1:2" x14ac:dyDescent="0.25">
      <c r="A2060" s="879"/>
      <c r="B2060" s="1448" t="s">
        <v>1418</v>
      </c>
    </row>
    <row r="2061" spans="1:2" x14ac:dyDescent="0.25">
      <c r="A2061" s="879"/>
      <c r="B2061" s="1448" t="s">
        <v>1419</v>
      </c>
    </row>
    <row r="2062" spans="1:2" x14ac:dyDescent="0.25">
      <c r="A2062" s="879"/>
      <c r="B2062" s="1448" t="s">
        <v>1420</v>
      </c>
    </row>
    <row r="2063" spans="1:2" x14ac:dyDescent="0.25">
      <c r="A2063" s="879"/>
      <c r="B2063" s="1448" t="s">
        <v>1421</v>
      </c>
    </row>
    <row r="2064" spans="1:2" x14ac:dyDescent="0.25">
      <c r="A2064" s="879"/>
      <c r="B2064" s="1448" t="s">
        <v>1422</v>
      </c>
    </row>
    <row r="2065" spans="1:2" x14ac:dyDescent="0.25">
      <c r="A2065" s="879"/>
      <c r="B2065" s="1448" t="s">
        <v>1423</v>
      </c>
    </row>
    <row r="2066" spans="1:2" x14ac:dyDescent="0.25">
      <c r="A2066" s="879"/>
      <c r="B2066" s="1448" t="s">
        <v>1424</v>
      </c>
    </row>
    <row r="2067" spans="1:2" x14ac:dyDescent="0.25">
      <c r="A2067" s="879"/>
      <c r="B2067" s="1448" t="s">
        <v>1425</v>
      </c>
    </row>
    <row r="2068" spans="1:2" x14ac:dyDescent="0.25">
      <c r="A2068" s="879"/>
      <c r="B2068" s="1448" t="s">
        <v>1426</v>
      </c>
    </row>
    <row r="2069" spans="1:2" x14ac:dyDescent="0.25">
      <c r="A2069" s="879"/>
      <c r="B2069" s="1448" t="s">
        <v>1427</v>
      </c>
    </row>
    <row r="2070" spans="1:2" x14ac:dyDescent="0.25">
      <c r="A2070" s="879"/>
      <c r="B2070" s="1448" t="s">
        <v>1428</v>
      </c>
    </row>
    <row r="2071" spans="1:2" x14ac:dyDescent="0.25">
      <c r="A2071" s="879"/>
      <c r="B2071" s="1448" t="s">
        <v>1365</v>
      </c>
    </row>
    <row r="2072" spans="1:2" x14ac:dyDescent="0.25">
      <c r="A2072" s="879"/>
      <c r="B2072" s="1448" t="s">
        <v>1429</v>
      </c>
    </row>
    <row r="2073" spans="1:2" x14ac:dyDescent="0.25">
      <c r="A2073" s="879"/>
      <c r="B2073" s="1448" t="s">
        <v>1769</v>
      </c>
    </row>
    <row r="2074" spans="1:2" x14ac:dyDescent="0.25">
      <c r="A2074" s="879"/>
      <c r="B2074" s="1448" t="s">
        <v>1365</v>
      </c>
    </row>
    <row r="2075" spans="1:2" x14ac:dyDescent="0.25">
      <c r="A2075" s="879"/>
      <c r="B2075" s="1448" t="s">
        <v>1770</v>
      </c>
    </row>
    <row r="2076" spans="1:2" x14ac:dyDescent="0.25">
      <c r="A2076" s="879"/>
      <c r="B2076" s="1448" t="s">
        <v>1365</v>
      </c>
    </row>
    <row r="2077" spans="1:2" x14ac:dyDescent="0.25">
      <c r="A2077" s="879"/>
      <c r="B2077" s="1448" t="s">
        <v>1772</v>
      </c>
    </row>
    <row r="2078" spans="1:2" x14ac:dyDescent="0.25">
      <c r="A2078" s="879"/>
      <c r="B2078" s="1448" t="s">
        <v>1365</v>
      </c>
    </row>
    <row r="2079" spans="1:2" x14ac:dyDescent="0.25">
      <c r="A2079" s="879"/>
      <c r="B2079" s="1448" t="s">
        <v>1773</v>
      </c>
    </row>
    <row r="2080" spans="1:2" x14ac:dyDescent="0.25">
      <c r="A2080" s="879"/>
      <c r="B2080" s="1448"/>
    </row>
    <row r="2081" spans="1:2" x14ac:dyDescent="0.25">
      <c r="A2081" s="879"/>
      <c r="B2081" s="1448"/>
    </row>
    <row r="2082" spans="1:2" x14ac:dyDescent="0.25">
      <c r="A2082" s="879"/>
      <c r="B2082" s="1448" t="s">
        <v>1366</v>
      </c>
    </row>
    <row r="2083" spans="1:2" x14ac:dyDescent="0.25">
      <c r="A2083" s="879"/>
      <c r="B2083" s="1448" t="s">
        <v>2199</v>
      </c>
    </row>
    <row r="2084" spans="1:2" x14ac:dyDescent="0.25">
      <c r="A2084" s="879"/>
      <c r="B2084" s="1448" t="s">
        <v>1366</v>
      </c>
    </row>
    <row r="2085" spans="1:2" x14ac:dyDescent="0.25">
      <c r="A2085" s="879"/>
      <c r="B2085" s="1448" t="s">
        <v>1710</v>
      </c>
    </row>
    <row r="2086" spans="1:2" x14ac:dyDescent="0.25">
      <c r="A2086" s="879"/>
      <c r="B2086" s="1448" t="s">
        <v>1365</v>
      </c>
    </row>
    <row r="2087" spans="1:2" x14ac:dyDescent="0.25">
      <c r="A2087" s="879"/>
      <c r="B2087" s="1448" t="s">
        <v>1367</v>
      </c>
    </row>
    <row r="2088" spans="1:2" x14ac:dyDescent="0.25">
      <c r="A2088" s="879"/>
      <c r="B2088" s="1448" t="s">
        <v>1368</v>
      </c>
    </row>
    <row r="2089" spans="1:2" x14ac:dyDescent="0.25">
      <c r="A2089" s="879"/>
      <c r="B2089" s="1448" t="s">
        <v>1365</v>
      </c>
    </row>
    <row r="2090" spans="1:2" x14ac:dyDescent="0.25">
      <c r="A2090" s="879"/>
      <c r="B2090" s="1448" t="s">
        <v>1369</v>
      </c>
    </row>
    <row r="2091" spans="1:2" x14ac:dyDescent="0.25">
      <c r="A2091" s="879"/>
      <c r="B2091" s="1448" t="s">
        <v>1370</v>
      </c>
    </row>
    <row r="2092" spans="1:2" x14ac:dyDescent="0.25">
      <c r="A2092" s="879"/>
      <c r="B2092" s="1448" t="s">
        <v>1371</v>
      </c>
    </row>
    <row r="2093" spans="1:2" x14ac:dyDescent="0.25">
      <c r="A2093" s="879"/>
      <c r="B2093" s="1448" t="s">
        <v>1372</v>
      </c>
    </row>
    <row r="2094" spans="1:2" x14ac:dyDescent="0.25">
      <c r="A2094" s="879"/>
      <c r="B2094" s="1448" t="s">
        <v>1373</v>
      </c>
    </row>
    <row r="2095" spans="1:2" x14ac:dyDescent="0.25">
      <c r="A2095" s="879"/>
      <c r="B2095" s="1448" t="s">
        <v>1374</v>
      </c>
    </row>
    <row r="2096" spans="1:2" x14ac:dyDescent="0.25">
      <c r="A2096" s="879"/>
      <c r="B2096" s="1448" t="s">
        <v>1375</v>
      </c>
    </row>
    <row r="2097" spans="1:2" x14ac:dyDescent="0.25">
      <c r="A2097" s="879"/>
      <c r="B2097" s="1448" t="s">
        <v>1376</v>
      </c>
    </row>
    <row r="2098" spans="1:2" x14ac:dyDescent="0.25">
      <c r="A2098" s="879"/>
      <c r="B2098" s="1448" t="s">
        <v>1377</v>
      </c>
    </row>
    <row r="2099" spans="1:2" x14ac:dyDescent="0.25">
      <c r="A2099" s="879"/>
      <c r="B2099" s="1448" t="s">
        <v>1378</v>
      </c>
    </row>
    <row r="2100" spans="1:2" x14ac:dyDescent="0.25">
      <c r="A2100" s="879"/>
      <c r="B2100" s="1448" t="s">
        <v>1379</v>
      </c>
    </row>
    <row r="2101" spans="1:2" x14ac:dyDescent="0.25">
      <c r="A2101" s="879"/>
      <c r="B2101" s="1448" t="s">
        <v>1380</v>
      </c>
    </row>
    <row r="2102" spans="1:2" x14ac:dyDescent="0.25">
      <c r="A2102" s="879"/>
      <c r="B2102" s="1448" t="s">
        <v>1365</v>
      </c>
    </row>
    <row r="2103" spans="1:2" x14ac:dyDescent="0.25">
      <c r="A2103" s="879"/>
      <c r="B2103" s="1448" t="s">
        <v>1369</v>
      </c>
    </row>
    <row r="2104" spans="1:2" x14ac:dyDescent="0.25">
      <c r="A2104" s="879"/>
      <c r="B2104" s="1448" t="s">
        <v>1381</v>
      </c>
    </row>
    <row r="2105" spans="1:2" x14ac:dyDescent="0.25">
      <c r="A2105" s="879"/>
      <c r="B2105" s="1448" t="s">
        <v>1382</v>
      </c>
    </row>
    <row r="2106" spans="1:2" x14ac:dyDescent="0.25">
      <c r="A2106" s="879"/>
      <c r="B2106" s="1448" t="s">
        <v>1383</v>
      </c>
    </row>
    <row r="2107" spans="1:2" x14ac:dyDescent="0.25">
      <c r="A2107" s="879"/>
      <c r="B2107" s="1448" t="s">
        <v>1384</v>
      </c>
    </row>
    <row r="2108" spans="1:2" x14ac:dyDescent="0.25">
      <c r="A2108" s="879"/>
      <c r="B2108" s="1448" t="s">
        <v>1385</v>
      </c>
    </row>
    <row r="2109" spans="1:2" x14ac:dyDescent="0.25">
      <c r="A2109" s="879"/>
      <c r="B2109" s="1448" t="s">
        <v>1386</v>
      </c>
    </row>
    <row r="2110" spans="1:2" x14ac:dyDescent="0.25">
      <c r="A2110" s="879"/>
      <c r="B2110" s="1448" t="s">
        <v>1387</v>
      </c>
    </row>
    <row r="2111" spans="1:2" x14ac:dyDescent="0.25">
      <c r="A2111" s="879"/>
      <c r="B2111" s="1448" t="s">
        <v>1388</v>
      </c>
    </row>
    <row r="2112" spans="1:2" x14ac:dyDescent="0.25">
      <c r="A2112" s="879"/>
      <c r="B2112" s="1448" t="s">
        <v>1389</v>
      </c>
    </row>
    <row r="2113" spans="1:2" x14ac:dyDescent="0.25">
      <c r="A2113" s="879"/>
      <c r="B2113" s="1448" t="s">
        <v>1390</v>
      </c>
    </row>
    <row r="2114" spans="1:2" x14ac:dyDescent="0.25">
      <c r="A2114" s="879"/>
      <c r="B2114" s="1448" t="s">
        <v>1391</v>
      </c>
    </row>
    <row r="2115" spans="1:2" x14ac:dyDescent="0.25">
      <c r="A2115" s="879"/>
      <c r="B2115" s="1448" t="s">
        <v>1392</v>
      </c>
    </row>
    <row r="2116" spans="1:2" x14ac:dyDescent="0.25">
      <c r="A2116" s="879"/>
      <c r="B2116" s="1448" t="s">
        <v>1393</v>
      </c>
    </row>
    <row r="2117" spans="1:2" x14ac:dyDescent="0.25">
      <c r="A2117" s="879"/>
      <c r="B2117" s="1448" t="s">
        <v>1394</v>
      </c>
    </row>
    <row r="2118" spans="1:2" x14ac:dyDescent="0.25">
      <c r="A2118" s="879"/>
      <c r="B2118" s="1448" t="s">
        <v>1395</v>
      </c>
    </row>
    <row r="2119" spans="1:2" x14ac:dyDescent="0.25">
      <c r="A2119" s="879"/>
      <c r="B2119" s="1448" t="s">
        <v>1396</v>
      </c>
    </row>
    <row r="2120" spans="1:2" x14ac:dyDescent="0.25">
      <c r="A2120" s="879"/>
      <c r="B2120" s="1448" t="s">
        <v>1397</v>
      </c>
    </row>
    <row r="2121" spans="1:2" x14ac:dyDescent="0.25">
      <c r="A2121" s="879"/>
      <c r="B2121" s="1448" t="s">
        <v>1398</v>
      </c>
    </row>
    <row r="2122" spans="1:2" x14ac:dyDescent="0.25">
      <c r="A2122" s="879"/>
      <c r="B2122" s="1448" t="s">
        <v>1399</v>
      </c>
    </row>
    <row r="2123" spans="1:2" x14ac:dyDescent="0.25">
      <c r="A2123" s="879"/>
      <c r="B2123" s="1448" t="s">
        <v>1400</v>
      </c>
    </row>
    <row r="2124" spans="1:2" x14ac:dyDescent="0.25">
      <c r="A2124" s="879"/>
      <c r="B2124" s="1448" t="s">
        <v>1401</v>
      </c>
    </row>
    <row r="2125" spans="1:2" x14ac:dyDescent="0.25">
      <c r="A2125" s="879"/>
      <c r="B2125" s="1448" t="s">
        <v>1402</v>
      </c>
    </row>
    <row r="2126" spans="1:2" x14ac:dyDescent="0.25">
      <c r="A2126" s="879"/>
      <c r="B2126" s="1448" t="s">
        <v>1403</v>
      </c>
    </row>
    <row r="2127" spans="1:2" x14ac:dyDescent="0.25">
      <c r="A2127" s="879"/>
      <c r="B2127" s="1448" t="s">
        <v>1404</v>
      </c>
    </row>
    <row r="2128" spans="1:2" x14ac:dyDescent="0.25">
      <c r="A2128" s="879"/>
      <c r="B2128" s="1448" t="s">
        <v>1405</v>
      </c>
    </row>
    <row r="2129" spans="1:2" x14ac:dyDescent="0.25">
      <c r="A2129" s="879"/>
      <c r="B2129" s="1448" t="s">
        <v>1406</v>
      </c>
    </row>
    <row r="2130" spans="1:2" x14ac:dyDescent="0.25">
      <c r="A2130" s="879"/>
      <c r="B2130" s="1448" t="s">
        <v>1407</v>
      </c>
    </row>
    <row r="2131" spans="1:2" x14ac:dyDescent="0.25">
      <c r="A2131" s="879"/>
      <c r="B2131" s="1448" t="s">
        <v>1408</v>
      </c>
    </row>
    <row r="2132" spans="1:2" x14ac:dyDescent="0.25">
      <c r="A2132" s="879"/>
      <c r="B2132" s="1448" t="s">
        <v>1409</v>
      </c>
    </row>
    <row r="2133" spans="1:2" x14ac:dyDescent="0.25">
      <c r="A2133" s="879"/>
      <c r="B2133" s="1448" t="s">
        <v>1410</v>
      </c>
    </row>
    <row r="2134" spans="1:2" x14ac:dyDescent="0.25">
      <c r="A2134" s="879"/>
      <c r="B2134" s="1448" t="s">
        <v>1411</v>
      </c>
    </row>
    <row r="2135" spans="1:2" x14ac:dyDescent="0.25">
      <c r="A2135" s="879"/>
      <c r="B2135" s="1448" t="s">
        <v>1412</v>
      </c>
    </row>
    <row r="2136" spans="1:2" x14ac:dyDescent="0.25">
      <c r="A2136" s="879"/>
      <c r="B2136" s="1448" t="s">
        <v>1413</v>
      </c>
    </row>
    <row r="2137" spans="1:2" x14ac:dyDescent="0.25">
      <c r="A2137" s="879"/>
      <c r="B2137" s="1448" t="s">
        <v>1414</v>
      </c>
    </row>
    <row r="2138" spans="1:2" x14ac:dyDescent="0.25">
      <c r="A2138" s="879"/>
      <c r="B2138" s="1448" t="s">
        <v>1415</v>
      </c>
    </row>
    <row r="2139" spans="1:2" x14ac:dyDescent="0.25">
      <c r="A2139" s="879"/>
      <c r="B2139" s="1448" t="s">
        <v>1416</v>
      </c>
    </row>
    <row r="2140" spans="1:2" x14ac:dyDescent="0.25">
      <c r="A2140" s="879"/>
      <c r="B2140" s="1448" t="s">
        <v>1417</v>
      </c>
    </row>
    <row r="2141" spans="1:2" x14ac:dyDescent="0.25">
      <c r="A2141" s="879"/>
      <c r="B2141" s="1448" t="s">
        <v>1418</v>
      </c>
    </row>
    <row r="2142" spans="1:2" x14ac:dyDescent="0.25">
      <c r="A2142" s="879"/>
      <c r="B2142" s="1448" t="s">
        <v>1419</v>
      </c>
    </row>
    <row r="2143" spans="1:2" x14ac:dyDescent="0.25">
      <c r="A2143" s="879"/>
      <c r="B2143" s="1448" t="s">
        <v>1420</v>
      </c>
    </row>
    <row r="2144" spans="1:2" x14ac:dyDescent="0.25">
      <c r="A2144" s="879"/>
      <c r="B2144" s="1448" t="s">
        <v>1421</v>
      </c>
    </row>
    <row r="2145" spans="1:2" x14ac:dyDescent="0.25">
      <c r="A2145" s="879"/>
      <c r="B2145" s="1448" t="s">
        <v>1422</v>
      </c>
    </row>
    <row r="2146" spans="1:2" x14ac:dyDescent="0.25">
      <c r="A2146" s="879"/>
      <c r="B2146" s="1448" t="s">
        <v>1423</v>
      </c>
    </row>
    <row r="2147" spans="1:2" x14ac:dyDescent="0.25">
      <c r="A2147" s="879"/>
      <c r="B2147" s="1448" t="s">
        <v>1424</v>
      </c>
    </row>
    <row r="2148" spans="1:2" x14ac:dyDescent="0.25">
      <c r="A2148" s="879"/>
      <c r="B2148" s="1448" t="s">
        <v>1425</v>
      </c>
    </row>
    <row r="2149" spans="1:2" x14ac:dyDescent="0.25">
      <c r="A2149" s="879"/>
      <c r="B2149" s="1448" t="s">
        <v>1426</v>
      </c>
    </row>
    <row r="2150" spans="1:2" x14ac:dyDescent="0.25">
      <c r="A2150" s="879"/>
      <c r="B2150" s="1448" t="s">
        <v>1427</v>
      </c>
    </row>
    <row r="2151" spans="1:2" x14ac:dyDescent="0.25">
      <c r="A2151" s="879"/>
      <c r="B2151" s="1448" t="s">
        <v>1428</v>
      </c>
    </row>
    <row r="2152" spans="1:2" x14ac:dyDescent="0.25">
      <c r="A2152" s="879"/>
      <c r="B2152" s="1448" t="s">
        <v>1365</v>
      </c>
    </row>
    <row r="2153" spans="1:2" x14ac:dyDescent="0.25">
      <c r="A2153" s="879"/>
      <c r="B2153" s="1448" t="s">
        <v>1429</v>
      </c>
    </row>
    <row r="2154" spans="1:2" x14ac:dyDescent="0.25">
      <c r="A2154" s="879"/>
      <c r="B2154" s="1448" t="s">
        <v>1769</v>
      </c>
    </row>
    <row r="2155" spans="1:2" x14ac:dyDescent="0.25">
      <c r="A2155" s="879"/>
      <c r="B2155" s="1448" t="s">
        <v>1365</v>
      </c>
    </row>
    <row r="2156" spans="1:2" x14ac:dyDescent="0.25">
      <c r="A2156" s="879"/>
      <c r="B2156" s="1448" t="s">
        <v>1770</v>
      </c>
    </row>
    <row r="2157" spans="1:2" x14ac:dyDescent="0.25">
      <c r="A2157" s="879"/>
      <c r="B2157" s="1448" t="s">
        <v>1365</v>
      </c>
    </row>
    <row r="2158" spans="1:2" x14ac:dyDescent="0.25">
      <c r="A2158" s="879"/>
      <c r="B2158" s="1448" t="s">
        <v>1772</v>
      </c>
    </row>
    <row r="2159" spans="1:2" x14ac:dyDescent="0.25">
      <c r="A2159" s="879"/>
      <c r="B2159" s="1448" t="s">
        <v>1365</v>
      </c>
    </row>
    <row r="2160" spans="1:2" x14ac:dyDescent="0.25">
      <c r="A2160" s="879"/>
      <c r="B2160" s="1448" t="s">
        <v>1773</v>
      </c>
    </row>
    <row r="2161" spans="1:2" x14ac:dyDescent="0.25">
      <c r="A2161" s="879"/>
      <c r="B2161" s="1448"/>
    </row>
    <row r="2162" spans="1:2" x14ac:dyDescent="0.25">
      <c r="A2162" s="879"/>
      <c r="B2162" s="1448"/>
    </row>
    <row r="2163" spans="1:2" x14ac:dyDescent="0.25">
      <c r="A2163" s="879"/>
      <c r="B2163" s="1448" t="s">
        <v>1366</v>
      </c>
    </row>
    <row r="2164" spans="1:2" x14ac:dyDescent="0.25">
      <c r="A2164" s="879"/>
      <c r="B2164" s="1448" t="s">
        <v>2200</v>
      </c>
    </row>
    <row r="2165" spans="1:2" x14ac:dyDescent="0.25">
      <c r="A2165" s="879"/>
      <c r="B2165" s="1448" t="s">
        <v>1366</v>
      </c>
    </row>
    <row r="2166" spans="1:2" x14ac:dyDescent="0.25">
      <c r="A2166" s="879"/>
      <c r="B2166" s="1448" t="s">
        <v>1711</v>
      </c>
    </row>
    <row r="2167" spans="1:2" x14ac:dyDescent="0.25">
      <c r="A2167" s="879"/>
      <c r="B2167" s="1448" t="s">
        <v>1365</v>
      </c>
    </row>
    <row r="2168" spans="1:2" x14ac:dyDescent="0.25">
      <c r="A2168" s="879"/>
      <c r="B2168" s="1448" t="s">
        <v>1367</v>
      </c>
    </row>
    <row r="2169" spans="1:2" x14ac:dyDescent="0.25">
      <c r="A2169" s="879"/>
      <c r="B2169" s="1448" t="s">
        <v>1368</v>
      </c>
    </row>
    <row r="2170" spans="1:2" x14ac:dyDescent="0.25">
      <c r="A2170" s="879"/>
      <c r="B2170" s="1448" t="s">
        <v>1365</v>
      </c>
    </row>
    <row r="2171" spans="1:2" x14ac:dyDescent="0.25">
      <c r="A2171" s="879"/>
      <c r="B2171" s="1448" t="s">
        <v>1369</v>
      </c>
    </row>
    <row r="2172" spans="1:2" x14ac:dyDescent="0.25">
      <c r="A2172" s="879"/>
      <c r="B2172" s="1448" t="s">
        <v>1370</v>
      </c>
    </row>
    <row r="2173" spans="1:2" x14ac:dyDescent="0.25">
      <c r="A2173" s="879"/>
      <c r="B2173" s="1448" t="s">
        <v>1371</v>
      </c>
    </row>
    <row r="2174" spans="1:2" x14ac:dyDescent="0.25">
      <c r="A2174" s="879"/>
      <c r="B2174" s="1448" t="s">
        <v>1372</v>
      </c>
    </row>
    <row r="2175" spans="1:2" x14ac:dyDescent="0.25">
      <c r="A2175" s="879"/>
      <c r="B2175" s="1448" t="s">
        <v>1373</v>
      </c>
    </row>
    <row r="2176" spans="1:2" x14ac:dyDescent="0.25">
      <c r="A2176" s="879"/>
      <c r="B2176" s="1448" t="s">
        <v>1374</v>
      </c>
    </row>
    <row r="2177" spans="1:2" x14ac:dyDescent="0.25">
      <c r="A2177" s="879"/>
      <c r="B2177" s="1448" t="s">
        <v>1375</v>
      </c>
    </row>
    <row r="2178" spans="1:2" x14ac:dyDescent="0.25">
      <c r="A2178" s="879"/>
      <c r="B2178" s="1448" t="s">
        <v>1376</v>
      </c>
    </row>
    <row r="2179" spans="1:2" x14ac:dyDescent="0.25">
      <c r="A2179" s="879"/>
      <c r="B2179" s="1448" t="s">
        <v>1377</v>
      </c>
    </row>
    <row r="2180" spans="1:2" x14ac:dyDescent="0.25">
      <c r="A2180" s="879"/>
      <c r="B2180" s="1448" t="s">
        <v>1378</v>
      </c>
    </row>
    <row r="2181" spans="1:2" x14ac:dyDescent="0.25">
      <c r="A2181" s="879"/>
      <c r="B2181" s="1448" t="s">
        <v>1379</v>
      </c>
    </row>
    <row r="2182" spans="1:2" x14ac:dyDescent="0.25">
      <c r="A2182" s="879"/>
      <c r="B2182" s="1448" t="s">
        <v>1380</v>
      </c>
    </row>
    <row r="2183" spans="1:2" x14ac:dyDescent="0.25">
      <c r="A2183" s="879"/>
      <c r="B2183" s="1448" t="s">
        <v>1365</v>
      </c>
    </row>
    <row r="2184" spans="1:2" x14ac:dyDescent="0.25">
      <c r="A2184" s="879"/>
      <c r="B2184" s="1448" t="s">
        <v>1369</v>
      </c>
    </row>
    <row r="2185" spans="1:2" x14ac:dyDescent="0.25">
      <c r="A2185" s="879"/>
      <c r="B2185" s="1448" t="s">
        <v>1381</v>
      </c>
    </row>
    <row r="2186" spans="1:2" x14ac:dyDescent="0.25">
      <c r="A2186" s="879"/>
      <c r="B2186" s="1448" t="s">
        <v>1382</v>
      </c>
    </row>
    <row r="2187" spans="1:2" x14ac:dyDescent="0.25">
      <c r="A2187" s="879"/>
      <c r="B2187" s="1448" t="s">
        <v>1383</v>
      </c>
    </row>
    <row r="2188" spans="1:2" x14ac:dyDescent="0.25">
      <c r="A2188" s="879"/>
      <c r="B2188" s="1448" t="s">
        <v>1384</v>
      </c>
    </row>
    <row r="2189" spans="1:2" x14ac:dyDescent="0.25">
      <c r="A2189" s="879"/>
      <c r="B2189" s="1448" t="s">
        <v>1385</v>
      </c>
    </row>
    <row r="2190" spans="1:2" x14ac:dyDescent="0.25">
      <c r="A2190" s="879"/>
      <c r="B2190" s="1448" t="s">
        <v>1386</v>
      </c>
    </row>
    <row r="2191" spans="1:2" x14ac:dyDescent="0.25">
      <c r="A2191" s="879"/>
      <c r="B2191" s="1448" t="s">
        <v>1387</v>
      </c>
    </row>
    <row r="2192" spans="1:2" x14ac:dyDescent="0.25">
      <c r="A2192" s="879"/>
      <c r="B2192" s="1448" t="s">
        <v>1388</v>
      </c>
    </row>
    <row r="2193" spans="1:2" x14ac:dyDescent="0.25">
      <c r="A2193" s="879"/>
      <c r="B2193" s="1448" t="s">
        <v>1389</v>
      </c>
    </row>
    <row r="2194" spans="1:2" x14ac:dyDescent="0.25">
      <c r="A2194" s="879"/>
      <c r="B2194" s="1448" t="s">
        <v>1390</v>
      </c>
    </row>
    <row r="2195" spans="1:2" x14ac:dyDescent="0.25">
      <c r="A2195" s="879"/>
      <c r="B2195" s="1448" t="s">
        <v>1391</v>
      </c>
    </row>
    <row r="2196" spans="1:2" x14ac:dyDescent="0.25">
      <c r="A2196" s="879"/>
      <c r="B2196" s="1448" t="s">
        <v>1392</v>
      </c>
    </row>
    <row r="2197" spans="1:2" x14ac:dyDescent="0.25">
      <c r="A2197" s="879"/>
      <c r="B2197" s="1448" t="s">
        <v>1393</v>
      </c>
    </row>
    <row r="2198" spans="1:2" x14ac:dyDescent="0.25">
      <c r="A2198" s="879"/>
      <c r="B2198" s="1448" t="s">
        <v>1394</v>
      </c>
    </row>
    <row r="2199" spans="1:2" x14ac:dyDescent="0.25">
      <c r="A2199" s="879"/>
      <c r="B2199" s="1448" t="s">
        <v>1395</v>
      </c>
    </row>
    <row r="2200" spans="1:2" x14ac:dyDescent="0.25">
      <c r="A2200" s="879"/>
      <c r="B2200" s="1448" t="s">
        <v>1396</v>
      </c>
    </row>
    <row r="2201" spans="1:2" x14ac:dyDescent="0.25">
      <c r="A2201" s="879"/>
      <c r="B2201" s="1448" t="s">
        <v>1397</v>
      </c>
    </row>
    <row r="2202" spans="1:2" x14ac:dyDescent="0.25">
      <c r="A2202" s="879"/>
      <c r="B2202" s="1448" t="s">
        <v>1398</v>
      </c>
    </row>
    <row r="2203" spans="1:2" x14ac:dyDescent="0.25">
      <c r="A2203" s="879"/>
      <c r="B2203" s="1448" t="s">
        <v>1399</v>
      </c>
    </row>
    <row r="2204" spans="1:2" x14ac:dyDescent="0.25">
      <c r="A2204" s="879"/>
      <c r="B2204" s="1448" t="s">
        <v>1400</v>
      </c>
    </row>
    <row r="2205" spans="1:2" x14ac:dyDescent="0.25">
      <c r="A2205" s="879"/>
      <c r="B2205" s="1448" t="s">
        <v>1401</v>
      </c>
    </row>
    <row r="2206" spans="1:2" x14ac:dyDescent="0.25">
      <c r="A2206" s="879"/>
      <c r="B2206" s="1448" t="s">
        <v>1402</v>
      </c>
    </row>
    <row r="2207" spans="1:2" x14ac:dyDescent="0.25">
      <c r="A2207" s="879"/>
      <c r="B2207" s="1448" t="s">
        <v>1403</v>
      </c>
    </row>
    <row r="2208" spans="1:2" x14ac:dyDescent="0.25">
      <c r="A2208" s="879"/>
      <c r="B2208" s="1448" t="s">
        <v>1404</v>
      </c>
    </row>
    <row r="2209" spans="1:2" x14ac:dyDescent="0.25">
      <c r="A2209" s="879"/>
      <c r="B2209" s="1448" t="s">
        <v>1405</v>
      </c>
    </row>
    <row r="2210" spans="1:2" x14ac:dyDescent="0.25">
      <c r="A2210" s="879"/>
      <c r="B2210" s="1448" t="s">
        <v>1406</v>
      </c>
    </row>
    <row r="2211" spans="1:2" x14ac:dyDescent="0.25">
      <c r="A2211" s="879"/>
      <c r="B2211" s="1448" t="s">
        <v>1407</v>
      </c>
    </row>
    <row r="2212" spans="1:2" x14ac:dyDescent="0.25">
      <c r="A2212" s="879"/>
      <c r="B2212" s="1448" t="s">
        <v>1408</v>
      </c>
    </row>
    <row r="2213" spans="1:2" x14ac:dyDescent="0.25">
      <c r="A2213" s="879"/>
      <c r="B2213" s="1448" t="s">
        <v>1409</v>
      </c>
    </row>
    <row r="2214" spans="1:2" x14ac:dyDescent="0.25">
      <c r="A2214" s="879"/>
      <c r="B2214" s="1448" t="s">
        <v>1410</v>
      </c>
    </row>
    <row r="2215" spans="1:2" x14ac:dyDescent="0.25">
      <c r="A2215" s="879"/>
      <c r="B2215" s="1448" t="s">
        <v>1411</v>
      </c>
    </row>
    <row r="2216" spans="1:2" x14ac:dyDescent="0.25">
      <c r="A2216" s="879"/>
      <c r="B2216" s="1448" t="s">
        <v>1412</v>
      </c>
    </row>
    <row r="2217" spans="1:2" x14ac:dyDescent="0.25">
      <c r="A2217" s="879"/>
      <c r="B2217" s="1448" t="s">
        <v>1413</v>
      </c>
    </row>
    <row r="2218" spans="1:2" x14ac:dyDescent="0.25">
      <c r="A2218" s="879"/>
      <c r="B2218" s="1448" t="s">
        <v>1414</v>
      </c>
    </row>
    <row r="2219" spans="1:2" x14ac:dyDescent="0.25">
      <c r="A2219" s="879"/>
      <c r="B2219" s="1448" t="s">
        <v>1415</v>
      </c>
    </row>
    <row r="2220" spans="1:2" x14ac:dyDescent="0.25">
      <c r="A2220" s="879"/>
      <c r="B2220" s="1448" t="s">
        <v>1416</v>
      </c>
    </row>
    <row r="2221" spans="1:2" x14ac:dyDescent="0.25">
      <c r="A2221" s="879"/>
      <c r="B2221" s="1448" t="s">
        <v>1417</v>
      </c>
    </row>
    <row r="2222" spans="1:2" x14ac:dyDescent="0.25">
      <c r="A2222" s="879"/>
      <c r="B2222" s="1448" t="s">
        <v>1418</v>
      </c>
    </row>
    <row r="2223" spans="1:2" x14ac:dyDescent="0.25">
      <c r="A2223" s="879"/>
      <c r="B2223" s="1448" t="s">
        <v>1419</v>
      </c>
    </row>
    <row r="2224" spans="1:2" x14ac:dyDescent="0.25">
      <c r="A2224" s="879"/>
      <c r="B2224" s="1448" t="s">
        <v>1420</v>
      </c>
    </row>
    <row r="2225" spans="1:2" x14ac:dyDescent="0.25">
      <c r="A2225" s="879"/>
      <c r="B2225" s="1448" t="s">
        <v>1421</v>
      </c>
    </row>
    <row r="2226" spans="1:2" x14ac:dyDescent="0.25">
      <c r="A2226" s="879"/>
      <c r="B2226" s="1448" t="s">
        <v>1422</v>
      </c>
    </row>
    <row r="2227" spans="1:2" x14ac:dyDescent="0.25">
      <c r="A2227" s="879"/>
      <c r="B2227" s="1448" t="s">
        <v>1423</v>
      </c>
    </row>
    <row r="2228" spans="1:2" x14ac:dyDescent="0.25">
      <c r="A2228" s="879"/>
      <c r="B2228" s="1448" t="s">
        <v>1424</v>
      </c>
    </row>
    <row r="2229" spans="1:2" x14ac:dyDescent="0.25">
      <c r="A2229" s="879"/>
      <c r="B2229" s="1448" t="s">
        <v>1425</v>
      </c>
    </row>
    <row r="2230" spans="1:2" x14ac:dyDescent="0.25">
      <c r="A2230" s="879"/>
      <c r="B2230" s="1448" t="s">
        <v>1426</v>
      </c>
    </row>
    <row r="2231" spans="1:2" x14ac:dyDescent="0.25">
      <c r="A2231" s="879"/>
      <c r="B2231" s="1448" t="s">
        <v>1427</v>
      </c>
    </row>
    <row r="2232" spans="1:2" x14ac:dyDescent="0.25">
      <c r="A2232" s="879"/>
      <c r="B2232" s="1448" t="s">
        <v>1428</v>
      </c>
    </row>
    <row r="2233" spans="1:2" x14ac:dyDescent="0.25">
      <c r="A2233" s="879"/>
      <c r="B2233" s="1448" t="s">
        <v>1365</v>
      </c>
    </row>
    <row r="2234" spans="1:2" x14ac:dyDescent="0.25">
      <c r="A2234" s="879"/>
      <c r="B2234" s="1448" t="s">
        <v>1429</v>
      </c>
    </row>
    <row r="2235" spans="1:2" x14ac:dyDescent="0.25">
      <c r="A2235" s="879"/>
      <c r="B2235" s="1448" t="s">
        <v>1769</v>
      </c>
    </row>
    <row r="2236" spans="1:2" x14ac:dyDescent="0.25">
      <c r="A2236" s="879"/>
      <c r="B2236" s="1448" t="s">
        <v>1365</v>
      </c>
    </row>
    <row r="2237" spans="1:2" x14ac:dyDescent="0.25">
      <c r="A2237" s="879"/>
      <c r="B2237" s="1448" t="s">
        <v>1770</v>
      </c>
    </row>
    <row r="2238" spans="1:2" x14ac:dyDescent="0.25">
      <c r="A2238" s="879"/>
      <c r="B2238" s="1448" t="s">
        <v>1365</v>
      </c>
    </row>
    <row r="2239" spans="1:2" x14ac:dyDescent="0.25">
      <c r="A2239" s="879"/>
      <c r="B2239" s="1448" t="s">
        <v>1772</v>
      </c>
    </row>
    <row r="2240" spans="1:2" x14ac:dyDescent="0.25">
      <c r="A2240" s="879"/>
      <c r="B2240" s="1448" t="s">
        <v>1365</v>
      </c>
    </row>
    <row r="2241" spans="1:2" x14ac:dyDescent="0.25">
      <c r="A2241" s="879"/>
      <c r="B2241" s="1448" t="s">
        <v>1773</v>
      </c>
    </row>
    <row r="2242" spans="1:2" x14ac:dyDescent="0.25">
      <c r="A2242" s="879"/>
      <c r="B2242" s="1448"/>
    </row>
    <row r="2243" spans="1:2" x14ac:dyDescent="0.25">
      <c r="A2243" s="879"/>
      <c r="B2243" s="1448"/>
    </row>
    <row r="2244" spans="1:2" x14ac:dyDescent="0.25">
      <c r="A2244" s="879"/>
      <c r="B2244" s="1448" t="s">
        <v>1366</v>
      </c>
    </row>
    <row r="2245" spans="1:2" x14ac:dyDescent="0.25">
      <c r="A2245" s="879"/>
      <c r="B2245" s="1448" t="s">
        <v>2201</v>
      </c>
    </row>
    <row r="2246" spans="1:2" x14ac:dyDescent="0.25">
      <c r="A2246" s="879"/>
      <c r="B2246" s="1448" t="s">
        <v>1366</v>
      </c>
    </row>
    <row r="2247" spans="1:2" x14ac:dyDescent="0.25">
      <c r="A2247" s="879"/>
      <c r="B2247" s="1448" t="s">
        <v>1712</v>
      </c>
    </row>
    <row r="2248" spans="1:2" x14ac:dyDescent="0.25">
      <c r="A2248" s="879"/>
      <c r="B2248" s="1448" t="s">
        <v>1365</v>
      </c>
    </row>
    <row r="2249" spans="1:2" x14ac:dyDescent="0.25">
      <c r="A2249" s="879"/>
      <c r="B2249" s="1448" t="s">
        <v>1367</v>
      </c>
    </row>
    <row r="2250" spans="1:2" x14ac:dyDescent="0.25">
      <c r="A2250" s="879"/>
      <c r="B2250" s="1448" t="s">
        <v>1368</v>
      </c>
    </row>
    <row r="2251" spans="1:2" x14ac:dyDescent="0.25">
      <c r="A2251" s="879"/>
      <c r="B2251" s="1448" t="s">
        <v>1365</v>
      </c>
    </row>
    <row r="2252" spans="1:2" x14ac:dyDescent="0.25">
      <c r="A2252" s="879"/>
      <c r="B2252" s="1448" t="s">
        <v>1430</v>
      </c>
    </row>
    <row r="2253" spans="1:2" x14ac:dyDescent="0.25">
      <c r="A2253" s="879"/>
      <c r="B2253" s="1448" t="s">
        <v>1485</v>
      </c>
    </row>
    <row r="2254" spans="1:2" x14ac:dyDescent="0.25">
      <c r="A2254" s="879"/>
      <c r="B2254" s="1448" t="s">
        <v>1823</v>
      </c>
    </row>
    <row r="2255" spans="1:2" x14ac:dyDescent="0.25">
      <c r="A2255" s="879"/>
      <c r="B2255" s="1448" t="s">
        <v>1824</v>
      </c>
    </row>
    <row r="2256" spans="1:2" x14ac:dyDescent="0.25">
      <c r="A2256" s="879"/>
      <c r="B2256" s="1448" t="s">
        <v>1486</v>
      </c>
    </row>
    <row r="2257" spans="1:2" x14ac:dyDescent="0.25">
      <c r="A2257" s="879"/>
      <c r="B2257" s="1448" t="s">
        <v>1487</v>
      </c>
    </row>
    <row r="2258" spans="1:2" x14ac:dyDescent="0.25">
      <c r="A2258" s="879"/>
      <c r="B2258" s="1448" t="s">
        <v>1488</v>
      </c>
    </row>
    <row r="2259" spans="1:2" x14ac:dyDescent="0.25">
      <c r="A2259" s="879"/>
      <c r="B2259" s="1448" t="s">
        <v>1828</v>
      </c>
    </row>
    <row r="2260" spans="1:2" x14ac:dyDescent="0.25">
      <c r="A2260" s="879"/>
      <c r="B2260" s="1448" t="s">
        <v>1829</v>
      </c>
    </row>
    <row r="2261" spans="1:2" x14ac:dyDescent="0.25">
      <c r="A2261" s="879"/>
      <c r="B2261" s="1448" t="s">
        <v>1489</v>
      </c>
    </row>
    <row r="2262" spans="1:2" x14ac:dyDescent="0.25">
      <c r="A2262" s="879"/>
      <c r="B2262" s="1448" t="s">
        <v>1490</v>
      </c>
    </row>
    <row r="2263" spans="1:2" x14ac:dyDescent="0.25">
      <c r="A2263" s="879"/>
      <c r="B2263" s="1448" t="s">
        <v>1380</v>
      </c>
    </row>
    <row r="2264" spans="1:2" x14ac:dyDescent="0.25">
      <c r="A2264" s="879"/>
      <c r="B2264" s="1448" t="s">
        <v>1365</v>
      </c>
    </row>
    <row r="2265" spans="1:2" x14ac:dyDescent="0.25">
      <c r="A2265" s="879"/>
      <c r="B2265" s="1448" t="s">
        <v>1430</v>
      </c>
    </row>
    <row r="2266" spans="1:2" x14ac:dyDescent="0.25">
      <c r="A2266" s="879"/>
      <c r="B2266" s="1448" t="s">
        <v>1831</v>
      </c>
    </row>
    <row r="2267" spans="1:2" x14ac:dyDescent="0.25">
      <c r="A2267" s="879"/>
      <c r="B2267" s="1448" t="s">
        <v>1832</v>
      </c>
    </row>
    <row r="2268" spans="1:2" x14ac:dyDescent="0.25">
      <c r="A2268" s="879"/>
      <c r="B2268" s="1448" t="s">
        <v>1833</v>
      </c>
    </row>
    <row r="2269" spans="1:2" x14ac:dyDescent="0.25">
      <c r="A2269" s="879"/>
      <c r="B2269" s="1448" t="s">
        <v>1491</v>
      </c>
    </row>
    <row r="2270" spans="1:2" x14ac:dyDescent="0.25">
      <c r="A2270" s="879"/>
      <c r="B2270" s="1448" t="s">
        <v>1835</v>
      </c>
    </row>
    <row r="2271" spans="1:2" x14ac:dyDescent="0.25">
      <c r="A2271" s="879"/>
      <c r="B2271" s="1448" t="s">
        <v>1836</v>
      </c>
    </row>
    <row r="2272" spans="1:2" x14ac:dyDescent="0.25">
      <c r="A2272" s="879"/>
      <c r="B2272" s="1448" t="s">
        <v>1837</v>
      </c>
    </row>
    <row r="2273" spans="1:2" x14ac:dyDescent="0.25">
      <c r="A2273" s="879"/>
      <c r="B2273" s="1448" t="s">
        <v>1838</v>
      </c>
    </row>
    <row r="2274" spans="1:2" x14ac:dyDescent="0.25">
      <c r="A2274" s="879"/>
      <c r="B2274" s="1448" t="s">
        <v>1839</v>
      </c>
    </row>
    <row r="2275" spans="1:2" x14ac:dyDescent="0.25">
      <c r="A2275" s="879"/>
      <c r="B2275" s="1448" t="s">
        <v>1840</v>
      </c>
    </row>
    <row r="2276" spans="1:2" x14ac:dyDescent="0.25">
      <c r="A2276" s="879"/>
      <c r="B2276" s="1448" t="s">
        <v>1492</v>
      </c>
    </row>
    <row r="2277" spans="1:2" x14ac:dyDescent="0.25">
      <c r="A2277" s="879"/>
      <c r="B2277" s="1448" t="s">
        <v>1493</v>
      </c>
    </row>
    <row r="2278" spans="1:2" x14ac:dyDescent="0.25">
      <c r="A2278" s="879"/>
      <c r="B2278" s="1448" t="s">
        <v>1494</v>
      </c>
    </row>
    <row r="2279" spans="1:2" x14ac:dyDescent="0.25">
      <c r="A2279" s="879"/>
      <c r="B2279" s="1448" t="s">
        <v>1435</v>
      </c>
    </row>
    <row r="2280" spans="1:2" x14ac:dyDescent="0.25">
      <c r="A2280" s="879"/>
      <c r="B2280" s="1448" t="s">
        <v>1495</v>
      </c>
    </row>
    <row r="2281" spans="1:2" x14ac:dyDescent="0.25">
      <c r="A2281" s="879"/>
      <c r="B2281" s="1448" t="s">
        <v>1496</v>
      </c>
    </row>
    <row r="2282" spans="1:2" x14ac:dyDescent="0.25">
      <c r="A2282" s="879"/>
      <c r="B2282" s="1448" t="s">
        <v>1844</v>
      </c>
    </row>
    <row r="2283" spans="1:2" x14ac:dyDescent="0.25">
      <c r="A2283" s="879"/>
      <c r="B2283" s="1448" t="s">
        <v>1497</v>
      </c>
    </row>
    <row r="2284" spans="1:2" x14ac:dyDescent="0.25">
      <c r="A2284" s="879"/>
      <c r="B2284" s="1448" t="s">
        <v>1846</v>
      </c>
    </row>
    <row r="2285" spans="1:2" x14ac:dyDescent="0.25">
      <c r="A2285" s="879"/>
      <c r="B2285" s="1448" t="s">
        <v>1498</v>
      </c>
    </row>
    <row r="2286" spans="1:2" x14ac:dyDescent="0.25">
      <c r="A2286" s="879"/>
      <c r="B2286" s="1448" t="s">
        <v>1437</v>
      </c>
    </row>
    <row r="2287" spans="1:2" x14ac:dyDescent="0.25">
      <c r="A2287" s="879"/>
      <c r="B2287" s="1448" t="s">
        <v>1847</v>
      </c>
    </row>
    <row r="2288" spans="1:2" x14ac:dyDescent="0.25">
      <c r="A2288" s="879"/>
      <c r="B2288" s="1448" t="s">
        <v>1438</v>
      </c>
    </row>
    <row r="2289" spans="1:2" x14ac:dyDescent="0.25">
      <c r="A2289" s="879"/>
      <c r="B2289" s="1448" t="s">
        <v>1570</v>
      </c>
    </row>
    <row r="2290" spans="1:2" x14ac:dyDescent="0.25">
      <c r="A2290" s="879"/>
      <c r="B2290" s="1448" t="s">
        <v>1848</v>
      </c>
    </row>
    <row r="2291" spans="1:2" x14ac:dyDescent="0.25">
      <c r="A2291" s="879"/>
      <c r="B2291" s="1448" t="s">
        <v>1849</v>
      </c>
    </row>
    <row r="2292" spans="1:2" x14ac:dyDescent="0.25">
      <c r="A2292" s="879"/>
      <c r="B2292" s="1448" t="s">
        <v>2202</v>
      </c>
    </row>
    <row r="2293" spans="1:2" x14ac:dyDescent="0.25">
      <c r="A2293" s="879"/>
      <c r="B2293" s="1448" t="s">
        <v>1439</v>
      </c>
    </row>
    <row r="2294" spans="1:2" x14ac:dyDescent="0.25">
      <c r="A2294" s="879"/>
      <c r="B2294" s="1448" t="s">
        <v>1499</v>
      </c>
    </row>
    <row r="2295" spans="1:2" x14ac:dyDescent="0.25">
      <c r="A2295" s="879"/>
      <c r="B2295" s="1448" t="s">
        <v>1500</v>
      </c>
    </row>
    <row r="2296" spans="1:2" x14ac:dyDescent="0.25">
      <c r="A2296" s="879"/>
      <c r="B2296" s="1448" t="s">
        <v>1851</v>
      </c>
    </row>
    <row r="2297" spans="1:2" x14ac:dyDescent="0.25">
      <c r="A2297" s="879"/>
      <c r="B2297" s="1448" t="s">
        <v>1852</v>
      </c>
    </row>
    <row r="2298" spans="1:2" x14ac:dyDescent="0.25">
      <c r="A2298" s="879"/>
      <c r="B2298" s="1448" t="s">
        <v>1501</v>
      </c>
    </row>
    <row r="2299" spans="1:2" x14ac:dyDescent="0.25">
      <c r="A2299" s="879"/>
      <c r="B2299" s="1448" t="s">
        <v>1443</v>
      </c>
    </row>
    <row r="2300" spans="1:2" x14ac:dyDescent="0.25">
      <c r="A2300" s="879"/>
      <c r="B2300" s="1448" t="s">
        <v>2203</v>
      </c>
    </row>
    <row r="2301" spans="1:2" x14ac:dyDescent="0.25">
      <c r="A2301" s="879"/>
      <c r="B2301" s="1448" t="s">
        <v>2204</v>
      </c>
    </row>
    <row r="2302" spans="1:2" x14ac:dyDescent="0.25">
      <c r="A2302" s="879"/>
      <c r="B2302" s="1448" t="s">
        <v>1855</v>
      </c>
    </row>
    <row r="2303" spans="1:2" x14ac:dyDescent="0.25">
      <c r="A2303" s="879"/>
      <c r="B2303" s="1448" t="s">
        <v>1856</v>
      </c>
    </row>
    <row r="2304" spans="1:2" x14ac:dyDescent="0.25">
      <c r="A2304" s="879"/>
      <c r="B2304" s="1448" t="s">
        <v>1857</v>
      </c>
    </row>
    <row r="2305" spans="1:2" x14ac:dyDescent="0.25">
      <c r="A2305" s="879"/>
      <c r="B2305" s="1448" t="s">
        <v>1858</v>
      </c>
    </row>
    <row r="2306" spans="1:2" x14ac:dyDescent="0.25">
      <c r="A2306" s="879"/>
      <c r="B2306" s="1448" t="s">
        <v>2205</v>
      </c>
    </row>
    <row r="2307" spans="1:2" x14ac:dyDescent="0.25">
      <c r="A2307" s="879"/>
      <c r="B2307" s="1448" t="s">
        <v>2206</v>
      </c>
    </row>
    <row r="2308" spans="1:2" x14ac:dyDescent="0.25">
      <c r="A2308" s="879"/>
      <c r="B2308" s="1448" t="s">
        <v>2207</v>
      </c>
    </row>
    <row r="2309" spans="1:2" x14ac:dyDescent="0.25">
      <c r="A2309" s="879"/>
      <c r="B2309" s="1448" t="s">
        <v>1444</v>
      </c>
    </row>
    <row r="2310" spans="1:2" x14ac:dyDescent="0.25">
      <c r="A2310" s="879"/>
      <c r="B2310" s="1448" t="s">
        <v>1862</v>
      </c>
    </row>
    <row r="2311" spans="1:2" x14ac:dyDescent="0.25">
      <c r="A2311" s="879"/>
      <c r="B2311" s="1448" t="s">
        <v>1445</v>
      </c>
    </row>
    <row r="2312" spans="1:2" x14ac:dyDescent="0.25">
      <c r="A2312" s="879"/>
      <c r="B2312" s="1448" t="s">
        <v>1446</v>
      </c>
    </row>
    <row r="2313" spans="1:2" x14ac:dyDescent="0.25">
      <c r="A2313" s="879"/>
      <c r="B2313" s="1448" t="s">
        <v>1428</v>
      </c>
    </row>
    <row r="2314" spans="1:2" x14ac:dyDescent="0.25">
      <c r="A2314" s="879"/>
      <c r="B2314" s="1448" t="s">
        <v>1365</v>
      </c>
    </row>
    <row r="2315" spans="1:2" x14ac:dyDescent="0.25">
      <c r="A2315" s="879"/>
      <c r="B2315" s="1448" t="s">
        <v>1502</v>
      </c>
    </row>
    <row r="2316" spans="1:2" x14ac:dyDescent="0.25">
      <c r="A2316" s="879"/>
      <c r="B2316" s="1448" t="s">
        <v>1365</v>
      </c>
    </row>
    <row r="2317" spans="1:2" x14ac:dyDescent="0.25">
      <c r="A2317" s="879"/>
      <c r="B2317" s="1448" t="s">
        <v>1448</v>
      </c>
    </row>
    <row r="2318" spans="1:2" x14ac:dyDescent="0.25">
      <c r="A2318" s="879"/>
      <c r="B2318" s="1448" t="s">
        <v>1449</v>
      </c>
    </row>
    <row r="2319" spans="1:2" x14ac:dyDescent="0.25">
      <c r="A2319" s="879"/>
      <c r="B2319" s="1448" t="s">
        <v>1450</v>
      </c>
    </row>
    <row r="2320" spans="1:2" x14ac:dyDescent="0.25">
      <c r="A2320" s="879"/>
      <c r="B2320" s="1448" t="s">
        <v>1650</v>
      </c>
    </row>
    <row r="2321" spans="1:2" x14ac:dyDescent="0.25">
      <c r="A2321" s="879"/>
      <c r="B2321" s="1448" t="s">
        <v>1651</v>
      </c>
    </row>
    <row r="2322" spans="1:2" x14ac:dyDescent="0.25">
      <c r="A2322" s="879"/>
      <c r="B2322" s="1448" t="s">
        <v>1864</v>
      </c>
    </row>
    <row r="2323" spans="1:2" x14ac:dyDescent="0.25">
      <c r="A2323" s="879"/>
      <c r="B2323" s="1448" t="s">
        <v>1652</v>
      </c>
    </row>
    <row r="2324" spans="1:2" x14ac:dyDescent="0.25">
      <c r="A2324" s="879"/>
      <c r="B2324" s="1448" t="s">
        <v>1451</v>
      </c>
    </row>
    <row r="2325" spans="1:2" x14ac:dyDescent="0.25">
      <c r="A2325" s="879"/>
      <c r="B2325" s="1448" t="s">
        <v>1865</v>
      </c>
    </row>
    <row r="2326" spans="1:2" x14ac:dyDescent="0.25">
      <c r="A2326" s="879"/>
      <c r="B2326" s="1448" t="s">
        <v>1653</v>
      </c>
    </row>
    <row r="2327" spans="1:2" x14ac:dyDescent="0.25">
      <c r="A2327" s="879"/>
      <c r="B2327" s="1448" t="s">
        <v>1654</v>
      </c>
    </row>
    <row r="2328" spans="1:2" x14ac:dyDescent="0.25">
      <c r="A2328" s="879"/>
      <c r="B2328" s="1448" t="s">
        <v>1452</v>
      </c>
    </row>
    <row r="2329" spans="1:2" x14ac:dyDescent="0.25">
      <c r="A2329" s="879"/>
      <c r="B2329" s="1448" t="s">
        <v>1866</v>
      </c>
    </row>
    <row r="2330" spans="1:2" x14ac:dyDescent="0.25">
      <c r="A2330" s="879"/>
      <c r="B2330" s="1448" t="s">
        <v>1453</v>
      </c>
    </row>
    <row r="2331" spans="1:2" x14ac:dyDescent="0.25">
      <c r="A2331" s="879"/>
      <c r="B2331" s="1448" t="s">
        <v>1867</v>
      </c>
    </row>
    <row r="2332" spans="1:2" x14ac:dyDescent="0.25">
      <c r="A2332" s="879"/>
      <c r="B2332" s="1448" t="s">
        <v>1655</v>
      </c>
    </row>
    <row r="2333" spans="1:2" x14ac:dyDescent="0.25">
      <c r="A2333" s="879"/>
      <c r="B2333" s="1448" t="s">
        <v>1456</v>
      </c>
    </row>
    <row r="2334" spans="1:2" x14ac:dyDescent="0.25">
      <c r="A2334" s="879"/>
      <c r="B2334" s="1448" t="s">
        <v>1503</v>
      </c>
    </row>
    <row r="2335" spans="1:2" x14ac:dyDescent="0.25">
      <c r="A2335" s="879"/>
      <c r="B2335" s="1448" t="s">
        <v>1365</v>
      </c>
    </row>
    <row r="2336" spans="1:2" x14ac:dyDescent="0.25">
      <c r="A2336" s="879"/>
      <c r="B2336" s="1448" t="s">
        <v>1448</v>
      </c>
    </row>
    <row r="2337" spans="1:2" x14ac:dyDescent="0.25">
      <c r="A2337" s="879"/>
      <c r="B2337" s="1448" t="s">
        <v>1449</v>
      </c>
    </row>
    <row r="2338" spans="1:2" x14ac:dyDescent="0.25">
      <c r="A2338" s="879"/>
      <c r="B2338" s="1448" t="s">
        <v>1450</v>
      </c>
    </row>
    <row r="2339" spans="1:2" x14ac:dyDescent="0.25">
      <c r="A2339" s="879"/>
      <c r="B2339" s="1448" t="s">
        <v>1650</v>
      </c>
    </row>
    <row r="2340" spans="1:2" x14ac:dyDescent="0.25">
      <c r="A2340" s="879"/>
      <c r="B2340" s="1448" t="s">
        <v>1651</v>
      </c>
    </row>
    <row r="2341" spans="1:2" x14ac:dyDescent="0.25">
      <c r="A2341" s="879"/>
      <c r="B2341" s="1448" t="s">
        <v>1864</v>
      </c>
    </row>
    <row r="2342" spans="1:2" x14ac:dyDescent="0.25">
      <c r="A2342" s="879"/>
      <c r="B2342" s="1448" t="s">
        <v>1652</v>
      </c>
    </row>
    <row r="2343" spans="1:2" x14ac:dyDescent="0.25">
      <c r="A2343" s="879"/>
      <c r="B2343" s="1448" t="s">
        <v>1451</v>
      </c>
    </row>
    <row r="2344" spans="1:2" x14ac:dyDescent="0.25">
      <c r="A2344" s="879"/>
      <c r="B2344" s="1448" t="s">
        <v>1865</v>
      </c>
    </row>
    <row r="2345" spans="1:2" x14ac:dyDescent="0.25">
      <c r="A2345" s="879"/>
      <c r="B2345" s="1448" t="s">
        <v>1653</v>
      </c>
    </row>
    <row r="2346" spans="1:2" x14ac:dyDescent="0.25">
      <c r="A2346" s="879"/>
      <c r="B2346" s="1448" t="s">
        <v>1654</v>
      </c>
    </row>
    <row r="2347" spans="1:2" x14ac:dyDescent="0.25">
      <c r="A2347" s="879"/>
      <c r="B2347" s="1448" t="s">
        <v>1452</v>
      </c>
    </row>
    <row r="2348" spans="1:2" x14ac:dyDescent="0.25">
      <c r="A2348" s="879"/>
      <c r="B2348" s="1448" t="s">
        <v>1866</v>
      </c>
    </row>
    <row r="2349" spans="1:2" x14ac:dyDescent="0.25">
      <c r="A2349" s="879"/>
      <c r="B2349" s="1448" t="s">
        <v>1453</v>
      </c>
    </row>
    <row r="2350" spans="1:2" x14ac:dyDescent="0.25">
      <c r="A2350" s="879"/>
      <c r="B2350" s="1448" t="s">
        <v>1867</v>
      </c>
    </row>
    <row r="2351" spans="1:2" x14ac:dyDescent="0.25">
      <c r="A2351" s="879"/>
      <c r="B2351" s="1448" t="s">
        <v>1655</v>
      </c>
    </row>
    <row r="2352" spans="1:2" x14ac:dyDescent="0.25">
      <c r="A2352" s="879"/>
      <c r="B2352" s="1448" t="s">
        <v>1456</v>
      </c>
    </row>
    <row r="2353" spans="1:2" x14ac:dyDescent="0.25">
      <c r="A2353" s="879"/>
      <c r="B2353" s="1448" t="s">
        <v>1504</v>
      </c>
    </row>
    <row r="2354" spans="1:2" x14ac:dyDescent="0.25">
      <c r="A2354" s="879"/>
      <c r="B2354" s="1448" t="s">
        <v>1365</v>
      </c>
    </row>
    <row r="2355" spans="1:2" x14ac:dyDescent="0.25">
      <c r="A2355" s="879"/>
      <c r="B2355" s="1448" t="s">
        <v>1448</v>
      </c>
    </row>
    <row r="2356" spans="1:2" x14ac:dyDescent="0.25">
      <c r="A2356" s="879"/>
      <c r="B2356" s="1448" t="s">
        <v>1449</v>
      </c>
    </row>
    <row r="2357" spans="1:2" x14ac:dyDescent="0.25">
      <c r="A2357" s="879"/>
      <c r="B2357" s="1448" t="s">
        <v>1450</v>
      </c>
    </row>
    <row r="2358" spans="1:2" x14ac:dyDescent="0.25">
      <c r="A2358" s="879"/>
      <c r="B2358" s="1448" t="s">
        <v>1650</v>
      </c>
    </row>
    <row r="2359" spans="1:2" x14ac:dyDescent="0.25">
      <c r="A2359" s="879"/>
      <c r="B2359" s="1448" t="s">
        <v>1651</v>
      </c>
    </row>
    <row r="2360" spans="1:2" x14ac:dyDescent="0.25">
      <c r="A2360" s="879"/>
      <c r="B2360" s="1448" t="s">
        <v>1864</v>
      </c>
    </row>
    <row r="2361" spans="1:2" x14ac:dyDescent="0.25">
      <c r="A2361" s="879"/>
      <c r="B2361" s="1448" t="s">
        <v>1652</v>
      </c>
    </row>
    <row r="2362" spans="1:2" x14ac:dyDescent="0.25">
      <c r="A2362" s="879"/>
      <c r="B2362" s="1448" t="s">
        <v>1451</v>
      </c>
    </row>
    <row r="2363" spans="1:2" x14ac:dyDescent="0.25">
      <c r="A2363" s="879"/>
      <c r="B2363" s="1448" t="s">
        <v>1865</v>
      </c>
    </row>
    <row r="2364" spans="1:2" x14ac:dyDescent="0.25">
      <c r="A2364" s="879"/>
      <c r="B2364" s="1448" t="s">
        <v>1653</v>
      </c>
    </row>
    <row r="2365" spans="1:2" x14ac:dyDescent="0.25">
      <c r="A2365" s="879"/>
      <c r="B2365" s="1448" t="s">
        <v>1654</v>
      </c>
    </row>
    <row r="2366" spans="1:2" x14ac:dyDescent="0.25">
      <c r="A2366" s="879"/>
      <c r="B2366" s="1448" t="s">
        <v>1452</v>
      </c>
    </row>
    <row r="2367" spans="1:2" x14ac:dyDescent="0.25">
      <c r="A2367" s="879"/>
      <c r="B2367" s="1448" t="s">
        <v>1866</v>
      </c>
    </row>
    <row r="2368" spans="1:2" x14ac:dyDescent="0.25">
      <c r="A2368" s="879"/>
      <c r="B2368" s="1448" t="s">
        <v>1453</v>
      </c>
    </row>
    <row r="2369" spans="1:2" x14ac:dyDescent="0.25">
      <c r="A2369" s="879"/>
      <c r="B2369" s="1448" t="s">
        <v>1867</v>
      </c>
    </row>
    <row r="2370" spans="1:2" x14ac:dyDescent="0.25">
      <c r="A2370" s="879"/>
      <c r="B2370" s="1448" t="s">
        <v>1655</v>
      </c>
    </row>
    <row r="2371" spans="1:2" x14ac:dyDescent="0.25">
      <c r="A2371" s="879"/>
      <c r="B2371" s="1448" t="s">
        <v>1456</v>
      </c>
    </row>
    <row r="2372" spans="1:2" x14ac:dyDescent="0.25">
      <c r="A2372" s="879"/>
      <c r="B2372" s="1448" t="s">
        <v>1505</v>
      </c>
    </row>
    <row r="2373" spans="1:2" x14ac:dyDescent="0.25">
      <c r="A2373" s="879"/>
      <c r="B2373" s="1448" t="s">
        <v>1365</v>
      </c>
    </row>
    <row r="2374" spans="1:2" x14ac:dyDescent="0.25">
      <c r="A2374" s="879"/>
      <c r="B2374" s="1448" t="s">
        <v>1448</v>
      </c>
    </row>
    <row r="2375" spans="1:2" x14ac:dyDescent="0.25">
      <c r="A2375" s="879"/>
      <c r="B2375" s="1448" t="s">
        <v>1449</v>
      </c>
    </row>
    <row r="2376" spans="1:2" x14ac:dyDescent="0.25">
      <c r="A2376" s="879"/>
      <c r="B2376" s="1448" t="s">
        <v>1450</v>
      </c>
    </row>
    <row r="2377" spans="1:2" x14ac:dyDescent="0.25">
      <c r="A2377" s="879"/>
      <c r="B2377" s="1448" t="s">
        <v>1650</v>
      </c>
    </row>
    <row r="2378" spans="1:2" x14ac:dyDescent="0.25">
      <c r="A2378" s="879"/>
      <c r="B2378" s="1448" t="s">
        <v>1651</v>
      </c>
    </row>
    <row r="2379" spans="1:2" x14ac:dyDescent="0.25">
      <c r="A2379" s="879"/>
      <c r="B2379" s="1448" t="s">
        <v>1864</v>
      </c>
    </row>
    <row r="2380" spans="1:2" x14ac:dyDescent="0.25">
      <c r="A2380" s="879"/>
      <c r="B2380" s="1448" t="s">
        <v>1652</v>
      </c>
    </row>
    <row r="2381" spans="1:2" x14ac:dyDescent="0.25">
      <c r="A2381" s="879"/>
      <c r="B2381" s="1448" t="s">
        <v>1451</v>
      </c>
    </row>
    <row r="2382" spans="1:2" x14ac:dyDescent="0.25">
      <c r="A2382" s="879"/>
      <c r="B2382" s="1448" t="s">
        <v>1865</v>
      </c>
    </row>
    <row r="2383" spans="1:2" x14ac:dyDescent="0.25">
      <c r="A2383" s="879"/>
      <c r="B2383" s="1448" t="s">
        <v>1653</v>
      </c>
    </row>
    <row r="2384" spans="1:2" x14ac:dyDescent="0.25">
      <c r="A2384" s="879"/>
      <c r="B2384" s="1448" t="s">
        <v>1654</v>
      </c>
    </row>
    <row r="2385" spans="1:2" x14ac:dyDescent="0.25">
      <c r="A2385" s="879"/>
      <c r="B2385" s="1448" t="s">
        <v>1452</v>
      </c>
    </row>
    <row r="2386" spans="1:2" x14ac:dyDescent="0.25">
      <c r="A2386" s="879"/>
      <c r="B2386" s="1448" t="s">
        <v>1866</v>
      </c>
    </row>
    <row r="2387" spans="1:2" x14ac:dyDescent="0.25">
      <c r="A2387" s="879"/>
      <c r="B2387" s="1448" t="s">
        <v>1453</v>
      </c>
    </row>
    <row r="2388" spans="1:2" x14ac:dyDescent="0.25">
      <c r="A2388" s="879"/>
      <c r="B2388" s="1448" t="s">
        <v>1867</v>
      </c>
    </row>
    <row r="2389" spans="1:2" x14ac:dyDescent="0.25">
      <c r="A2389" s="879"/>
      <c r="B2389" s="1448" t="s">
        <v>1655</v>
      </c>
    </row>
    <row r="2390" spans="1:2" x14ac:dyDescent="0.25">
      <c r="A2390" s="879"/>
      <c r="B2390" s="1448" t="s">
        <v>1456</v>
      </c>
    </row>
    <row r="2391" spans="1:2" x14ac:dyDescent="0.25">
      <c r="A2391" s="879"/>
      <c r="B2391" s="1448" t="s">
        <v>1656</v>
      </c>
    </row>
    <row r="2392" spans="1:2" x14ac:dyDescent="0.25">
      <c r="A2392" s="879"/>
      <c r="B2392" s="1448" t="s">
        <v>1365</v>
      </c>
    </row>
    <row r="2393" spans="1:2" x14ac:dyDescent="0.25">
      <c r="A2393" s="879"/>
      <c r="B2393" s="1448" t="s">
        <v>1657</v>
      </c>
    </row>
    <row r="2394" spans="1:2" x14ac:dyDescent="0.25">
      <c r="A2394" s="879"/>
      <c r="B2394" s="1448" t="s">
        <v>1658</v>
      </c>
    </row>
    <row r="2395" spans="1:2" x14ac:dyDescent="0.25">
      <c r="A2395" s="879"/>
      <c r="B2395" s="1448" t="s">
        <v>1659</v>
      </c>
    </row>
    <row r="2396" spans="1:2" x14ac:dyDescent="0.25">
      <c r="A2396" s="879"/>
      <c r="B2396" s="1448" t="s">
        <v>1660</v>
      </c>
    </row>
    <row r="2397" spans="1:2" x14ac:dyDescent="0.25">
      <c r="A2397" s="879"/>
      <c r="B2397" s="1448" t="s">
        <v>1678</v>
      </c>
    </row>
    <row r="2398" spans="1:2" x14ac:dyDescent="0.25">
      <c r="A2398" s="879"/>
      <c r="B2398" s="1448" t="s">
        <v>1662</v>
      </c>
    </row>
    <row r="2399" spans="1:2" x14ac:dyDescent="0.25">
      <c r="A2399" s="879"/>
      <c r="B2399" s="1448" t="s">
        <v>1679</v>
      </c>
    </row>
    <row r="2400" spans="1:2" x14ac:dyDescent="0.25">
      <c r="A2400" s="879"/>
      <c r="B2400" s="1448" t="s">
        <v>1680</v>
      </c>
    </row>
    <row r="2401" spans="1:2" x14ac:dyDescent="0.25">
      <c r="A2401" s="879"/>
      <c r="B2401" s="1448" t="s">
        <v>1868</v>
      </c>
    </row>
    <row r="2402" spans="1:2" x14ac:dyDescent="0.25">
      <c r="A2402" s="879"/>
      <c r="B2402" s="1448" t="s">
        <v>1666</v>
      </c>
    </row>
    <row r="2403" spans="1:2" x14ac:dyDescent="0.25">
      <c r="A2403" s="879"/>
      <c r="B2403" s="1448" t="s">
        <v>1681</v>
      </c>
    </row>
    <row r="2404" spans="1:2" x14ac:dyDescent="0.25">
      <c r="A2404" s="879"/>
      <c r="B2404" s="1448" t="s">
        <v>1682</v>
      </c>
    </row>
    <row r="2405" spans="1:2" x14ac:dyDescent="0.25">
      <c r="A2405" s="879"/>
      <c r="B2405" s="1448" t="s">
        <v>1669</v>
      </c>
    </row>
    <row r="2406" spans="1:2" x14ac:dyDescent="0.25">
      <c r="A2406" s="879"/>
      <c r="B2406" s="1448" t="s">
        <v>1683</v>
      </c>
    </row>
    <row r="2407" spans="1:2" x14ac:dyDescent="0.25">
      <c r="A2407" s="879"/>
      <c r="B2407" s="1448" t="s">
        <v>1671</v>
      </c>
    </row>
    <row r="2408" spans="1:2" x14ac:dyDescent="0.25">
      <c r="A2408" s="879"/>
      <c r="B2408" s="1448" t="s">
        <v>1769</v>
      </c>
    </row>
    <row r="2409" spans="1:2" x14ac:dyDescent="0.25">
      <c r="A2409" s="879"/>
      <c r="B2409" s="1448" t="s">
        <v>1365</v>
      </c>
    </row>
    <row r="2410" spans="1:2" x14ac:dyDescent="0.25">
      <c r="A2410" s="879"/>
      <c r="B2410" s="1448" t="s">
        <v>1770</v>
      </c>
    </row>
    <row r="2411" spans="1:2" x14ac:dyDescent="0.25">
      <c r="A2411" s="879"/>
      <c r="B2411" s="1448" t="s">
        <v>2208</v>
      </c>
    </row>
    <row r="2412" spans="1:2" x14ac:dyDescent="0.25">
      <c r="A2412" s="879"/>
      <c r="B2412" s="1448" t="s">
        <v>1772</v>
      </c>
    </row>
    <row r="2413" spans="1:2" x14ac:dyDescent="0.25">
      <c r="A2413" s="879"/>
      <c r="B2413" s="1448" t="s">
        <v>1365</v>
      </c>
    </row>
    <row r="2414" spans="1:2" x14ac:dyDescent="0.25">
      <c r="A2414" s="879"/>
      <c r="B2414" s="1448" t="s">
        <v>1773</v>
      </c>
    </row>
    <row r="2415" spans="1:2" x14ac:dyDescent="0.25">
      <c r="A2415" s="879"/>
      <c r="B2415" s="1448"/>
    </row>
    <row r="2416" spans="1:2" x14ac:dyDescent="0.25">
      <c r="A2416" s="879"/>
      <c r="B2416" s="1448"/>
    </row>
    <row r="2417" spans="1:2" x14ac:dyDescent="0.25">
      <c r="A2417" s="879"/>
      <c r="B2417" s="1448" t="s">
        <v>1366</v>
      </c>
    </row>
    <row r="2418" spans="1:2" x14ac:dyDescent="0.25">
      <c r="A2418" s="879"/>
      <c r="B2418" s="1448" t="s">
        <v>2209</v>
      </c>
    </row>
    <row r="2419" spans="1:2" x14ac:dyDescent="0.25">
      <c r="A2419" s="879"/>
      <c r="B2419" s="1448" t="s">
        <v>1366</v>
      </c>
    </row>
    <row r="2420" spans="1:2" x14ac:dyDescent="0.25">
      <c r="A2420" s="879"/>
      <c r="B2420" s="1448" t="s">
        <v>1713</v>
      </c>
    </row>
    <row r="2421" spans="1:2" x14ac:dyDescent="0.25">
      <c r="A2421" s="879"/>
      <c r="B2421" s="1448" t="s">
        <v>1365</v>
      </c>
    </row>
    <row r="2422" spans="1:2" x14ac:dyDescent="0.25">
      <c r="A2422" s="879"/>
      <c r="B2422" s="1448" t="s">
        <v>1367</v>
      </c>
    </row>
    <row r="2423" spans="1:2" x14ac:dyDescent="0.25">
      <c r="A2423" s="879"/>
      <c r="B2423" s="1448" t="s">
        <v>1368</v>
      </c>
    </row>
    <row r="2424" spans="1:2" x14ac:dyDescent="0.25">
      <c r="A2424" s="879"/>
      <c r="B2424" s="1448" t="s">
        <v>1365</v>
      </c>
    </row>
    <row r="2425" spans="1:2" x14ac:dyDescent="0.25">
      <c r="A2425" s="879"/>
      <c r="B2425" s="1448" t="s">
        <v>1369</v>
      </c>
    </row>
    <row r="2426" spans="1:2" x14ac:dyDescent="0.25">
      <c r="A2426" s="879"/>
      <c r="B2426" s="1448" t="s">
        <v>1370</v>
      </c>
    </row>
    <row r="2427" spans="1:2" x14ac:dyDescent="0.25">
      <c r="A2427" s="879"/>
      <c r="B2427" s="1448" t="s">
        <v>1371</v>
      </c>
    </row>
    <row r="2428" spans="1:2" x14ac:dyDescent="0.25">
      <c r="A2428" s="879"/>
      <c r="B2428" s="1448" t="s">
        <v>1372</v>
      </c>
    </row>
    <row r="2429" spans="1:2" x14ac:dyDescent="0.25">
      <c r="A2429" s="879"/>
      <c r="B2429" s="1448" t="s">
        <v>1373</v>
      </c>
    </row>
    <row r="2430" spans="1:2" x14ac:dyDescent="0.25">
      <c r="A2430" s="879"/>
      <c r="B2430" s="1448" t="s">
        <v>1374</v>
      </c>
    </row>
    <row r="2431" spans="1:2" x14ac:dyDescent="0.25">
      <c r="A2431" s="879"/>
      <c r="B2431" s="1448" t="s">
        <v>1375</v>
      </c>
    </row>
    <row r="2432" spans="1:2" x14ac:dyDescent="0.25">
      <c r="A2432" s="879"/>
      <c r="B2432" s="1448" t="s">
        <v>1376</v>
      </c>
    </row>
    <row r="2433" spans="1:2" x14ac:dyDescent="0.25">
      <c r="A2433" s="879"/>
      <c r="B2433" s="1448" t="s">
        <v>1377</v>
      </c>
    </row>
    <row r="2434" spans="1:2" x14ac:dyDescent="0.25">
      <c r="A2434" s="879"/>
      <c r="B2434" s="1448" t="s">
        <v>1378</v>
      </c>
    </row>
    <row r="2435" spans="1:2" x14ac:dyDescent="0.25">
      <c r="A2435" s="879"/>
      <c r="B2435" s="1448" t="s">
        <v>1379</v>
      </c>
    </row>
    <row r="2436" spans="1:2" x14ac:dyDescent="0.25">
      <c r="A2436" s="879"/>
      <c r="B2436" s="1448" t="s">
        <v>1380</v>
      </c>
    </row>
    <row r="2437" spans="1:2" x14ac:dyDescent="0.25">
      <c r="A2437" s="879"/>
      <c r="B2437" s="1448" t="s">
        <v>1365</v>
      </c>
    </row>
    <row r="2438" spans="1:2" x14ac:dyDescent="0.25">
      <c r="A2438" s="879"/>
      <c r="B2438" s="1448" t="s">
        <v>1369</v>
      </c>
    </row>
    <row r="2439" spans="1:2" x14ac:dyDescent="0.25">
      <c r="A2439" s="879"/>
      <c r="B2439" s="1448" t="s">
        <v>1381</v>
      </c>
    </row>
    <row r="2440" spans="1:2" x14ac:dyDescent="0.25">
      <c r="A2440" s="879"/>
      <c r="B2440" s="1448" t="s">
        <v>1382</v>
      </c>
    </row>
    <row r="2441" spans="1:2" x14ac:dyDescent="0.25">
      <c r="A2441" s="879"/>
      <c r="B2441" s="1448" t="s">
        <v>1383</v>
      </c>
    </row>
    <row r="2442" spans="1:2" x14ac:dyDescent="0.25">
      <c r="A2442" s="879"/>
      <c r="B2442" s="1448" t="s">
        <v>1384</v>
      </c>
    </row>
    <row r="2443" spans="1:2" x14ac:dyDescent="0.25">
      <c r="A2443" s="879"/>
      <c r="B2443" s="1448" t="s">
        <v>1385</v>
      </c>
    </row>
    <row r="2444" spans="1:2" x14ac:dyDescent="0.25">
      <c r="A2444" s="879"/>
      <c r="B2444" s="1448" t="s">
        <v>1386</v>
      </c>
    </row>
    <row r="2445" spans="1:2" x14ac:dyDescent="0.25">
      <c r="A2445" s="879"/>
      <c r="B2445" s="1448" t="s">
        <v>1387</v>
      </c>
    </row>
    <row r="2446" spans="1:2" x14ac:dyDescent="0.25">
      <c r="A2446" s="879"/>
      <c r="B2446" s="1448" t="s">
        <v>1388</v>
      </c>
    </row>
    <row r="2447" spans="1:2" x14ac:dyDescent="0.25">
      <c r="A2447" s="879"/>
      <c r="B2447" s="1448" t="s">
        <v>1389</v>
      </c>
    </row>
    <row r="2448" spans="1:2" x14ac:dyDescent="0.25">
      <c r="A2448" s="879"/>
      <c r="B2448" s="1448" t="s">
        <v>1390</v>
      </c>
    </row>
    <row r="2449" spans="1:2" x14ac:dyDescent="0.25">
      <c r="A2449" s="879"/>
      <c r="B2449" s="1448" t="s">
        <v>1391</v>
      </c>
    </row>
    <row r="2450" spans="1:2" x14ac:dyDescent="0.25">
      <c r="A2450" s="879"/>
      <c r="B2450" s="1448" t="s">
        <v>1392</v>
      </c>
    </row>
    <row r="2451" spans="1:2" x14ac:dyDescent="0.25">
      <c r="A2451" s="879"/>
      <c r="B2451" s="1448" t="s">
        <v>1393</v>
      </c>
    </row>
    <row r="2452" spans="1:2" x14ac:dyDescent="0.25">
      <c r="A2452" s="879"/>
      <c r="B2452" s="1448" t="s">
        <v>1394</v>
      </c>
    </row>
    <row r="2453" spans="1:2" x14ac:dyDescent="0.25">
      <c r="A2453" s="879"/>
      <c r="B2453" s="1448" t="s">
        <v>1395</v>
      </c>
    </row>
    <row r="2454" spans="1:2" x14ac:dyDescent="0.25">
      <c r="A2454" s="879"/>
      <c r="B2454" s="1448" t="s">
        <v>1396</v>
      </c>
    </row>
    <row r="2455" spans="1:2" x14ac:dyDescent="0.25">
      <c r="A2455" s="879"/>
      <c r="B2455" s="1448" t="s">
        <v>1397</v>
      </c>
    </row>
    <row r="2456" spans="1:2" x14ac:dyDescent="0.25">
      <c r="A2456" s="879"/>
      <c r="B2456" s="1448" t="s">
        <v>1398</v>
      </c>
    </row>
    <row r="2457" spans="1:2" x14ac:dyDescent="0.25">
      <c r="A2457" s="879"/>
      <c r="B2457" s="1448" t="s">
        <v>1399</v>
      </c>
    </row>
    <row r="2458" spans="1:2" x14ac:dyDescent="0.25">
      <c r="A2458" s="879"/>
      <c r="B2458" s="1448" t="s">
        <v>1400</v>
      </c>
    </row>
    <row r="2459" spans="1:2" x14ac:dyDescent="0.25">
      <c r="A2459" s="879"/>
      <c r="B2459" s="1448" t="s">
        <v>1401</v>
      </c>
    </row>
    <row r="2460" spans="1:2" x14ac:dyDescent="0.25">
      <c r="A2460" s="879"/>
      <c r="B2460" s="1448" t="s">
        <v>1402</v>
      </c>
    </row>
    <row r="2461" spans="1:2" x14ac:dyDescent="0.25">
      <c r="A2461" s="879"/>
      <c r="B2461" s="1448" t="s">
        <v>1403</v>
      </c>
    </row>
    <row r="2462" spans="1:2" x14ac:dyDescent="0.25">
      <c r="A2462" s="879"/>
      <c r="B2462" s="1448" t="s">
        <v>1404</v>
      </c>
    </row>
    <row r="2463" spans="1:2" x14ac:dyDescent="0.25">
      <c r="A2463" s="879"/>
      <c r="B2463" s="1448" t="s">
        <v>1405</v>
      </c>
    </row>
    <row r="2464" spans="1:2" x14ac:dyDescent="0.25">
      <c r="A2464" s="879"/>
      <c r="B2464" s="1448" t="s">
        <v>1406</v>
      </c>
    </row>
    <row r="2465" spans="1:2" x14ac:dyDescent="0.25">
      <c r="A2465" s="879"/>
      <c r="B2465" s="1448" t="s">
        <v>1407</v>
      </c>
    </row>
    <row r="2466" spans="1:2" x14ac:dyDescent="0.25">
      <c r="A2466" s="879"/>
      <c r="B2466" s="1448" t="s">
        <v>1408</v>
      </c>
    </row>
    <row r="2467" spans="1:2" x14ac:dyDescent="0.25">
      <c r="A2467" s="879"/>
      <c r="B2467" s="1448" t="s">
        <v>1409</v>
      </c>
    </row>
    <row r="2468" spans="1:2" x14ac:dyDescent="0.25">
      <c r="A2468" s="879"/>
      <c r="B2468" s="1448" t="s">
        <v>1410</v>
      </c>
    </row>
    <row r="2469" spans="1:2" x14ac:dyDescent="0.25">
      <c r="A2469" s="879"/>
      <c r="B2469" s="1448" t="s">
        <v>1411</v>
      </c>
    </row>
    <row r="2470" spans="1:2" x14ac:dyDescent="0.25">
      <c r="A2470" s="879"/>
      <c r="B2470" s="1448" t="s">
        <v>1412</v>
      </c>
    </row>
    <row r="2471" spans="1:2" x14ac:dyDescent="0.25">
      <c r="A2471" s="879"/>
      <c r="B2471" s="1448" t="s">
        <v>1413</v>
      </c>
    </row>
    <row r="2472" spans="1:2" x14ac:dyDescent="0.25">
      <c r="A2472" s="879"/>
      <c r="B2472" s="1448" t="s">
        <v>1414</v>
      </c>
    </row>
    <row r="2473" spans="1:2" x14ac:dyDescent="0.25">
      <c r="A2473" s="879"/>
      <c r="B2473" s="1448" t="s">
        <v>1415</v>
      </c>
    </row>
    <row r="2474" spans="1:2" x14ac:dyDescent="0.25">
      <c r="A2474" s="879"/>
      <c r="B2474" s="1448" t="s">
        <v>1416</v>
      </c>
    </row>
    <row r="2475" spans="1:2" x14ac:dyDescent="0.25">
      <c r="A2475" s="879"/>
      <c r="B2475" s="1448" t="s">
        <v>1417</v>
      </c>
    </row>
    <row r="2476" spans="1:2" x14ac:dyDescent="0.25">
      <c r="A2476" s="879"/>
      <c r="B2476" s="1448" t="s">
        <v>1418</v>
      </c>
    </row>
    <row r="2477" spans="1:2" x14ac:dyDescent="0.25">
      <c r="A2477" s="879"/>
      <c r="B2477" s="1448" t="s">
        <v>1419</v>
      </c>
    </row>
    <row r="2478" spans="1:2" x14ac:dyDescent="0.25">
      <c r="A2478" s="879"/>
      <c r="B2478" s="1448" t="s">
        <v>1420</v>
      </c>
    </row>
    <row r="2479" spans="1:2" x14ac:dyDescent="0.25">
      <c r="A2479" s="879"/>
      <c r="B2479" s="1448" t="s">
        <v>1421</v>
      </c>
    </row>
    <row r="2480" spans="1:2" x14ac:dyDescent="0.25">
      <c r="A2480" s="879"/>
      <c r="B2480" s="1448" t="s">
        <v>1422</v>
      </c>
    </row>
    <row r="2481" spans="1:2" x14ac:dyDescent="0.25">
      <c r="A2481" s="879"/>
      <c r="B2481" s="1448" t="s">
        <v>1423</v>
      </c>
    </row>
    <row r="2482" spans="1:2" x14ac:dyDescent="0.25">
      <c r="A2482" s="879"/>
      <c r="B2482" s="1448" t="s">
        <v>1424</v>
      </c>
    </row>
    <row r="2483" spans="1:2" x14ac:dyDescent="0.25">
      <c r="A2483" s="879"/>
      <c r="B2483" s="1448" t="s">
        <v>1425</v>
      </c>
    </row>
    <row r="2484" spans="1:2" x14ac:dyDescent="0.25">
      <c r="A2484" s="879"/>
      <c r="B2484" s="1448" t="s">
        <v>1426</v>
      </c>
    </row>
    <row r="2485" spans="1:2" x14ac:dyDescent="0.25">
      <c r="A2485" s="879"/>
      <c r="B2485" s="1448" t="s">
        <v>1427</v>
      </c>
    </row>
    <row r="2486" spans="1:2" x14ac:dyDescent="0.25">
      <c r="A2486" s="879"/>
      <c r="B2486" s="1448" t="s">
        <v>1428</v>
      </c>
    </row>
    <row r="2487" spans="1:2" x14ac:dyDescent="0.25">
      <c r="A2487" s="879"/>
      <c r="B2487" s="1448" t="s">
        <v>1365</v>
      </c>
    </row>
    <row r="2488" spans="1:2" x14ac:dyDescent="0.25">
      <c r="A2488" s="879"/>
      <c r="B2488" s="1448" t="s">
        <v>1429</v>
      </c>
    </row>
    <row r="2489" spans="1:2" x14ac:dyDescent="0.25">
      <c r="A2489" s="879"/>
      <c r="B2489" s="1448" t="s">
        <v>1769</v>
      </c>
    </row>
    <row r="2490" spans="1:2" x14ac:dyDescent="0.25">
      <c r="A2490" s="879"/>
      <c r="B2490" s="1448" t="s">
        <v>1365</v>
      </c>
    </row>
    <row r="2491" spans="1:2" x14ac:dyDescent="0.25">
      <c r="A2491" s="879"/>
      <c r="B2491" s="1448" t="s">
        <v>1770</v>
      </c>
    </row>
    <row r="2492" spans="1:2" x14ac:dyDescent="0.25">
      <c r="A2492" s="879"/>
      <c r="B2492" s="1448" t="s">
        <v>1365</v>
      </c>
    </row>
    <row r="2493" spans="1:2" x14ac:dyDescent="0.25">
      <c r="A2493" s="879"/>
      <c r="B2493" s="1448" t="s">
        <v>1772</v>
      </c>
    </row>
    <row r="2494" spans="1:2" x14ac:dyDescent="0.25">
      <c r="A2494" s="879"/>
      <c r="B2494" s="1448" t="s">
        <v>1365</v>
      </c>
    </row>
    <row r="2495" spans="1:2" x14ac:dyDescent="0.25">
      <c r="A2495" s="879"/>
      <c r="B2495" s="1448" t="s">
        <v>1773</v>
      </c>
    </row>
    <row r="2496" spans="1:2" x14ac:dyDescent="0.25">
      <c r="A2496" s="879"/>
      <c r="B2496" s="1448"/>
    </row>
    <row r="2497" spans="1:2" x14ac:dyDescent="0.25">
      <c r="A2497" s="879"/>
      <c r="B2497" s="1448"/>
    </row>
    <row r="2498" spans="1:2" x14ac:dyDescent="0.25">
      <c r="A2498" s="879"/>
      <c r="B2498" s="1448" t="s">
        <v>1366</v>
      </c>
    </row>
    <row r="2499" spans="1:2" x14ac:dyDescent="0.25">
      <c r="A2499" s="879"/>
      <c r="B2499" s="1448" t="s">
        <v>2210</v>
      </c>
    </row>
    <row r="2500" spans="1:2" x14ac:dyDescent="0.25">
      <c r="A2500" s="879"/>
      <c r="B2500" s="1448" t="s">
        <v>1366</v>
      </c>
    </row>
    <row r="2501" spans="1:2" x14ac:dyDescent="0.25">
      <c r="A2501" s="879"/>
      <c r="B2501" s="1448" t="s">
        <v>2211</v>
      </c>
    </row>
    <row r="2502" spans="1:2" x14ac:dyDescent="0.25">
      <c r="A2502" s="879"/>
      <c r="B2502" s="1448" t="s">
        <v>1365</v>
      </c>
    </row>
    <row r="2503" spans="1:2" x14ac:dyDescent="0.25">
      <c r="A2503" s="879"/>
      <c r="B2503" s="1448" t="s">
        <v>1367</v>
      </c>
    </row>
    <row r="2504" spans="1:2" x14ac:dyDescent="0.25">
      <c r="A2504" s="879"/>
      <c r="B2504" s="1448" t="s">
        <v>1368</v>
      </c>
    </row>
    <row r="2505" spans="1:2" x14ac:dyDescent="0.25">
      <c r="A2505" s="879"/>
      <c r="B2505" s="1448" t="s">
        <v>1365</v>
      </c>
    </row>
    <row r="2506" spans="1:2" x14ac:dyDescent="0.25">
      <c r="A2506" s="879"/>
      <c r="B2506" s="1448" t="s">
        <v>1458</v>
      </c>
    </row>
    <row r="2507" spans="1:2" x14ac:dyDescent="0.25">
      <c r="A2507" s="879"/>
      <c r="B2507" s="1448" t="s">
        <v>1459</v>
      </c>
    </row>
    <row r="2508" spans="1:2" x14ac:dyDescent="0.25">
      <c r="A2508" s="879"/>
      <c r="B2508" s="1448" t="s">
        <v>1775</v>
      </c>
    </row>
    <row r="2509" spans="1:2" x14ac:dyDescent="0.25">
      <c r="A2509" s="879"/>
      <c r="B2509" s="1448" t="s">
        <v>1685</v>
      </c>
    </row>
    <row r="2510" spans="1:2" x14ac:dyDescent="0.25">
      <c r="A2510" s="879"/>
      <c r="B2510" s="1448" t="s">
        <v>1776</v>
      </c>
    </row>
    <row r="2511" spans="1:2" x14ac:dyDescent="0.25">
      <c r="A2511" s="879"/>
      <c r="B2511" s="1448" t="s">
        <v>1777</v>
      </c>
    </row>
    <row r="2512" spans="1:2" x14ac:dyDescent="0.25">
      <c r="A2512" s="879"/>
      <c r="B2512" s="1448" t="s">
        <v>1778</v>
      </c>
    </row>
    <row r="2513" spans="1:2" x14ac:dyDescent="0.25">
      <c r="A2513" s="879"/>
      <c r="B2513" s="1448" t="s">
        <v>1779</v>
      </c>
    </row>
    <row r="2514" spans="1:2" x14ac:dyDescent="0.25">
      <c r="A2514" s="879"/>
      <c r="B2514" s="1448" t="s">
        <v>1723</v>
      </c>
    </row>
    <row r="2515" spans="1:2" x14ac:dyDescent="0.25">
      <c r="A2515" s="879"/>
      <c r="B2515" s="1448" t="s">
        <v>1780</v>
      </c>
    </row>
    <row r="2516" spans="1:2" x14ac:dyDescent="0.25">
      <c r="A2516" s="879"/>
      <c r="B2516" s="1448" t="s">
        <v>1460</v>
      </c>
    </row>
    <row r="2517" spans="1:2" x14ac:dyDescent="0.25">
      <c r="A2517" s="879"/>
      <c r="B2517" s="1448" t="s">
        <v>1380</v>
      </c>
    </row>
    <row r="2518" spans="1:2" x14ac:dyDescent="0.25">
      <c r="A2518" s="879"/>
      <c r="B2518" s="1448" t="s">
        <v>1365</v>
      </c>
    </row>
    <row r="2519" spans="1:2" x14ac:dyDescent="0.25">
      <c r="A2519" s="879"/>
      <c r="B2519" s="1448" t="s">
        <v>1458</v>
      </c>
    </row>
    <row r="2520" spans="1:2" x14ac:dyDescent="0.25">
      <c r="A2520" s="879"/>
      <c r="B2520" s="1448" t="s">
        <v>1781</v>
      </c>
    </row>
    <row r="2521" spans="1:2" x14ac:dyDescent="0.25">
      <c r="A2521" s="879"/>
      <c r="B2521" s="1448" t="s">
        <v>1782</v>
      </c>
    </row>
    <row r="2522" spans="1:2" x14ac:dyDescent="0.25">
      <c r="A2522" s="879"/>
      <c r="B2522" s="1448" t="s">
        <v>1783</v>
      </c>
    </row>
    <row r="2523" spans="1:2" x14ac:dyDescent="0.25">
      <c r="A2523" s="879"/>
      <c r="B2523" s="1448" t="s">
        <v>1784</v>
      </c>
    </row>
    <row r="2524" spans="1:2" x14ac:dyDescent="0.25">
      <c r="A2524" s="879"/>
      <c r="B2524" s="1448" t="s">
        <v>1785</v>
      </c>
    </row>
    <row r="2525" spans="1:2" x14ac:dyDescent="0.25">
      <c r="A2525" s="879"/>
      <c r="B2525" s="1448" t="s">
        <v>1786</v>
      </c>
    </row>
    <row r="2526" spans="1:2" x14ac:dyDescent="0.25">
      <c r="A2526" s="879"/>
      <c r="B2526" s="1448" t="s">
        <v>1787</v>
      </c>
    </row>
    <row r="2527" spans="1:2" x14ac:dyDescent="0.25">
      <c r="A2527" s="879"/>
      <c r="B2527" s="1448" t="s">
        <v>1686</v>
      </c>
    </row>
    <row r="2528" spans="1:2" x14ac:dyDescent="0.25">
      <c r="A2528" s="879"/>
      <c r="B2528" s="1448" t="s">
        <v>1788</v>
      </c>
    </row>
    <row r="2529" spans="1:2" x14ac:dyDescent="0.25">
      <c r="A2529" s="879"/>
      <c r="B2529" s="1448" t="s">
        <v>1789</v>
      </c>
    </row>
    <row r="2530" spans="1:2" x14ac:dyDescent="0.25">
      <c r="A2530" s="879"/>
      <c r="B2530" s="1448" t="s">
        <v>1464</v>
      </c>
    </row>
    <row r="2531" spans="1:2" x14ac:dyDescent="0.25">
      <c r="A2531" s="879"/>
      <c r="B2531" s="1448" t="s">
        <v>1465</v>
      </c>
    </row>
    <row r="2532" spans="1:2" x14ac:dyDescent="0.25">
      <c r="A2532" s="879"/>
      <c r="B2532" s="1448" t="s">
        <v>1790</v>
      </c>
    </row>
    <row r="2533" spans="1:2" x14ac:dyDescent="0.25">
      <c r="A2533" s="879"/>
      <c r="B2533" s="1448" t="s">
        <v>1467</v>
      </c>
    </row>
    <row r="2534" spans="1:2" x14ac:dyDescent="0.25">
      <c r="A2534" s="879"/>
      <c r="B2534" s="1448" t="s">
        <v>1791</v>
      </c>
    </row>
    <row r="2535" spans="1:2" x14ac:dyDescent="0.25">
      <c r="A2535" s="879"/>
      <c r="B2535" s="1448" t="s">
        <v>1792</v>
      </c>
    </row>
    <row r="2536" spans="1:2" x14ac:dyDescent="0.25">
      <c r="A2536" s="879"/>
      <c r="B2536" s="1448" t="s">
        <v>1793</v>
      </c>
    </row>
    <row r="2537" spans="1:2" x14ac:dyDescent="0.25">
      <c r="A2537" s="879"/>
      <c r="B2537" s="1448" t="s">
        <v>1794</v>
      </c>
    </row>
    <row r="2538" spans="1:2" x14ac:dyDescent="0.25">
      <c r="A2538" s="879"/>
      <c r="B2538" s="1448" t="s">
        <v>1795</v>
      </c>
    </row>
    <row r="2539" spans="1:2" x14ac:dyDescent="0.25">
      <c r="A2539" s="879"/>
      <c r="B2539" s="1448" t="s">
        <v>1469</v>
      </c>
    </row>
    <row r="2540" spans="1:2" x14ac:dyDescent="0.25">
      <c r="A2540" s="879"/>
      <c r="B2540" s="1448" t="s">
        <v>1506</v>
      </c>
    </row>
    <row r="2541" spans="1:2" x14ac:dyDescent="0.25">
      <c r="A2541" s="879"/>
      <c r="B2541" s="1448" t="s">
        <v>1796</v>
      </c>
    </row>
    <row r="2542" spans="1:2" x14ac:dyDescent="0.25">
      <c r="A2542" s="879"/>
      <c r="B2542" s="1448" t="s">
        <v>1471</v>
      </c>
    </row>
    <row r="2543" spans="1:2" x14ac:dyDescent="0.25">
      <c r="A2543" s="879"/>
      <c r="B2543" s="1448" t="s">
        <v>1797</v>
      </c>
    </row>
    <row r="2544" spans="1:2" x14ac:dyDescent="0.25">
      <c r="A2544" s="879"/>
      <c r="B2544" s="1448" t="s">
        <v>1798</v>
      </c>
    </row>
    <row r="2545" spans="1:2" x14ac:dyDescent="0.25">
      <c r="A2545" s="879"/>
      <c r="B2545" s="1448" t="s">
        <v>1799</v>
      </c>
    </row>
    <row r="2546" spans="1:2" x14ac:dyDescent="0.25">
      <c r="A2546" s="879"/>
      <c r="B2546" s="1448" t="s">
        <v>1800</v>
      </c>
    </row>
    <row r="2547" spans="1:2" x14ac:dyDescent="0.25">
      <c r="A2547" s="879"/>
      <c r="B2547" s="1448" t="s">
        <v>1474</v>
      </c>
    </row>
    <row r="2548" spans="1:2" x14ac:dyDescent="0.25">
      <c r="A2548" s="879"/>
      <c r="B2548" s="1448" t="s">
        <v>1475</v>
      </c>
    </row>
    <row r="2549" spans="1:2" x14ac:dyDescent="0.25">
      <c r="A2549" s="879"/>
      <c r="B2549" s="1448" t="s">
        <v>1476</v>
      </c>
    </row>
    <row r="2550" spans="1:2" x14ac:dyDescent="0.25">
      <c r="A2550" s="879"/>
      <c r="B2550" s="1448" t="s">
        <v>1801</v>
      </c>
    </row>
    <row r="2551" spans="1:2" x14ac:dyDescent="0.25">
      <c r="A2551" s="879"/>
      <c r="B2551" s="1448" t="s">
        <v>1802</v>
      </c>
    </row>
    <row r="2552" spans="1:2" x14ac:dyDescent="0.25">
      <c r="A2552" s="879"/>
      <c r="B2552" s="1448" t="s">
        <v>1477</v>
      </c>
    </row>
    <row r="2553" spans="1:2" x14ac:dyDescent="0.25">
      <c r="A2553" s="879"/>
      <c r="B2553" s="1448" t="s">
        <v>1478</v>
      </c>
    </row>
    <row r="2554" spans="1:2" x14ac:dyDescent="0.25">
      <c r="A2554" s="879"/>
      <c r="B2554" s="1448" t="s">
        <v>1803</v>
      </c>
    </row>
    <row r="2555" spans="1:2" x14ac:dyDescent="0.25">
      <c r="A2555" s="879"/>
      <c r="B2555" s="1448" t="s">
        <v>1804</v>
      </c>
    </row>
    <row r="2556" spans="1:2" x14ac:dyDescent="0.25">
      <c r="A2556" s="879"/>
      <c r="B2556" s="1448" t="s">
        <v>1805</v>
      </c>
    </row>
    <row r="2557" spans="1:2" x14ac:dyDescent="0.25">
      <c r="A2557" s="879"/>
      <c r="B2557" s="1448" t="s">
        <v>1806</v>
      </c>
    </row>
    <row r="2558" spans="1:2" x14ac:dyDescent="0.25">
      <c r="A2558" s="879"/>
      <c r="B2558" s="1448" t="s">
        <v>1807</v>
      </c>
    </row>
    <row r="2559" spans="1:2" x14ac:dyDescent="0.25">
      <c r="A2559" s="879"/>
      <c r="B2559" s="1448" t="s">
        <v>1808</v>
      </c>
    </row>
    <row r="2560" spans="1:2" x14ac:dyDescent="0.25">
      <c r="A2560" s="879"/>
      <c r="B2560" s="1448" t="s">
        <v>1809</v>
      </c>
    </row>
    <row r="2561" spans="1:2" x14ac:dyDescent="0.25">
      <c r="A2561" s="879"/>
      <c r="B2561" s="1448" t="s">
        <v>1810</v>
      </c>
    </row>
    <row r="2562" spans="1:2" x14ac:dyDescent="0.25">
      <c r="A2562" s="879"/>
      <c r="B2562" s="1448" t="s">
        <v>1811</v>
      </c>
    </row>
    <row r="2563" spans="1:2" x14ac:dyDescent="0.25">
      <c r="A2563" s="879"/>
      <c r="B2563" s="1448" t="s">
        <v>1479</v>
      </c>
    </row>
    <row r="2564" spans="1:2" x14ac:dyDescent="0.25">
      <c r="A2564" s="879"/>
      <c r="B2564" s="1448" t="s">
        <v>1812</v>
      </c>
    </row>
    <row r="2565" spans="1:2" x14ac:dyDescent="0.25">
      <c r="A2565" s="879"/>
      <c r="B2565" s="1448" t="s">
        <v>1481</v>
      </c>
    </row>
    <row r="2566" spans="1:2" x14ac:dyDescent="0.25">
      <c r="A2566" s="879"/>
      <c r="B2566" s="1448" t="s">
        <v>1813</v>
      </c>
    </row>
    <row r="2567" spans="1:2" x14ac:dyDescent="0.25">
      <c r="A2567" s="879"/>
      <c r="B2567" s="1448" t="s">
        <v>1428</v>
      </c>
    </row>
    <row r="2568" spans="1:2" x14ac:dyDescent="0.25">
      <c r="A2568" s="879"/>
      <c r="B2568" s="1448" t="s">
        <v>1365</v>
      </c>
    </row>
    <row r="2569" spans="1:2" x14ac:dyDescent="0.25">
      <c r="A2569" s="879"/>
      <c r="B2569" s="1448" t="s">
        <v>1447</v>
      </c>
    </row>
    <row r="2570" spans="1:2" x14ac:dyDescent="0.25">
      <c r="A2570" s="879"/>
      <c r="B2570" s="1448" t="s">
        <v>1365</v>
      </c>
    </row>
    <row r="2571" spans="1:2" x14ac:dyDescent="0.25">
      <c r="A2571" s="879"/>
      <c r="B2571" s="1448" t="s">
        <v>1448</v>
      </c>
    </row>
    <row r="2572" spans="1:2" x14ac:dyDescent="0.25">
      <c r="A2572" s="879"/>
      <c r="B2572" s="1448" t="s">
        <v>1449</v>
      </c>
    </row>
    <row r="2573" spans="1:2" x14ac:dyDescent="0.25">
      <c r="A2573" s="879"/>
      <c r="B2573" s="1448" t="s">
        <v>1450</v>
      </c>
    </row>
    <row r="2574" spans="1:2" x14ac:dyDescent="0.25">
      <c r="A2574" s="879"/>
      <c r="B2574" s="1448" t="s">
        <v>1650</v>
      </c>
    </row>
    <row r="2575" spans="1:2" x14ac:dyDescent="0.25">
      <c r="A2575" s="879"/>
      <c r="B2575" s="1448" t="s">
        <v>1651</v>
      </c>
    </row>
    <row r="2576" spans="1:2" x14ac:dyDescent="0.25">
      <c r="A2576" s="879"/>
      <c r="B2576" s="1448" t="s">
        <v>1814</v>
      </c>
    </row>
    <row r="2577" spans="1:2" x14ac:dyDescent="0.25">
      <c r="A2577" s="879"/>
      <c r="B2577" s="1448" t="s">
        <v>1652</v>
      </c>
    </row>
    <row r="2578" spans="1:2" x14ac:dyDescent="0.25">
      <c r="A2578" s="879"/>
      <c r="B2578" s="1448" t="s">
        <v>1451</v>
      </c>
    </row>
    <row r="2579" spans="1:2" x14ac:dyDescent="0.25">
      <c r="A2579" s="879"/>
      <c r="B2579" s="1448" t="s">
        <v>1815</v>
      </c>
    </row>
    <row r="2580" spans="1:2" x14ac:dyDescent="0.25">
      <c r="A2580" s="879"/>
      <c r="B2580" s="1448" t="s">
        <v>1816</v>
      </c>
    </row>
    <row r="2581" spans="1:2" x14ac:dyDescent="0.25">
      <c r="A2581" s="879"/>
      <c r="B2581" s="1448" t="s">
        <v>1654</v>
      </c>
    </row>
    <row r="2582" spans="1:2" x14ac:dyDescent="0.25">
      <c r="A2582" s="879"/>
      <c r="B2582" s="1448" t="s">
        <v>1817</v>
      </c>
    </row>
    <row r="2583" spans="1:2" x14ac:dyDescent="0.25">
      <c r="A2583" s="879"/>
      <c r="B2583" s="1448" t="s">
        <v>1818</v>
      </c>
    </row>
    <row r="2584" spans="1:2" x14ac:dyDescent="0.25">
      <c r="A2584" s="879"/>
      <c r="B2584" s="1448" t="s">
        <v>1453</v>
      </c>
    </row>
    <row r="2585" spans="1:2" x14ac:dyDescent="0.25">
      <c r="A2585" s="879"/>
      <c r="B2585" s="1448" t="s">
        <v>1819</v>
      </c>
    </row>
    <row r="2586" spans="1:2" x14ac:dyDescent="0.25">
      <c r="A2586" s="879"/>
      <c r="B2586" s="1448" t="s">
        <v>1655</v>
      </c>
    </row>
    <row r="2587" spans="1:2" x14ac:dyDescent="0.25">
      <c r="A2587" s="879"/>
      <c r="B2587" s="1448" t="s">
        <v>1820</v>
      </c>
    </row>
    <row r="2588" spans="1:2" x14ac:dyDescent="0.25">
      <c r="A2588" s="879"/>
      <c r="B2588" s="1448" t="s">
        <v>1454</v>
      </c>
    </row>
    <row r="2589" spans="1:2" x14ac:dyDescent="0.25">
      <c r="A2589" s="879"/>
      <c r="B2589" s="1448" t="s">
        <v>1365</v>
      </c>
    </row>
    <row r="2590" spans="1:2" x14ac:dyDescent="0.25">
      <c r="A2590" s="879"/>
      <c r="B2590" s="1448" t="s">
        <v>1448</v>
      </c>
    </row>
    <row r="2591" spans="1:2" x14ac:dyDescent="0.25">
      <c r="A2591" s="879"/>
      <c r="B2591" s="1448" t="s">
        <v>1449</v>
      </c>
    </row>
    <row r="2592" spans="1:2" x14ac:dyDescent="0.25">
      <c r="A2592" s="879"/>
      <c r="B2592" s="1448" t="s">
        <v>1450</v>
      </c>
    </row>
    <row r="2593" spans="1:2" x14ac:dyDescent="0.25">
      <c r="A2593" s="879"/>
      <c r="B2593" s="1448" t="s">
        <v>1650</v>
      </c>
    </row>
    <row r="2594" spans="1:2" x14ac:dyDescent="0.25">
      <c r="A2594" s="879"/>
      <c r="B2594" s="1448" t="s">
        <v>1651</v>
      </c>
    </row>
    <row r="2595" spans="1:2" x14ac:dyDescent="0.25">
      <c r="A2595" s="879"/>
      <c r="B2595" s="1448" t="s">
        <v>1814</v>
      </c>
    </row>
    <row r="2596" spans="1:2" x14ac:dyDescent="0.25">
      <c r="A2596" s="879"/>
      <c r="B2596" s="1448" t="s">
        <v>1652</v>
      </c>
    </row>
    <row r="2597" spans="1:2" x14ac:dyDescent="0.25">
      <c r="A2597" s="879"/>
      <c r="B2597" s="1448" t="s">
        <v>1451</v>
      </c>
    </row>
    <row r="2598" spans="1:2" x14ac:dyDescent="0.25">
      <c r="A2598" s="879"/>
      <c r="B2598" s="1448" t="s">
        <v>1815</v>
      </c>
    </row>
    <row r="2599" spans="1:2" x14ac:dyDescent="0.25">
      <c r="A2599" s="879"/>
      <c r="B2599" s="1448" t="s">
        <v>1816</v>
      </c>
    </row>
    <row r="2600" spans="1:2" x14ac:dyDescent="0.25">
      <c r="A2600" s="879"/>
      <c r="B2600" s="1448" t="s">
        <v>1654</v>
      </c>
    </row>
    <row r="2601" spans="1:2" x14ac:dyDescent="0.25">
      <c r="A2601" s="879"/>
      <c r="B2601" s="1448" t="s">
        <v>1817</v>
      </c>
    </row>
    <row r="2602" spans="1:2" x14ac:dyDescent="0.25">
      <c r="A2602" s="879"/>
      <c r="B2602" s="1448" t="s">
        <v>1818</v>
      </c>
    </row>
    <row r="2603" spans="1:2" x14ac:dyDescent="0.25">
      <c r="A2603" s="879"/>
      <c r="B2603" s="1448" t="s">
        <v>1453</v>
      </c>
    </row>
    <row r="2604" spans="1:2" x14ac:dyDescent="0.25">
      <c r="A2604" s="879"/>
      <c r="B2604" s="1448" t="s">
        <v>1819</v>
      </c>
    </row>
    <row r="2605" spans="1:2" x14ac:dyDescent="0.25">
      <c r="A2605" s="879"/>
      <c r="B2605" s="1448" t="s">
        <v>1655</v>
      </c>
    </row>
    <row r="2606" spans="1:2" x14ac:dyDescent="0.25">
      <c r="A2606" s="879"/>
      <c r="B2606" s="1448" t="s">
        <v>1820</v>
      </c>
    </row>
    <row r="2607" spans="1:2" x14ac:dyDescent="0.25">
      <c r="A2607" s="879"/>
      <c r="B2607" s="1448" t="s">
        <v>1656</v>
      </c>
    </row>
    <row r="2608" spans="1:2" x14ac:dyDescent="0.25">
      <c r="A2608" s="879"/>
      <c r="B2608" s="1448" t="s">
        <v>1365</v>
      </c>
    </row>
    <row r="2609" spans="1:2" x14ac:dyDescent="0.25">
      <c r="A2609" s="879"/>
      <c r="B2609" s="1448" t="s">
        <v>1657</v>
      </c>
    </row>
    <row r="2610" spans="1:2" x14ac:dyDescent="0.25">
      <c r="A2610" s="879"/>
      <c r="B2610" s="1448" t="s">
        <v>1658</v>
      </c>
    </row>
    <row r="2611" spans="1:2" x14ac:dyDescent="0.25">
      <c r="A2611" s="879"/>
      <c r="B2611" s="1448" t="s">
        <v>1659</v>
      </c>
    </row>
    <row r="2612" spans="1:2" x14ac:dyDescent="0.25">
      <c r="A2612" s="879"/>
      <c r="B2612" s="1448" t="s">
        <v>1660</v>
      </c>
    </row>
    <row r="2613" spans="1:2" x14ac:dyDescent="0.25">
      <c r="A2613" s="879"/>
      <c r="B2613" s="1448" t="s">
        <v>1661</v>
      </c>
    </row>
    <row r="2614" spans="1:2" x14ac:dyDescent="0.25">
      <c r="A2614" s="879"/>
      <c r="B2614" s="1448" t="s">
        <v>1662</v>
      </c>
    </row>
    <row r="2615" spans="1:2" x14ac:dyDescent="0.25">
      <c r="A2615" s="879"/>
      <c r="B2615" s="1448" t="s">
        <v>1663</v>
      </c>
    </row>
    <row r="2616" spans="1:2" x14ac:dyDescent="0.25">
      <c r="A2616" s="879"/>
      <c r="B2616" s="1448" t="s">
        <v>1664</v>
      </c>
    </row>
    <row r="2617" spans="1:2" x14ac:dyDescent="0.25">
      <c r="A2617" s="879"/>
      <c r="B2617" s="1448" t="s">
        <v>1665</v>
      </c>
    </row>
    <row r="2618" spans="1:2" x14ac:dyDescent="0.25">
      <c r="A2618" s="879"/>
      <c r="B2618" s="1448" t="s">
        <v>1666</v>
      </c>
    </row>
    <row r="2619" spans="1:2" x14ac:dyDescent="0.25">
      <c r="A2619" s="879"/>
      <c r="B2619" s="1448" t="s">
        <v>1667</v>
      </c>
    </row>
    <row r="2620" spans="1:2" x14ac:dyDescent="0.25">
      <c r="A2620" s="879"/>
      <c r="B2620" s="1448" t="s">
        <v>1668</v>
      </c>
    </row>
    <row r="2621" spans="1:2" x14ac:dyDescent="0.25">
      <c r="A2621" s="879"/>
      <c r="B2621" s="1448" t="s">
        <v>1669</v>
      </c>
    </row>
    <row r="2622" spans="1:2" x14ac:dyDescent="0.25">
      <c r="A2622" s="879"/>
      <c r="B2622" s="1448" t="s">
        <v>1670</v>
      </c>
    </row>
    <row r="2623" spans="1:2" x14ac:dyDescent="0.25">
      <c r="A2623" s="879"/>
      <c r="B2623" s="1448" t="s">
        <v>1671</v>
      </c>
    </row>
    <row r="2624" spans="1:2" x14ac:dyDescent="0.25">
      <c r="A2624" s="879"/>
      <c r="B2624" s="1448" t="s">
        <v>1769</v>
      </c>
    </row>
    <row r="2625" spans="1:2" x14ac:dyDescent="0.25">
      <c r="A2625" s="879"/>
      <c r="B2625" s="1448" t="s">
        <v>1365</v>
      </c>
    </row>
    <row r="2626" spans="1:2" x14ac:dyDescent="0.25">
      <c r="A2626" s="879"/>
      <c r="B2626" s="1448" t="s">
        <v>1770</v>
      </c>
    </row>
    <row r="2627" spans="1:2" x14ac:dyDescent="0.25">
      <c r="A2627" s="879"/>
      <c r="B2627" s="1448" t="s">
        <v>2212</v>
      </c>
    </row>
    <row r="2628" spans="1:2" x14ac:dyDescent="0.25">
      <c r="A2628" s="879"/>
      <c r="B2628" s="1448" t="s">
        <v>1772</v>
      </c>
    </row>
    <row r="2629" spans="1:2" x14ac:dyDescent="0.25">
      <c r="A2629" s="879"/>
      <c r="B2629" s="1448" t="s">
        <v>1365</v>
      </c>
    </row>
    <row r="2630" spans="1:2" x14ac:dyDescent="0.25">
      <c r="A2630" s="879"/>
      <c r="B2630" s="1448" t="s">
        <v>1773</v>
      </c>
    </row>
    <row r="2631" spans="1:2" x14ac:dyDescent="0.25">
      <c r="A2631" s="879"/>
      <c r="B2631" s="1448"/>
    </row>
    <row r="2632" spans="1:2" x14ac:dyDescent="0.25">
      <c r="A2632" s="879"/>
      <c r="B2632" s="1448"/>
    </row>
    <row r="2633" spans="1:2" x14ac:dyDescent="0.25">
      <c r="A2633" s="879"/>
      <c r="B2633" s="1448" t="s">
        <v>1366</v>
      </c>
    </row>
    <row r="2634" spans="1:2" x14ac:dyDescent="0.25">
      <c r="A2634" s="879"/>
      <c r="B2634" s="1448" t="s">
        <v>2213</v>
      </c>
    </row>
    <row r="2635" spans="1:2" x14ac:dyDescent="0.25">
      <c r="A2635" s="879"/>
      <c r="B2635" s="1448" t="s">
        <v>1366</v>
      </c>
    </row>
    <row r="2636" spans="1:2" x14ac:dyDescent="0.25">
      <c r="A2636" s="879"/>
      <c r="B2636" s="1448" t="s">
        <v>1724</v>
      </c>
    </row>
    <row r="2637" spans="1:2" x14ac:dyDescent="0.25">
      <c r="A2637" s="879"/>
      <c r="B2637" s="1448" t="s">
        <v>1365</v>
      </c>
    </row>
    <row r="2638" spans="1:2" x14ac:dyDescent="0.25">
      <c r="A2638" s="879"/>
      <c r="B2638" s="1448" t="s">
        <v>1367</v>
      </c>
    </row>
    <row r="2639" spans="1:2" x14ac:dyDescent="0.25">
      <c r="A2639" s="879"/>
      <c r="B2639" s="1448" t="s">
        <v>1368</v>
      </c>
    </row>
    <row r="2640" spans="1:2" x14ac:dyDescent="0.25">
      <c r="A2640" s="879"/>
      <c r="B2640" s="1448" t="s">
        <v>1365</v>
      </c>
    </row>
    <row r="2641" spans="1:2" x14ac:dyDescent="0.25">
      <c r="A2641" s="879"/>
      <c r="B2641" s="1448" t="s">
        <v>1458</v>
      </c>
    </row>
    <row r="2642" spans="1:2" x14ac:dyDescent="0.25">
      <c r="A2642" s="879"/>
      <c r="B2642" s="1448" t="s">
        <v>1459</v>
      </c>
    </row>
    <row r="2643" spans="1:2" x14ac:dyDescent="0.25">
      <c r="A2643" s="879"/>
      <c r="B2643" s="1448" t="s">
        <v>2214</v>
      </c>
    </row>
    <row r="2644" spans="1:2" x14ac:dyDescent="0.25">
      <c r="A2644" s="879"/>
      <c r="B2644" s="1448" t="s">
        <v>1873</v>
      </c>
    </row>
    <row r="2645" spans="1:2" x14ac:dyDescent="0.25">
      <c r="A2645" s="879"/>
      <c r="B2645" s="1448" t="s">
        <v>1759</v>
      </c>
    </row>
    <row r="2646" spans="1:2" x14ac:dyDescent="0.25">
      <c r="A2646" s="879"/>
      <c r="B2646" s="1448" t="s">
        <v>1760</v>
      </c>
    </row>
    <row r="2647" spans="1:2" x14ac:dyDescent="0.25">
      <c r="A2647" s="879"/>
      <c r="B2647" s="1448" t="s">
        <v>1761</v>
      </c>
    </row>
    <row r="2648" spans="1:2" x14ac:dyDescent="0.25">
      <c r="A2648" s="879"/>
      <c r="B2648" s="1448" t="s">
        <v>2215</v>
      </c>
    </row>
    <row r="2649" spans="1:2" x14ac:dyDescent="0.25">
      <c r="A2649" s="879"/>
      <c r="B2649" s="1448" t="s">
        <v>2216</v>
      </c>
    </row>
    <row r="2650" spans="1:2" x14ac:dyDescent="0.25">
      <c r="A2650" s="879"/>
      <c r="B2650" s="1448" t="s">
        <v>2217</v>
      </c>
    </row>
    <row r="2651" spans="1:2" x14ac:dyDescent="0.25">
      <c r="A2651" s="879"/>
      <c r="B2651" s="1448" t="s">
        <v>1460</v>
      </c>
    </row>
    <row r="2652" spans="1:2" x14ac:dyDescent="0.25">
      <c r="A2652" s="879"/>
      <c r="B2652" s="1448" t="s">
        <v>1380</v>
      </c>
    </row>
    <row r="2653" spans="1:2" x14ac:dyDescent="0.25">
      <c r="A2653" s="879"/>
      <c r="B2653" s="1448" t="s">
        <v>1365</v>
      </c>
    </row>
    <row r="2654" spans="1:2" x14ac:dyDescent="0.25">
      <c r="A2654" s="879"/>
      <c r="B2654" s="1448" t="s">
        <v>1458</v>
      </c>
    </row>
    <row r="2655" spans="1:2" x14ac:dyDescent="0.25">
      <c r="A2655" s="879"/>
      <c r="B2655" s="1448" t="s">
        <v>1461</v>
      </c>
    </row>
    <row r="2656" spans="1:2" x14ac:dyDescent="0.25">
      <c r="A2656" s="879"/>
      <c r="B2656" s="1448" t="s">
        <v>2218</v>
      </c>
    </row>
    <row r="2657" spans="1:2" x14ac:dyDescent="0.25">
      <c r="A2657" s="879"/>
      <c r="B2657" s="1448" t="s">
        <v>2219</v>
      </c>
    </row>
    <row r="2658" spans="1:2" x14ac:dyDescent="0.25">
      <c r="A2658" s="879"/>
      <c r="B2658" s="1448" t="s">
        <v>2220</v>
      </c>
    </row>
    <row r="2659" spans="1:2" x14ac:dyDescent="0.25">
      <c r="A2659" s="879"/>
      <c r="B2659" s="1448" t="s">
        <v>2221</v>
      </c>
    </row>
    <row r="2660" spans="1:2" x14ac:dyDescent="0.25">
      <c r="A2660" s="879"/>
      <c r="B2660" s="1448" t="s">
        <v>2222</v>
      </c>
    </row>
    <row r="2661" spans="1:2" x14ac:dyDescent="0.25">
      <c r="A2661" s="879"/>
      <c r="B2661" s="1448" t="s">
        <v>2223</v>
      </c>
    </row>
    <row r="2662" spans="1:2" x14ac:dyDescent="0.25">
      <c r="A2662" s="879"/>
      <c r="B2662" s="1448" t="s">
        <v>2224</v>
      </c>
    </row>
    <row r="2663" spans="1:2" x14ac:dyDescent="0.25">
      <c r="A2663" s="879"/>
      <c r="B2663" s="1448" t="s">
        <v>1462</v>
      </c>
    </row>
    <row r="2664" spans="1:2" x14ac:dyDescent="0.25">
      <c r="A2664" s="879"/>
      <c r="B2664" s="1448" t="s">
        <v>1463</v>
      </c>
    </row>
    <row r="2665" spans="1:2" x14ac:dyDescent="0.25">
      <c r="A2665" s="879"/>
      <c r="B2665" s="1448" t="s">
        <v>1464</v>
      </c>
    </row>
    <row r="2666" spans="1:2" x14ac:dyDescent="0.25">
      <c r="A2666" s="879"/>
      <c r="B2666" s="1448" t="s">
        <v>1465</v>
      </c>
    </row>
    <row r="2667" spans="1:2" x14ac:dyDescent="0.25">
      <c r="A2667" s="879"/>
      <c r="B2667" s="1448" t="s">
        <v>1466</v>
      </c>
    </row>
    <row r="2668" spans="1:2" x14ac:dyDescent="0.25">
      <c r="A2668" s="879"/>
      <c r="B2668" s="1448" t="s">
        <v>1467</v>
      </c>
    </row>
    <row r="2669" spans="1:2" x14ac:dyDescent="0.25">
      <c r="A2669" s="879"/>
      <c r="B2669" s="1448" t="s">
        <v>2225</v>
      </c>
    </row>
    <row r="2670" spans="1:2" x14ac:dyDescent="0.25">
      <c r="A2670" s="879"/>
      <c r="B2670" s="1448" t="s">
        <v>1468</v>
      </c>
    </row>
    <row r="2671" spans="1:2" x14ac:dyDescent="0.25">
      <c r="A2671" s="879"/>
      <c r="B2671" s="1448" t="s">
        <v>2226</v>
      </c>
    </row>
    <row r="2672" spans="1:2" x14ac:dyDescent="0.25">
      <c r="A2672" s="879"/>
      <c r="B2672" s="1448" t="s">
        <v>1765</v>
      </c>
    </row>
    <row r="2673" spans="1:2" x14ac:dyDescent="0.25">
      <c r="A2673" s="879"/>
      <c r="B2673" s="1448" t="s">
        <v>1636</v>
      </c>
    </row>
    <row r="2674" spans="1:2" x14ac:dyDescent="0.25">
      <c r="A2674" s="879"/>
      <c r="B2674" s="1448" t="s">
        <v>1469</v>
      </c>
    </row>
    <row r="2675" spans="1:2" x14ac:dyDescent="0.25">
      <c r="A2675" s="879"/>
      <c r="B2675" s="1448" t="s">
        <v>1506</v>
      </c>
    </row>
    <row r="2676" spans="1:2" x14ac:dyDescent="0.25">
      <c r="A2676" s="879"/>
      <c r="B2676" s="1448" t="s">
        <v>1637</v>
      </c>
    </row>
    <row r="2677" spans="1:2" x14ac:dyDescent="0.25">
      <c r="A2677" s="879"/>
      <c r="B2677" s="1448" t="s">
        <v>1471</v>
      </c>
    </row>
    <row r="2678" spans="1:2" x14ac:dyDescent="0.25">
      <c r="A2678" s="879"/>
      <c r="B2678" s="1448" t="s">
        <v>2227</v>
      </c>
    </row>
    <row r="2679" spans="1:2" x14ac:dyDescent="0.25">
      <c r="A2679" s="879"/>
      <c r="B2679" s="1448" t="s">
        <v>2228</v>
      </c>
    </row>
    <row r="2680" spans="1:2" x14ac:dyDescent="0.25">
      <c r="A2680" s="879"/>
      <c r="B2680" s="1448" t="s">
        <v>1589</v>
      </c>
    </row>
    <row r="2681" spans="1:2" x14ac:dyDescent="0.25">
      <c r="A2681" s="879"/>
      <c r="B2681" s="1448" t="s">
        <v>2229</v>
      </c>
    </row>
    <row r="2682" spans="1:2" x14ac:dyDescent="0.25">
      <c r="A2682" s="879"/>
      <c r="B2682" s="1448" t="s">
        <v>1474</v>
      </c>
    </row>
    <row r="2683" spans="1:2" x14ac:dyDescent="0.25">
      <c r="A2683" s="879"/>
      <c r="B2683" s="1448" t="s">
        <v>1475</v>
      </c>
    </row>
    <row r="2684" spans="1:2" x14ac:dyDescent="0.25">
      <c r="A2684" s="879"/>
      <c r="B2684" s="1448" t="s">
        <v>1476</v>
      </c>
    </row>
    <row r="2685" spans="1:2" x14ac:dyDescent="0.25">
      <c r="A2685" s="879"/>
      <c r="B2685" s="1448" t="s">
        <v>2230</v>
      </c>
    </row>
    <row r="2686" spans="1:2" x14ac:dyDescent="0.25">
      <c r="A2686" s="879"/>
      <c r="B2686" s="1448" t="s">
        <v>1590</v>
      </c>
    </row>
    <row r="2687" spans="1:2" x14ac:dyDescent="0.25">
      <c r="A2687" s="879"/>
      <c r="B2687" s="1448" t="s">
        <v>1477</v>
      </c>
    </row>
    <row r="2688" spans="1:2" x14ac:dyDescent="0.25">
      <c r="A2688" s="879"/>
      <c r="B2688" s="1448" t="s">
        <v>1478</v>
      </c>
    </row>
    <row r="2689" spans="1:2" x14ac:dyDescent="0.25">
      <c r="A2689" s="879"/>
      <c r="B2689" s="1448" t="s">
        <v>2231</v>
      </c>
    </row>
    <row r="2690" spans="1:2" x14ac:dyDescent="0.25">
      <c r="A2690" s="879"/>
      <c r="B2690" s="1448" t="s">
        <v>2232</v>
      </c>
    </row>
    <row r="2691" spans="1:2" x14ac:dyDescent="0.25">
      <c r="A2691" s="879"/>
      <c r="B2691" s="1448" t="s">
        <v>2233</v>
      </c>
    </row>
    <row r="2692" spans="1:2" x14ac:dyDescent="0.25">
      <c r="A2692" s="879"/>
      <c r="B2692" s="1448" t="s">
        <v>2234</v>
      </c>
    </row>
    <row r="2693" spans="1:2" x14ac:dyDescent="0.25">
      <c r="A2693" s="879"/>
      <c r="B2693" s="1448" t="s">
        <v>2235</v>
      </c>
    </row>
    <row r="2694" spans="1:2" x14ac:dyDescent="0.25">
      <c r="A2694" s="879"/>
      <c r="B2694" s="1448" t="s">
        <v>2236</v>
      </c>
    </row>
    <row r="2695" spans="1:2" x14ac:dyDescent="0.25">
      <c r="A2695" s="879"/>
      <c r="B2695" s="1448" t="s">
        <v>2237</v>
      </c>
    </row>
    <row r="2696" spans="1:2" x14ac:dyDescent="0.25">
      <c r="A2696" s="879"/>
      <c r="B2696" s="1448" t="s">
        <v>2238</v>
      </c>
    </row>
    <row r="2697" spans="1:2" x14ac:dyDescent="0.25">
      <c r="A2697" s="879"/>
      <c r="B2697" s="1448" t="s">
        <v>2239</v>
      </c>
    </row>
    <row r="2698" spans="1:2" x14ac:dyDescent="0.25">
      <c r="A2698" s="879"/>
      <c r="B2698" s="1448" t="s">
        <v>1479</v>
      </c>
    </row>
    <row r="2699" spans="1:2" x14ac:dyDescent="0.25">
      <c r="A2699" s="879"/>
      <c r="B2699" s="1448" t="s">
        <v>1480</v>
      </c>
    </row>
    <row r="2700" spans="1:2" x14ac:dyDescent="0.25">
      <c r="A2700" s="879"/>
      <c r="B2700" s="1448" t="s">
        <v>1481</v>
      </c>
    </row>
    <row r="2701" spans="1:2" x14ac:dyDescent="0.25">
      <c r="A2701" s="879"/>
      <c r="B2701" s="1448" t="s">
        <v>1482</v>
      </c>
    </row>
    <row r="2702" spans="1:2" x14ac:dyDescent="0.25">
      <c r="A2702" s="879"/>
      <c r="B2702" s="1448" t="s">
        <v>1428</v>
      </c>
    </row>
    <row r="2703" spans="1:2" x14ac:dyDescent="0.25">
      <c r="A2703" s="879"/>
      <c r="B2703" s="1448" t="s">
        <v>1365</v>
      </c>
    </row>
    <row r="2704" spans="1:2" x14ac:dyDescent="0.25">
      <c r="A2704" s="879"/>
      <c r="B2704" s="1448" t="s">
        <v>1447</v>
      </c>
    </row>
    <row r="2705" spans="1:2" x14ac:dyDescent="0.25">
      <c r="A2705" s="879"/>
      <c r="B2705" s="1448" t="s">
        <v>1365</v>
      </c>
    </row>
    <row r="2706" spans="1:2" x14ac:dyDescent="0.25">
      <c r="A2706" s="879"/>
      <c r="B2706" s="1448" t="s">
        <v>1448</v>
      </c>
    </row>
    <row r="2707" spans="1:2" x14ac:dyDescent="0.25">
      <c r="A2707" s="879"/>
      <c r="B2707" s="1448" t="s">
        <v>1449</v>
      </c>
    </row>
    <row r="2708" spans="1:2" x14ac:dyDescent="0.25">
      <c r="A2708" s="879"/>
      <c r="B2708" s="1448" t="s">
        <v>1450</v>
      </c>
    </row>
    <row r="2709" spans="1:2" x14ac:dyDescent="0.25">
      <c r="A2709" s="879"/>
      <c r="B2709" s="1448" t="s">
        <v>1650</v>
      </c>
    </row>
    <row r="2710" spans="1:2" x14ac:dyDescent="0.25">
      <c r="A2710" s="879"/>
      <c r="B2710" s="1448" t="s">
        <v>1651</v>
      </c>
    </row>
    <row r="2711" spans="1:2" x14ac:dyDescent="0.25">
      <c r="A2711" s="879"/>
      <c r="B2711" s="1448" t="s">
        <v>1766</v>
      </c>
    </row>
    <row r="2712" spans="1:2" x14ac:dyDescent="0.25">
      <c r="A2712" s="879"/>
      <c r="B2712" s="1448" t="s">
        <v>1652</v>
      </c>
    </row>
    <row r="2713" spans="1:2" x14ac:dyDescent="0.25">
      <c r="A2713" s="879"/>
      <c r="B2713" s="1448" t="s">
        <v>1451</v>
      </c>
    </row>
    <row r="2714" spans="1:2" x14ac:dyDescent="0.25">
      <c r="A2714" s="879"/>
      <c r="B2714" s="1448" t="s">
        <v>1483</v>
      </c>
    </row>
    <row r="2715" spans="1:2" x14ac:dyDescent="0.25">
      <c r="A2715" s="879"/>
      <c r="B2715" s="1448" t="s">
        <v>1653</v>
      </c>
    </row>
    <row r="2716" spans="1:2" x14ac:dyDescent="0.25">
      <c r="A2716" s="879"/>
      <c r="B2716" s="1448" t="s">
        <v>1654</v>
      </c>
    </row>
    <row r="2717" spans="1:2" x14ac:dyDescent="0.25">
      <c r="A2717" s="879"/>
      <c r="B2717" s="1448" t="s">
        <v>1452</v>
      </c>
    </row>
    <row r="2718" spans="1:2" x14ac:dyDescent="0.25">
      <c r="A2718" s="879"/>
      <c r="B2718" s="1448" t="s">
        <v>1484</v>
      </c>
    </row>
    <row r="2719" spans="1:2" x14ac:dyDescent="0.25">
      <c r="A2719" s="879"/>
      <c r="B2719" s="1448" t="s">
        <v>1453</v>
      </c>
    </row>
    <row r="2720" spans="1:2" x14ac:dyDescent="0.25">
      <c r="A2720" s="879"/>
      <c r="B2720" s="1448" t="s">
        <v>1767</v>
      </c>
    </row>
    <row r="2721" spans="1:2" x14ac:dyDescent="0.25">
      <c r="A2721" s="879"/>
      <c r="B2721" s="1448" t="s">
        <v>1655</v>
      </c>
    </row>
    <row r="2722" spans="1:2" x14ac:dyDescent="0.25">
      <c r="A2722" s="879"/>
      <c r="B2722" s="1448" t="s">
        <v>1768</v>
      </c>
    </row>
    <row r="2723" spans="1:2" x14ac:dyDescent="0.25">
      <c r="A2723" s="879"/>
      <c r="B2723" s="1448" t="s">
        <v>1454</v>
      </c>
    </row>
    <row r="2724" spans="1:2" x14ac:dyDescent="0.25">
      <c r="A2724" s="879"/>
      <c r="B2724" s="1448" t="s">
        <v>1365</v>
      </c>
    </row>
    <row r="2725" spans="1:2" x14ac:dyDescent="0.25">
      <c r="A2725" s="879"/>
      <c r="B2725" s="1448" t="s">
        <v>1448</v>
      </c>
    </row>
    <row r="2726" spans="1:2" x14ac:dyDescent="0.25">
      <c r="A2726" s="879"/>
      <c r="B2726" s="1448" t="s">
        <v>1449</v>
      </c>
    </row>
    <row r="2727" spans="1:2" x14ac:dyDescent="0.25">
      <c r="A2727" s="879"/>
      <c r="B2727" s="1448" t="s">
        <v>1450</v>
      </c>
    </row>
    <row r="2728" spans="1:2" x14ac:dyDescent="0.25">
      <c r="A2728" s="879"/>
      <c r="B2728" s="1448" t="s">
        <v>1650</v>
      </c>
    </row>
    <row r="2729" spans="1:2" x14ac:dyDescent="0.25">
      <c r="A2729" s="879"/>
      <c r="B2729" s="1448" t="s">
        <v>1651</v>
      </c>
    </row>
    <row r="2730" spans="1:2" x14ac:dyDescent="0.25">
      <c r="A2730" s="879"/>
      <c r="B2730" s="1448" t="s">
        <v>1766</v>
      </c>
    </row>
    <row r="2731" spans="1:2" x14ac:dyDescent="0.25">
      <c r="A2731" s="879"/>
      <c r="B2731" s="1448" t="s">
        <v>1652</v>
      </c>
    </row>
    <row r="2732" spans="1:2" x14ac:dyDescent="0.25">
      <c r="A2732" s="879"/>
      <c r="B2732" s="1448" t="s">
        <v>1451</v>
      </c>
    </row>
    <row r="2733" spans="1:2" x14ac:dyDescent="0.25">
      <c r="A2733" s="879"/>
      <c r="B2733" s="1448" t="s">
        <v>1483</v>
      </c>
    </row>
    <row r="2734" spans="1:2" x14ac:dyDescent="0.25">
      <c r="A2734" s="879"/>
      <c r="B2734" s="1448" t="s">
        <v>1653</v>
      </c>
    </row>
    <row r="2735" spans="1:2" x14ac:dyDescent="0.25">
      <c r="A2735" s="879"/>
      <c r="B2735" s="1448" t="s">
        <v>1654</v>
      </c>
    </row>
    <row r="2736" spans="1:2" x14ac:dyDescent="0.25">
      <c r="A2736" s="879"/>
      <c r="B2736" s="1448" t="s">
        <v>1452</v>
      </c>
    </row>
    <row r="2737" spans="1:2" x14ac:dyDescent="0.25">
      <c r="A2737" s="879"/>
      <c r="B2737" s="1448" t="s">
        <v>1484</v>
      </c>
    </row>
    <row r="2738" spans="1:2" x14ac:dyDescent="0.25">
      <c r="A2738" s="879"/>
      <c r="B2738" s="1448" t="s">
        <v>1453</v>
      </c>
    </row>
    <row r="2739" spans="1:2" x14ac:dyDescent="0.25">
      <c r="A2739" s="879"/>
      <c r="B2739" s="1448" t="s">
        <v>1767</v>
      </c>
    </row>
    <row r="2740" spans="1:2" x14ac:dyDescent="0.25">
      <c r="A2740" s="879"/>
      <c r="B2740" s="1448" t="s">
        <v>1655</v>
      </c>
    </row>
    <row r="2741" spans="1:2" x14ac:dyDescent="0.25">
      <c r="A2741" s="879"/>
      <c r="B2741" s="1448" t="s">
        <v>1768</v>
      </c>
    </row>
    <row r="2742" spans="1:2" x14ac:dyDescent="0.25">
      <c r="A2742" s="879"/>
      <c r="B2742" s="1448" t="s">
        <v>1656</v>
      </c>
    </row>
    <row r="2743" spans="1:2" x14ac:dyDescent="0.25">
      <c r="A2743" s="879"/>
      <c r="B2743" s="1448" t="s">
        <v>1365</v>
      </c>
    </row>
    <row r="2744" spans="1:2" x14ac:dyDescent="0.25">
      <c r="A2744" s="879"/>
      <c r="B2744" s="1448" t="s">
        <v>1657</v>
      </c>
    </row>
    <row r="2745" spans="1:2" x14ac:dyDescent="0.25">
      <c r="A2745" s="879"/>
      <c r="B2745" s="1448" t="s">
        <v>1658</v>
      </c>
    </row>
    <row r="2746" spans="1:2" x14ac:dyDescent="0.25">
      <c r="A2746" s="879"/>
      <c r="B2746" s="1448" t="s">
        <v>1659</v>
      </c>
    </row>
    <row r="2747" spans="1:2" x14ac:dyDescent="0.25">
      <c r="A2747" s="879"/>
      <c r="B2747" s="1448" t="s">
        <v>1660</v>
      </c>
    </row>
    <row r="2748" spans="1:2" x14ac:dyDescent="0.25">
      <c r="A2748" s="879"/>
      <c r="B2748" s="1448" t="s">
        <v>1661</v>
      </c>
    </row>
    <row r="2749" spans="1:2" x14ac:dyDescent="0.25">
      <c r="A2749" s="879"/>
      <c r="B2749" s="1448" t="s">
        <v>1662</v>
      </c>
    </row>
    <row r="2750" spans="1:2" x14ac:dyDescent="0.25">
      <c r="A2750" s="879"/>
      <c r="B2750" s="1448" t="s">
        <v>1663</v>
      </c>
    </row>
    <row r="2751" spans="1:2" x14ac:dyDescent="0.25">
      <c r="A2751" s="879"/>
      <c r="B2751" s="1448" t="s">
        <v>1664</v>
      </c>
    </row>
    <row r="2752" spans="1:2" x14ac:dyDescent="0.25">
      <c r="A2752" s="879"/>
      <c r="B2752" s="1448" t="s">
        <v>1665</v>
      </c>
    </row>
    <row r="2753" spans="1:2" x14ac:dyDescent="0.25">
      <c r="A2753" s="879"/>
      <c r="B2753" s="1448" t="s">
        <v>1666</v>
      </c>
    </row>
    <row r="2754" spans="1:2" x14ac:dyDescent="0.25">
      <c r="A2754" s="879"/>
      <c r="B2754" s="1448" t="s">
        <v>1667</v>
      </c>
    </row>
    <row r="2755" spans="1:2" x14ac:dyDescent="0.25">
      <c r="A2755" s="879"/>
      <c r="B2755" s="1448" t="s">
        <v>1668</v>
      </c>
    </row>
    <row r="2756" spans="1:2" x14ac:dyDescent="0.25">
      <c r="A2756" s="879"/>
      <c r="B2756" s="1448" t="s">
        <v>1669</v>
      </c>
    </row>
    <row r="2757" spans="1:2" x14ac:dyDescent="0.25">
      <c r="A2757" s="879"/>
      <c r="B2757" s="1448" t="s">
        <v>1670</v>
      </c>
    </row>
    <row r="2758" spans="1:2" x14ac:dyDescent="0.25">
      <c r="A2758" s="879"/>
      <c r="B2758" s="1448" t="s">
        <v>1671</v>
      </c>
    </row>
    <row r="2759" spans="1:2" x14ac:dyDescent="0.25">
      <c r="A2759" s="879"/>
      <c r="B2759" s="1448" t="s">
        <v>1769</v>
      </c>
    </row>
    <row r="2760" spans="1:2" x14ac:dyDescent="0.25">
      <c r="A2760" s="879"/>
      <c r="B2760" s="1448" t="s">
        <v>1365</v>
      </c>
    </row>
    <row r="2761" spans="1:2" x14ac:dyDescent="0.25">
      <c r="A2761" s="879"/>
      <c r="B2761" s="1448" t="s">
        <v>1770</v>
      </c>
    </row>
    <row r="2762" spans="1:2" x14ac:dyDescent="0.25">
      <c r="A2762" s="879"/>
      <c r="B2762" s="1448" t="s">
        <v>2240</v>
      </c>
    </row>
    <row r="2763" spans="1:2" x14ac:dyDescent="0.25">
      <c r="A2763" s="879"/>
      <c r="B2763" s="1448" t="s">
        <v>1772</v>
      </c>
    </row>
    <row r="2764" spans="1:2" x14ac:dyDescent="0.25">
      <c r="A2764" s="879"/>
      <c r="B2764" s="1448" t="s">
        <v>1365</v>
      </c>
    </row>
    <row r="2765" spans="1:2" x14ac:dyDescent="0.25">
      <c r="A2765" s="879"/>
      <c r="B2765" s="1448" t="s">
        <v>1773</v>
      </c>
    </row>
    <row r="2766" spans="1:2" x14ac:dyDescent="0.25">
      <c r="A2766" s="879"/>
      <c r="B2766" s="1448"/>
    </row>
    <row r="2767" spans="1:2" x14ac:dyDescent="0.25">
      <c r="A2767" s="879"/>
      <c r="B2767" s="1448"/>
    </row>
    <row r="2768" spans="1:2" x14ac:dyDescent="0.25">
      <c r="A2768" s="879"/>
      <c r="B2768" s="1448" t="s">
        <v>1366</v>
      </c>
    </row>
    <row r="2769" spans="1:2" x14ac:dyDescent="0.25">
      <c r="A2769" s="879"/>
      <c r="B2769" s="1448" t="s">
        <v>2241</v>
      </c>
    </row>
    <row r="2770" spans="1:2" x14ac:dyDescent="0.25">
      <c r="A2770" s="879"/>
      <c r="B2770" s="1448" t="s">
        <v>1366</v>
      </c>
    </row>
    <row r="2771" spans="1:2" x14ac:dyDescent="0.25">
      <c r="A2771" s="879"/>
      <c r="B2771" s="1448" t="s">
        <v>2242</v>
      </c>
    </row>
    <row r="2772" spans="1:2" x14ac:dyDescent="0.25">
      <c r="A2772" s="879"/>
      <c r="B2772" s="1448" t="s">
        <v>1365</v>
      </c>
    </row>
    <row r="2773" spans="1:2" x14ac:dyDescent="0.25">
      <c r="A2773" s="879"/>
      <c r="B2773" s="1448" t="s">
        <v>1367</v>
      </c>
    </row>
    <row r="2774" spans="1:2" x14ac:dyDescent="0.25">
      <c r="A2774" s="879"/>
      <c r="B2774" s="1448" t="s">
        <v>1368</v>
      </c>
    </row>
    <row r="2775" spans="1:2" x14ac:dyDescent="0.25">
      <c r="A2775" s="879"/>
      <c r="B2775" s="1448" t="s">
        <v>1365</v>
      </c>
    </row>
    <row r="2776" spans="1:2" x14ac:dyDescent="0.25">
      <c r="A2776" s="879"/>
      <c r="B2776" s="1448" t="s">
        <v>1458</v>
      </c>
    </row>
    <row r="2777" spans="1:2" x14ac:dyDescent="0.25">
      <c r="A2777" s="879"/>
      <c r="B2777" s="1448" t="s">
        <v>1459</v>
      </c>
    </row>
    <row r="2778" spans="1:2" x14ac:dyDescent="0.25">
      <c r="A2778" s="879"/>
      <c r="B2778" s="1448" t="s">
        <v>2243</v>
      </c>
    </row>
    <row r="2779" spans="1:2" x14ac:dyDescent="0.25">
      <c r="A2779" s="879"/>
      <c r="B2779" s="1448" t="s">
        <v>1702</v>
      </c>
    </row>
    <row r="2780" spans="1:2" x14ac:dyDescent="0.25">
      <c r="A2780" s="879"/>
      <c r="B2780" s="1448" t="s">
        <v>2093</v>
      </c>
    </row>
    <row r="2781" spans="1:2" x14ac:dyDescent="0.25">
      <c r="A2781" s="879"/>
      <c r="B2781" s="1448" t="s">
        <v>2094</v>
      </c>
    </row>
    <row r="2782" spans="1:2" x14ac:dyDescent="0.25">
      <c r="A2782" s="879"/>
      <c r="B2782" s="1448" t="s">
        <v>2095</v>
      </c>
    </row>
    <row r="2783" spans="1:2" x14ac:dyDescent="0.25">
      <c r="A2783" s="879"/>
      <c r="B2783" s="1448" t="s">
        <v>2244</v>
      </c>
    </row>
    <row r="2784" spans="1:2" x14ac:dyDescent="0.25">
      <c r="A2784" s="879"/>
      <c r="B2784" s="1448" t="s">
        <v>2245</v>
      </c>
    </row>
    <row r="2785" spans="1:2" x14ac:dyDescent="0.25">
      <c r="A2785" s="879"/>
      <c r="B2785" s="1448" t="s">
        <v>2246</v>
      </c>
    </row>
    <row r="2786" spans="1:2" x14ac:dyDescent="0.25">
      <c r="A2786" s="879"/>
      <c r="B2786" s="1448" t="s">
        <v>1460</v>
      </c>
    </row>
    <row r="2787" spans="1:2" x14ac:dyDescent="0.25">
      <c r="A2787" s="879"/>
      <c r="B2787" s="1448" t="s">
        <v>1380</v>
      </c>
    </row>
    <row r="2788" spans="1:2" x14ac:dyDescent="0.25">
      <c r="A2788" s="879"/>
      <c r="B2788" s="1448" t="s">
        <v>1365</v>
      </c>
    </row>
    <row r="2789" spans="1:2" x14ac:dyDescent="0.25">
      <c r="A2789" s="879"/>
      <c r="B2789" s="1448" t="s">
        <v>1458</v>
      </c>
    </row>
    <row r="2790" spans="1:2" x14ac:dyDescent="0.25">
      <c r="A2790" s="879"/>
      <c r="B2790" s="1448" t="s">
        <v>1591</v>
      </c>
    </row>
    <row r="2791" spans="1:2" x14ac:dyDescent="0.25">
      <c r="A2791" s="879"/>
      <c r="B2791" s="1448" t="s">
        <v>2247</v>
      </c>
    </row>
    <row r="2792" spans="1:2" x14ac:dyDescent="0.25">
      <c r="A2792" s="879"/>
      <c r="B2792" s="1448" t="s">
        <v>2248</v>
      </c>
    </row>
    <row r="2793" spans="1:2" x14ac:dyDescent="0.25">
      <c r="A2793" s="879"/>
      <c r="B2793" s="1448" t="s">
        <v>2249</v>
      </c>
    </row>
    <row r="2794" spans="1:2" x14ac:dyDescent="0.25">
      <c r="A2794" s="879"/>
      <c r="B2794" s="1448" t="s">
        <v>2250</v>
      </c>
    </row>
    <row r="2795" spans="1:2" x14ac:dyDescent="0.25">
      <c r="A2795" s="879"/>
      <c r="B2795" s="1448" t="s">
        <v>2251</v>
      </c>
    </row>
    <row r="2796" spans="1:2" x14ac:dyDescent="0.25">
      <c r="A2796" s="879"/>
      <c r="B2796" s="1448" t="s">
        <v>2252</v>
      </c>
    </row>
    <row r="2797" spans="1:2" x14ac:dyDescent="0.25">
      <c r="A2797" s="879"/>
      <c r="B2797" s="1448" t="s">
        <v>2253</v>
      </c>
    </row>
    <row r="2798" spans="1:2" x14ac:dyDescent="0.25">
      <c r="A2798" s="879"/>
      <c r="B2798" s="1448" t="s">
        <v>1592</v>
      </c>
    </row>
    <row r="2799" spans="1:2" x14ac:dyDescent="0.25">
      <c r="A2799" s="879"/>
      <c r="B2799" s="1448" t="s">
        <v>1593</v>
      </c>
    </row>
    <row r="2800" spans="1:2" x14ac:dyDescent="0.25">
      <c r="A2800" s="879"/>
      <c r="B2800" s="1448" t="s">
        <v>1464</v>
      </c>
    </row>
    <row r="2801" spans="1:2" x14ac:dyDescent="0.25">
      <c r="A2801" s="879"/>
      <c r="B2801" s="1448" t="s">
        <v>1465</v>
      </c>
    </row>
    <row r="2802" spans="1:2" x14ac:dyDescent="0.25">
      <c r="A2802" s="879"/>
      <c r="B2802" s="1448" t="s">
        <v>1466</v>
      </c>
    </row>
    <row r="2803" spans="1:2" x14ac:dyDescent="0.25">
      <c r="A2803" s="879"/>
      <c r="B2803" s="1448" t="s">
        <v>1467</v>
      </c>
    </row>
    <row r="2804" spans="1:2" x14ac:dyDescent="0.25">
      <c r="A2804" s="879"/>
      <c r="B2804" s="1448" t="s">
        <v>2254</v>
      </c>
    </row>
    <row r="2805" spans="1:2" x14ac:dyDescent="0.25">
      <c r="A2805" s="879"/>
      <c r="B2805" s="1448" t="s">
        <v>1594</v>
      </c>
    </row>
    <row r="2806" spans="1:2" x14ac:dyDescent="0.25">
      <c r="A2806" s="879"/>
      <c r="B2806" s="1448" t="s">
        <v>2255</v>
      </c>
    </row>
    <row r="2807" spans="1:2" x14ac:dyDescent="0.25">
      <c r="A2807" s="879"/>
      <c r="B2807" s="1448" t="s">
        <v>2105</v>
      </c>
    </row>
    <row r="2808" spans="1:2" x14ac:dyDescent="0.25">
      <c r="A2808" s="879"/>
      <c r="B2808" s="1448" t="s">
        <v>1595</v>
      </c>
    </row>
    <row r="2809" spans="1:2" x14ac:dyDescent="0.25">
      <c r="A2809" s="879"/>
      <c r="B2809" s="1448" t="s">
        <v>1469</v>
      </c>
    </row>
    <row r="2810" spans="1:2" x14ac:dyDescent="0.25">
      <c r="A2810" s="879"/>
      <c r="B2810" s="1448" t="s">
        <v>1506</v>
      </c>
    </row>
    <row r="2811" spans="1:2" x14ac:dyDescent="0.25">
      <c r="A2811" s="879"/>
      <c r="B2811" s="1448" t="s">
        <v>1596</v>
      </c>
    </row>
    <row r="2812" spans="1:2" x14ac:dyDescent="0.25">
      <c r="A2812" s="879"/>
      <c r="B2812" s="1448" t="s">
        <v>1471</v>
      </c>
    </row>
    <row r="2813" spans="1:2" x14ac:dyDescent="0.25">
      <c r="A2813" s="879"/>
      <c r="B2813" s="1448" t="s">
        <v>2256</v>
      </c>
    </row>
    <row r="2814" spans="1:2" x14ac:dyDescent="0.25">
      <c r="A2814" s="879"/>
      <c r="B2814" s="1448" t="s">
        <v>2257</v>
      </c>
    </row>
    <row r="2815" spans="1:2" x14ac:dyDescent="0.25">
      <c r="A2815" s="879"/>
      <c r="B2815" s="1448" t="s">
        <v>2258</v>
      </c>
    </row>
    <row r="2816" spans="1:2" x14ac:dyDescent="0.25">
      <c r="A2816" s="879"/>
      <c r="B2816" s="1448" t="s">
        <v>2259</v>
      </c>
    </row>
    <row r="2817" spans="1:2" x14ac:dyDescent="0.25">
      <c r="A2817" s="879"/>
      <c r="B2817" s="1448" t="s">
        <v>1474</v>
      </c>
    </row>
    <row r="2818" spans="1:2" x14ac:dyDescent="0.25">
      <c r="A2818" s="879"/>
      <c r="B2818" s="1448" t="s">
        <v>1475</v>
      </c>
    </row>
    <row r="2819" spans="1:2" x14ac:dyDescent="0.25">
      <c r="A2819" s="879"/>
      <c r="B2819" s="1448" t="s">
        <v>1476</v>
      </c>
    </row>
    <row r="2820" spans="1:2" x14ac:dyDescent="0.25">
      <c r="A2820" s="879"/>
      <c r="B2820" s="1448" t="s">
        <v>2260</v>
      </c>
    </row>
    <row r="2821" spans="1:2" x14ac:dyDescent="0.25">
      <c r="A2821" s="879"/>
      <c r="B2821" s="1448" t="s">
        <v>2261</v>
      </c>
    </row>
    <row r="2822" spans="1:2" x14ac:dyDescent="0.25">
      <c r="A2822" s="879"/>
      <c r="B2822" s="1448" t="s">
        <v>1477</v>
      </c>
    </row>
    <row r="2823" spans="1:2" x14ac:dyDescent="0.25">
      <c r="A2823" s="879"/>
      <c r="B2823" s="1448" t="s">
        <v>1478</v>
      </c>
    </row>
    <row r="2824" spans="1:2" x14ac:dyDescent="0.25">
      <c r="A2824" s="879"/>
      <c r="B2824" s="1448" t="s">
        <v>2262</v>
      </c>
    </row>
    <row r="2825" spans="1:2" x14ac:dyDescent="0.25">
      <c r="A2825" s="879"/>
      <c r="B2825" s="1448" t="s">
        <v>2263</v>
      </c>
    </row>
    <row r="2826" spans="1:2" x14ac:dyDescent="0.25">
      <c r="A2826" s="879"/>
      <c r="B2826" s="1448" t="s">
        <v>2264</v>
      </c>
    </row>
    <row r="2827" spans="1:2" x14ac:dyDescent="0.25">
      <c r="A2827" s="879"/>
      <c r="B2827" s="1448" t="s">
        <v>2265</v>
      </c>
    </row>
    <row r="2828" spans="1:2" x14ac:dyDescent="0.25">
      <c r="A2828" s="879"/>
      <c r="B2828" s="1448" t="s">
        <v>2266</v>
      </c>
    </row>
    <row r="2829" spans="1:2" x14ac:dyDescent="0.25">
      <c r="A2829" s="879"/>
      <c r="B2829" s="1448" t="s">
        <v>2267</v>
      </c>
    </row>
    <row r="2830" spans="1:2" x14ac:dyDescent="0.25">
      <c r="A2830" s="879"/>
      <c r="B2830" s="1448" t="s">
        <v>2268</v>
      </c>
    </row>
    <row r="2831" spans="1:2" x14ac:dyDescent="0.25">
      <c r="A2831" s="879"/>
      <c r="B2831" s="1448" t="s">
        <v>2269</v>
      </c>
    </row>
    <row r="2832" spans="1:2" x14ac:dyDescent="0.25">
      <c r="A2832" s="879"/>
      <c r="B2832" s="1448" t="s">
        <v>2270</v>
      </c>
    </row>
    <row r="2833" spans="1:2" x14ac:dyDescent="0.25">
      <c r="A2833" s="879"/>
      <c r="B2833" s="1448" t="s">
        <v>1479</v>
      </c>
    </row>
    <row r="2834" spans="1:2" x14ac:dyDescent="0.25">
      <c r="A2834" s="879"/>
      <c r="B2834" s="1448" t="s">
        <v>1480</v>
      </c>
    </row>
    <row r="2835" spans="1:2" x14ac:dyDescent="0.25">
      <c r="A2835" s="879"/>
      <c r="B2835" s="1448" t="s">
        <v>1481</v>
      </c>
    </row>
    <row r="2836" spans="1:2" x14ac:dyDescent="0.25">
      <c r="A2836" s="879"/>
      <c r="B2836" s="1448" t="s">
        <v>1482</v>
      </c>
    </row>
    <row r="2837" spans="1:2" x14ac:dyDescent="0.25">
      <c r="A2837" s="879"/>
      <c r="B2837" s="1448" t="s">
        <v>1428</v>
      </c>
    </row>
    <row r="2838" spans="1:2" x14ac:dyDescent="0.25">
      <c r="A2838" s="879"/>
      <c r="B2838" s="1448" t="s">
        <v>1365</v>
      </c>
    </row>
    <row r="2839" spans="1:2" x14ac:dyDescent="0.25">
      <c r="A2839" s="879"/>
      <c r="B2839" s="1448" t="s">
        <v>1447</v>
      </c>
    </row>
    <row r="2840" spans="1:2" x14ac:dyDescent="0.25">
      <c r="A2840" s="879"/>
      <c r="B2840" s="1448" t="s">
        <v>1365</v>
      </c>
    </row>
    <row r="2841" spans="1:2" x14ac:dyDescent="0.25">
      <c r="A2841" s="879"/>
      <c r="B2841" s="1448" t="s">
        <v>1448</v>
      </c>
    </row>
    <row r="2842" spans="1:2" x14ac:dyDescent="0.25">
      <c r="A2842" s="879"/>
      <c r="B2842" s="1448" t="s">
        <v>1449</v>
      </c>
    </row>
    <row r="2843" spans="1:2" x14ac:dyDescent="0.25">
      <c r="A2843" s="879"/>
      <c r="B2843" s="1448" t="s">
        <v>1450</v>
      </c>
    </row>
    <row r="2844" spans="1:2" x14ac:dyDescent="0.25">
      <c r="A2844" s="879"/>
      <c r="B2844" s="1448" t="s">
        <v>1650</v>
      </c>
    </row>
    <row r="2845" spans="1:2" x14ac:dyDescent="0.25">
      <c r="A2845" s="879"/>
      <c r="B2845" s="1448" t="s">
        <v>1651</v>
      </c>
    </row>
    <row r="2846" spans="1:2" x14ac:dyDescent="0.25">
      <c r="A2846" s="879"/>
      <c r="B2846" s="1448" t="s">
        <v>1515</v>
      </c>
    </row>
    <row r="2847" spans="1:2" x14ac:dyDescent="0.25">
      <c r="A2847" s="879"/>
      <c r="B2847" s="1448" t="s">
        <v>1652</v>
      </c>
    </row>
    <row r="2848" spans="1:2" x14ac:dyDescent="0.25">
      <c r="A2848" s="879"/>
      <c r="B2848" s="1448" t="s">
        <v>2118</v>
      </c>
    </row>
    <row r="2849" spans="1:2" x14ac:dyDescent="0.25">
      <c r="A2849" s="879"/>
      <c r="B2849" s="1448" t="s">
        <v>1483</v>
      </c>
    </row>
    <row r="2850" spans="1:2" x14ac:dyDescent="0.25">
      <c r="A2850" s="879"/>
      <c r="B2850" s="1448" t="s">
        <v>1653</v>
      </c>
    </row>
    <row r="2851" spans="1:2" x14ac:dyDescent="0.25">
      <c r="A2851" s="879"/>
      <c r="B2851" s="1448" t="s">
        <v>1654</v>
      </c>
    </row>
    <row r="2852" spans="1:2" x14ac:dyDescent="0.25">
      <c r="A2852" s="879"/>
      <c r="B2852" s="1448" t="s">
        <v>1452</v>
      </c>
    </row>
    <row r="2853" spans="1:2" x14ac:dyDescent="0.25">
      <c r="A2853" s="879"/>
      <c r="B2853" s="1448" t="s">
        <v>1484</v>
      </c>
    </row>
    <row r="2854" spans="1:2" x14ac:dyDescent="0.25">
      <c r="A2854" s="879"/>
      <c r="B2854" s="1448" t="s">
        <v>1453</v>
      </c>
    </row>
    <row r="2855" spans="1:2" x14ac:dyDescent="0.25">
      <c r="A2855" s="879"/>
      <c r="B2855" s="1448" t="s">
        <v>1516</v>
      </c>
    </row>
    <row r="2856" spans="1:2" x14ac:dyDescent="0.25">
      <c r="A2856" s="879"/>
      <c r="B2856" s="1448" t="s">
        <v>1655</v>
      </c>
    </row>
    <row r="2857" spans="1:2" x14ac:dyDescent="0.25">
      <c r="A2857" s="879"/>
      <c r="B2857" s="1448" t="s">
        <v>2119</v>
      </c>
    </row>
    <row r="2858" spans="1:2" x14ac:dyDescent="0.25">
      <c r="A2858" s="879"/>
      <c r="B2858" s="1448" t="s">
        <v>1454</v>
      </c>
    </row>
    <row r="2859" spans="1:2" x14ac:dyDescent="0.25">
      <c r="A2859" s="879"/>
      <c r="B2859" s="1448" t="s">
        <v>1365</v>
      </c>
    </row>
    <row r="2860" spans="1:2" x14ac:dyDescent="0.25">
      <c r="A2860" s="879"/>
      <c r="B2860" s="1448" t="s">
        <v>1448</v>
      </c>
    </row>
    <row r="2861" spans="1:2" x14ac:dyDescent="0.25">
      <c r="A2861" s="879"/>
      <c r="B2861" s="1448" t="s">
        <v>1449</v>
      </c>
    </row>
    <row r="2862" spans="1:2" x14ac:dyDescent="0.25">
      <c r="A2862" s="879"/>
      <c r="B2862" s="1448" t="s">
        <v>1450</v>
      </c>
    </row>
    <row r="2863" spans="1:2" x14ac:dyDescent="0.25">
      <c r="A2863" s="879"/>
      <c r="B2863" s="1448" t="s">
        <v>1650</v>
      </c>
    </row>
    <row r="2864" spans="1:2" x14ac:dyDescent="0.25">
      <c r="A2864" s="879"/>
      <c r="B2864" s="1448" t="s">
        <v>1651</v>
      </c>
    </row>
    <row r="2865" spans="1:2" x14ac:dyDescent="0.25">
      <c r="A2865" s="879"/>
      <c r="B2865" s="1448" t="s">
        <v>1515</v>
      </c>
    </row>
    <row r="2866" spans="1:2" x14ac:dyDescent="0.25">
      <c r="A2866" s="879"/>
      <c r="B2866" s="1448" t="s">
        <v>1652</v>
      </c>
    </row>
    <row r="2867" spans="1:2" x14ac:dyDescent="0.25">
      <c r="A2867" s="879"/>
      <c r="B2867" s="1448" t="s">
        <v>2118</v>
      </c>
    </row>
    <row r="2868" spans="1:2" x14ac:dyDescent="0.25">
      <c r="A2868" s="879"/>
      <c r="B2868" s="1448" t="s">
        <v>1483</v>
      </c>
    </row>
    <row r="2869" spans="1:2" x14ac:dyDescent="0.25">
      <c r="A2869" s="879"/>
      <c r="B2869" s="1448" t="s">
        <v>1653</v>
      </c>
    </row>
    <row r="2870" spans="1:2" x14ac:dyDescent="0.25">
      <c r="A2870" s="879"/>
      <c r="B2870" s="1448" t="s">
        <v>1654</v>
      </c>
    </row>
    <row r="2871" spans="1:2" x14ac:dyDescent="0.25">
      <c r="A2871" s="879"/>
      <c r="B2871" s="1448" t="s">
        <v>1452</v>
      </c>
    </row>
    <row r="2872" spans="1:2" x14ac:dyDescent="0.25">
      <c r="A2872" s="879"/>
      <c r="B2872" s="1448" t="s">
        <v>1484</v>
      </c>
    </row>
    <row r="2873" spans="1:2" x14ac:dyDescent="0.25">
      <c r="A2873" s="879"/>
      <c r="B2873" s="1448" t="s">
        <v>1453</v>
      </c>
    </row>
    <row r="2874" spans="1:2" x14ac:dyDescent="0.25">
      <c r="A2874" s="879"/>
      <c r="B2874" s="1448" t="s">
        <v>1516</v>
      </c>
    </row>
    <row r="2875" spans="1:2" x14ac:dyDescent="0.25">
      <c r="A2875" s="879"/>
      <c r="B2875" s="1448" t="s">
        <v>1655</v>
      </c>
    </row>
    <row r="2876" spans="1:2" x14ac:dyDescent="0.25">
      <c r="A2876" s="879"/>
      <c r="B2876" s="1448" t="s">
        <v>2119</v>
      </c>
    </row>
    <row r="2877" spans="1:2" x14ac:dyDescent="0.25">
      <c r="A2877" s="879"/>
      <c r="B2877" s="1448" t="s">
        <v>1656</v>
      </c>
    </row>
    <row r="2878" spans="1:2" x14ac:dyDescent="0.25">
      <c r="A2878" s="879"/>
      <c r="B2878" s="1448" t="s">
        <v>1365</v>
      </c>
    </row>
    <row r="2879" spans="1:2" x14ac:dyDescent="0.25">
      <c r="A2879" s="879"/>
      <c r="B2879" s="1448" t="s">
        <v>1657</v>
      </c>
    </row>
    <row r="2880" spans="1:2" x14ac:dyDescent="0.25">
      <c r="A2880" s="879"/>
      <c r="B2880" s="1448" t="s">
        <v>1658</v>
      </c>
    </row>
    <row r="2881" spans="1:2" x14ac:dyDescent="0.25">
      <c r="A2881" s="879"/>
      <c r="B2881" s="1448" t="s">
        <v>1659</v>
      </c>
    </row>
    <row r="2882" spans="1:2" x14ac:dyDescent="0.25">
      <c r="A2882" s="879"/>
      <c r="B2882" s="1448" t="s">
        <v>1660</v>
      </c>
    </row>
    <row r="2883" spans="1:2" x14ac:dyDescent="0.25">
      <c r="A2883" s="879"/>
      <c r="B2883" s="1448" t="s">
        <v>1661</v>
      </c>
    </row>
    <row r="2884" spans="1:2" x14ac:dyDescent="0.25">
      <c r="A2884" s="879"/>
      <c r="B2884" s="1448" t="s">
        <v>1662</v>
      </c>
    </row>
    <row r="2885" spans="1:2" x14ac:dyDescent="0.25">
      <c r="A2885" s="879"/>
      <c r="B2885" s="1448" t="s">
        <v>1663</v>
      </c>
    </row>
    <row r="2886" spans="1:2" x14ac:dyDescent="0.25">
      <c r="A2886" s="879"/>
      <c r="B2886" s="1448" t="s">
        <v>1664</v>
      </c>
    </row>
    <row r="2887" spans="1:2" x14ac:dyDescent="0.25">
      <c r="A2887" s="879"/>
      <c r="B2887" s="1448" t="s">
        <v>1665</v>
      </c>
    </row>
    <row r="2888" spans="1:2" x14ac:dyDescent="0.25">
      <c r="A2888" s="879"/>
      <c r="B2888" s="1448" t="s">
        <v>1666</v>
      </c>
    </row>
    <row r="2889" spans="1:2" x14ac:dyDescent="0.25">
      <c r="A2889" s="879"/>
      <c r="B2889" s="1448" t="s">
        <v>1667</v>
      </c>
    </row>
    <row r="2890" spans="1:2" x14ac:dyDescent="0.25">
      <c r="A2890" s="879"/>
      <c r="B2890" s="1448" t="s">
        <v>1668</v>
      </c>
    </row>
    <row r="2891" spans="1:2" x14ac:dyDescent="0.25">
      <c r="A2891" s="879"/>
      <c r="B2891" s="1448" t="s">
        <v>1669</v>
      </c>
    </row>
    <row r="2892" spans="1:2" x14ac:dyDescent="0.25">
      <c r="A2892" s="879"/>
      <c r="B2892" s="1448" t="s">
        <v>1670</v>
      </c>
    </row>
    <row r="2893" spans="1:2" x14ac:dyDescent="0.25">
      <c r="A2893" s="879"/>
      <c r="B2893" s="1448" t="s">
        <v>1671</v>
      </c>
    </row>
    <row r="2894" spans="1:2" x14ac:dyDescent="0.25">
      <c r="A2894" s="879"/>
      <c r="B2894" s="1448" t="s">
        <v>1769</v>
      </c>
    </row>
    <row r="2895" spans="1:2" x14ac:dyDescent="0.25">
      <c r="A2895" s="879"/>
      <c r="B2895" s="1448" t="s">
        <v>1365</v>
      </c>
    </row>
    <row r="2896" spans="1:2" x14ac:dyDescent="0.25">
      <c r="A2896" s="879"/>
      <c r="B2896" s="1448" t="s">
        <v>1770</v>
      </c>
    </row>
    <row r="2897" spans="1:2" x14ac:dyDescent="0.25">
      <c r="A2897" s="879"/>
      <c r="B2897" s="1448" t="s">
        <v>2271</v>
      </c>
    </row>
    <row r="2898" spans="1:2" x14ac:dyDescent="0.25">
      <c r="A2898" s="879"/>
      <c r="B2898" s="1448" t="s">
        <v>1772</v>
      </c>
    </row>
    <row r="2899" spans="1:2" x14ac:dyDescent="0.25">
      <c r="A2899" s="879"/>
      <c r="B2899" s="1448" t="s">
        <v>1365</v>
      </c>
    </row>
    <row r="2900" spans="1:2" x14ac:dyDescent="0.25">
      <c r="A2900" s="879"/>
      <c r="B2900" s="1448" t="s">
        <v>1773</v>
      </c>
    </row>
    <row r="2901" spans="1:2" x14ac:dyDescent="0.25">
      <c r="A2901" s="879"/>
      <c r="B2901" s="1448"/>
    </row>
    <row r="2902" spans="1:2" x14ac:dyDescent="0.25">
      <c r="A2902" s="879"/>
      <c r="B2902" s="1448"/>
    </row>
    <row r="2903" spans="1:2" x14ac:dyDescent="0.25">
      <c r="A2903" s="879"/>
      <c r="B2903" s="1448" t="s">
        <v>1366</v>
      </c>
    </row>
    <row r="2904" spans="1:2" x14ac:dyDescent="0.25">
      <c r="A2904" s="879"/>
      <c r="B2904" s="1448" t="s">
        <v>2272</v>
      </c>
    </row>
    <row r="2905" spans="1:2" x14ac:dyDescent="0.25">
      <c r="A2905" s="879"/>
      <c r="B2905" s="1448" t="s">
        <v>1366</v>
      </c>
    </row>
    <row r="2906" spans="1:2" x14ac:dyDescent="0.25">
      <c r="A2906" s="879"/>
      <c r="B2906" s="1448" t="s">
        <v>1727</v>
      </c>
    </row>
    <row r="2907" spans="1:2" x14ac:dyDescent="0.25">
      <c r="A2907" s="879"/>
      <c r="B2907" s="1448" t="s">
        <v>1365</v>
      </c>
    </row>
    <row r="2908" spans="1:2" x14ac:dyDescent="0.25">
      <c r="A2908" s="879"/>
      <c r="B2908" s="1448" t="s">
        <v>1367</v>
      </c>
    </row>
    <row r="2909" spans="1:2" x14ac:dyDescent="0.25">
      <c r="A2909" s="879"/>
      <c r="B2909" s="1448" t="s">
        <v>1368</v>
      </c>
    </row>
    <row r="2910" spans="1:2" x14ac:dyDescent="0.25">
      <c r="A2910" s="879"/>
      <c r="B2910" s="1448" t="s">
        <v>1365</v>
      </c>
    </row>
    <row r="2911" spans="1:2" x14ac:dyDescent="0.25">
      <c r="A2911" s="879"/>
      <c r="B2911" s="1448" t="s">
        <v>1517</v>
      </c>
    </row>
    <row r="2912" spans="1:2" x14ac:dyDescent="0.25">
      <c r="A2912" s="879"/>
      <c r="B2912" s="1448" t="s">
        <v>1561</v>
      </c>
    </row>
    <row r="2913" spans="1:2" x14ac:dyDescent="0.25">
      <c r="A2913" s="879"/>
      <c r="B2913" s="1448" t="s">
        <v>2273</v>
      </c>
    </row>
    <row r="2914" spans="1:2" x14ac:dyDescent="0.25">
      <c r="A2914" s="879"/>
      <c r="B2914" s="1448" t="s">
        <v>2274</v>
      </c>
    </row>
    <row r="2915" spans="1:2" x14ac:dyDescent="0.25">
      <c r="A2915" s="879"/>
      <c r="B2915" s="1448" t="s">
        <v>2275</v>
      </c>
    </row>
    <row r="2916" spans="1:2" x14ac:dyDescent="0.25">
      <c r="A2916" s="879"/>
      <c r="B2916" s="1448" t="s">
        <v>2276</v>
      </c>
    </row>
    <row r="2917" spans="1:2" x14ac:dyDescent="0.25">
      <c r="A2917" s="879"/>
      <c r="B2917" s="1448" t="s">
        <v>2277</v>
      </c>
    </row>
    <row r="2918" spans="1:2" x14ac:dyDescent="0.25">
      <c r="A2918" s="879"/>
      <c r="B2918" s="1448" t="s">
        <v>2278</v>
      </c>
    </row>
    <row r="2919" spans="1:2" x14ac:dyDescent="0.25">
      <c r="A2919" s="879"/>
      <c r="B2919" s="1448" t="s">
        <v>2279</v>
      </c>
    </row>
    <row r="2920" spans="1:2" x14ac:dyDescent="0.25">
      <c r="A2920" s="879"/>
      <c r="B2920" s="1448" t="s">
        <v>2280</v>
      </c>
    </row>
    <row r="2921" spans="1:2" x14ac:dyDescent="0.25">
      <c r="A2921" s="879"/>
      <c r="B2921" s="1448" t="s">
        <v>1562</v>
      </c>
    </row>
    <row r="2922" spans="1:2" x14ac:dyDescent="0.25">
      <c r="A2922" s="879"/>
      <c r="B2922" s="1448" t="s">
        <v>1380</v>
      </c>
    </row>
    <row r="2923" spans="1:2" x14ac:dyDescent="0.25">
      <c r="A2923" s="879"/>
      <c r="B2923" s="1448" t="s">
        <v>1365</v>
      </c>
    </row>
    <row r="2924" spans="1:2" x14ac:dyDescent="0.25">
      <c r="A2924" s="879"/>
      <c r="B2924" s="1448" t="s">
        <v>1517</v>
      </c>
    </row>
    <row r="2925" spans="1:2" x14ac:dyDescent="0.25">
      <c r="A2925" s="879"/>
      <c r="B2925" s="1448" t="s">
        <v>2281</v>
      </c>
    </row>
    <row r="2926" spans="1:2" x14ac:dyDescent="0.25">
      <c r="A2926" s="879"/>
      <c r="B2926" s="1448" t="s">
        <v>2282</v>
      </c>
    </row>
    <row r="2927" spans="1:2" x14ac:dyDescent="0.25">
      <c r="A2927" s="879"/>
      <c r="B2927" s="1448" t="s">
        <v>2283</v>
      </c>
    </row>
    <row r="2928" spans="1:2" x14ac:dyDescent="0.25">
      <c r="A2928" s="879"/>
      <c r="B2928" s="1448" t="s">
        <v>2284</v>
      </c>
    </row>
    <row r="2929" spans="1:2" x14ac:dyDescent="0.25">
      <c r="A2929" s="879"/>
      <c r="B2929" s="1448" t="s">
        <v>2285</v>
      </c>
    </row>
    <row r="2930" spans="1:2" x14ac:dyDescent="0.25">
      <c r="A2930" s="879"/>
      <c r="B2930" s="1448" t="s">
        <v>2286</v>
      </c>
    </row>
    <row r="2931" spans="1:2" x14ac:dyDescent="0.25">
      <c r="A2931" s="879"/>
      <c r="B2931" s="1448" t="s">
        <v>2287</v>
      </c>
    </row>
    <row r="2932" spans="1:2" x14ac:dyDescent="0.25">
      <c r="A2932" s="879"/>
      <c r="B2932" s="1448" t="s">
        <v>2288</v>
      </c>
    </row>
    <row r="2933" spans="1:2" x14ac:dyDescent="0.25">
      <c r="A2933" s="879"/>
      <c r="B2933" s="1448" t="s">
        <v>1519</v>
      </c>
    </row>
    <row r="2934" spans="1:2" x14ac:dyDescent="0.25">
      <c r="A2934" s="879"/>
      <c r="B2934" s="1448" t="s">
        <v>1520</v>
      </c>
    </row>
    <row r="2935" spans="1:2" x14ac:dyDescent="0.25">
      <c r="A2935" s="879"/>
      <c r="B2935" s="1448" t="s">
        <v>1563</v>
      </c>
    </row>
    <row r="2936" spans="1:2" x14ac:dyDescent="0.25">
      <c r="A2936" s="879"/>
      <c r="B2936" s="1448" t="s">
        <v>1564</v>
      </c>
    </row>
    <row r="2937" spans="1:2" x14ac:dyDescent="0.25">
      <c r="A2937" s="879"/>
      <c r="B2937" s="1448" t="s">
        <v>2289</v>
      </c>
    </row>
    <row r="2938" spans="1:2" x14ac:dyDescent="0.25">
      <c r="A2938" s="879"/>
      <c r="B2938" s="1448" t="s">
        <v>1524</v>
      </c>
    </row>
    <row r="2939" spans="1:2" x14ac:dyDescent="0.25">
      <c r="A2939" s="879"/>
      <c r="B2939" s="1448" t="s">
        <v>2290</v>
      </c>
    </row>
    <row r="2940" spans="1:2" x14ac:dyDescent="0.25">
      <c r="A2940" s="879"/>
      <c r="B2940" s="1448" t="s">
        <v>2291</v>
      </c>
    </row>
    <row r="2941" spans="1:2" x14ac:dyDescent="0.25">
      <c r="A2941" s="879"/>
      <c r="B2941" s="1448" t="s">
        <v>2292</v>
      </c>
    </row>
    <row r="2942" spans="1:2" x14ac:dyDescent="0.25">
      <c r="A2942" s="879"/>
      <c r="B2942" s="1448" t="s">
        <v>2293</v>
      </c>
    </row>
    <row r="2943" spans="1:2" x14ac:dyDescent="0.25">
      <c r="A2943" s="879"/>
      <c r="B2943" s="1448" t="s">
        <v>2294</v>
      </c>
    </row>
    <row r="2944" spans="1:2" x14ac:dyDescent="0.25">
      <c r="A2944" s="879"/>
      <c r="B2944" s="1448" t="s">
        <v>1565</v>
      </c>
    </row>
    <row r="2945" spans="1:2" x14ac:dyDescent="0.25">
      <c r="A2945" s="879"/>
      <c r="B2945" s="1448" t="s">
        <v>1714</v>
      </c>
    </row>
    <row r="2946" spans="1:2" x14ac:dyDescent="0.25">
      <c r="A2946" s="879"/>
      <c r="B2946" s="1448" t="s">
        <v>2295</v>
      </c>
    </row>
    <row r="2947" spans="1:2" x14ac:dyDescent="0.25">
      <c r="A2947" s="879"/>
      <c r="B2947" s="1448" t="s">
        <v>1526</v>
      </c>
    </row>
    <row r="2948" spans="1:2" x14ac:dyDescent="0.25">
      <c r="A2948" s="879"/>
      <c r="B2948" s="1448" t="s">
        <v>2296</v>
      </c>
    </row>
    <row r="2949" spans="1:2" x14ac:dyDescent="0.25">
      <c r="A2949" s="879"/>
      <c r="B2949" s="1448" t="s">
        <v>2297</v>
      </c>
    </row>
    <row r="2950" spans="1:2" x14ac:dyDescent="0.25">
      <c r="A2950" s="879"/>
      <c r="B2950" s="1448" t="s">
        <v>2298</v>
      </c>
    </row>
    <row r="2951" spans="1:2" x14ac:dyDescent="0.25">
      <c r="A2951" s="879"/>
      <c r="B2951" s="1448" t="s">
        <v>2299</v>
      </c>
    </row>
    <row r="2952" spans="1:2" x14ac:dyDescent="0.25">
      <c r="A2952" s="879"/>
      <c r="B2952" s="1448" t="s">
        <v>1715</v>
      </c>
    </row>
    <row r="2953" spans="1:2" x14ac:dyDescent="0.25">
      <c r="A2953" s="879"/>
      <c r="B2953" s="1448" t="s">
        <v>1566</v>
      </c>
    </row>
    <row r="2954" spans="1:2" x14ac:dyDescent="0.25">
      <c r="A2954" s="879"/>
      <c r="B2954" s="1448" t="s">
        <v>1567</v>
      </c>
    </row>
    <row r="2955" spans="1:2" x14ac:dyDescent="0.25">
      <c r="A2955" s="879"/>
      <c r="B2955" s="1448" t="s">
        <v>2300</v>
      </c>
    </row>
    <row r="2956" spans="1:2" x14ac:dyDescent="0.25">
      <c r="A2956" s="879"/>
      <c r="B2956" s="1448" t="s">
        <v>2301</v>
      </c>
    </row>
    <row r="2957" spans="1:2" x14ac:dyDescent="0.25">
      <c r="A2957" s="879"/>
      <c r="B2957" s="1448" t="s">
        <v>1568</v>
      </c>
    </row>
    <row r="2958" spans="1:2" x14ac:dyDescent="0.25">
      <c r="A2958" s="879"/>
      <c r="B2958" s="1448" t="s">
        <v>1725</v>
      </c>
    </row>
    <row r="2959" spans="1:2" x14ac:dyDescent="0.25">
      <c r="A2959" s="879"/>
      <c r="B2959" s="1448" t="s">
        <v>2302</v>
      </c>
    </row>
    <row r="2960" spans="1:2" x14ac:dyDescent="0.25">
      <c r="A2960" s="879"/>
      <c r="B2960" s="1448" t="s">
        <v>2303</v>
      </c>
    </row>
    <row r="2961" spans="1:2" x14ac:dyDescent="0.25">
      <c r="A2961" s="879"/>
      <c r="B2961" s="1448" t="s">
        <v>2304</v>
      </c>
    </row>
    <row r="2962" spans="1:2" x14ac:dyDescent="0.25">
      <c r="A2962" s="879"/>
      <c r="B2962" s="1448" t="s">
        <v>2305</v>
      </c>
    </row>
    <row r="2963" spans="1:2" x14ac:dyDescent="0.25">
      <c r="A2963" s="879"/>
      <c r="B2963" s="1448" t="s">
        <v>2306</v>
      </c>
    </row>
    <row r="2964" spans="1:2" x14ac:dyDescent="0.25">
      <c r="A2964" s="879"/>
      <c r="B2964" s="1448" t="s">
        <v>2307</v>
      </c>
    </row>
    <row r="2965" spans="1:2" x14ac:dyDescent="0.25">
      <c r="A2965" s="879"/>
      <c r="B2965" s="1448" t="s">
        <v>2308</v>
      </c>
    </row>
    <row r="2966" spans="1:2" x14ac:dyDescent="0.25">
      <c r="A2966" s="879"/>
      <c r="B2966" s="1448" t="s">
        <v>2309</v>
      </c>
    </row>
    <row r="2967" spans="1:2" x14ac:dyDescent="0.25">
      <c r="A2967" s="879"/>
      <c r="B2967" s="1448" t="s">
        <v>2310</v>
      </c>
    </row>
    <row r="2968" spans="1:2" x14ac:dyDescent="0.25">
      <c r="A2968" s="879"/>
      <c r="B2968" s="1448" t="s">
        <v>1529</v>
      </c>
    </row>
    <row r="2969" spans="1:2" x14ac:dyDescent="0.25">
      <c r="A2969" s="879"/>
      <c r="B2969" s="1448" t="s">
        <v>1586</v>
      </c>
    </row>
    <row r="2970" spans="1:2" x14ac:dyDescent="0.25">
      <c r="A2970" s="879"/>
      <c r="B2970" s="1448" t="s">
        <v>1569</v>
      </c>
    </row>
    <row r="2971" spans="1:2" x14ac:dyDescent="0.25">
      <c r="A2971" s="879"/>
      <c r="B2971" s="1448" t="s">
        <v>2311</v>
      </c>
    </row>
    <row r="2972" spans="1:2" x14ac:dyDescent="0.25">
      <c r="A2972" s="879"/>
      <c r="B2972" s="1448" t="s">
        <v>1428</v>
      </c>
    </row>
    <row r="2973" spans="1:2" x14ac:dyDescent="0.25">
      <c r="A2973" s="879"/>
      <c r="B2973" s="1448" t="s">
        <v>1365</v>
      </c>
    </row>
    <row r="2974" spans="1:2" x14ac:dyDescent="0.25">
      <c r="A2974" s="879"/>
      <c r="B2974" s="1448" t="s">
        <v>1447</v>
      </c>
    </row>
    <row r="2975" spans="1:2" x14ac:dyDescent="0.25">
      <c r="A2975" s="879"/>
      <c r="B2975" s="1448" t="s">
        <v>1365</v>
      </c>
    </row>
    <row r="2976" spans="1:2" x14ac:dyDescent="0.25">
      <c r="A2976" s="879"/>
      <c r="B2976" s="1448" t="s">
        <v>1448</v>
      </c>
    </row>
    <row r="2977" spans="1:2" x14ac:dyDescent="0.25">
      <c r="A2977" s="879"/>
      <c r="B2977" s="1448" t="s">
        <v>1449</v>
      </c>
    </row>
    <row r="2978" spans="1:2" x14ac:dyDescent="0.25">
      <c r="A2978" s="879"/>
      <c r="B2978" s="1448" t="s">
        <v>2312</v>
      </c>
    </row>
    <row r="2979" spans="1:2" x14ac:dyDescent="0.25">
      <c r="A2979" s="879"/>
      <c r="B2979" s="1448" t="s">
        <v>1650</v>
      </c>
    </row>
    <row r="2980" spans="1:2" x14ac:dyDescent="0.25">
      <c r="A2980" s="879"/>
      <c r="B2980" s="1448" t="s">
        <v>1651</v>
      </c>
    </row>
    <row r="2981" spans="1:2" x14ac:dyDescent="0.25">
      <c r="A2981" s="879"/>
      <c r="B2981" s="1448" t="s">
        <v>2313</v>
      </c>
    </row>
    <row r="2982" spans="1:2" x14ac:dyDescent="0.25">
      <c r="A2982" s="879"/>
      <c r="B2982" s="1448" t="s">
        <v>1652</v>
      </c>
    </row>
    <row r="2983" spans="1:2" x14ac:dyDescent="0.25">
      <c r="A2983" s="879"/>
      <c r="B2983" s="1448" t="s">
        <v>2314</v>
      </c>
    </row>
    <row r="2984" spans="1:2" x14ac:dyDescent="0.25">
      <c r="A2984" s="879"/>
      <c r="B2984" s="1448" t="s">
        <v>2315</v>
      </c>
    </row>
    <row r="2985" spans="1:2" x14ac:dyDescent="0.25">
      <c r="A2985" s="879"/>
      <c r="B2985" s="1448" t="s">
        <v>1916</v>
      </c>
    </row>
    <row r="2986" spans="1:2" x14ac:dyDescent="0.25">
      <c r="A2986" s="879"/>
      <c r="B2986" s="1448" t="s">
        <v>1917</v>
      </c>
    </row>
    <row r="2987" spans="1:2" x14ac:dyDescent="0.25">
      <c r="A2987" s="879"/>
      <c r="B2987" s="1448" t="s">
        <v>2316</v>
      </c>
    </row>
    <row r="2988" spans="1:2" x14ac:dyDescent="0.25">
      <c r="A2988" s="879"/>
      <c r="B2988" s="1448" t="s">
        <v>2317</v>
      </c>
    </row>
    <row r="2989" spans="1:2" x14ac:dyDescent="0.25">
      <c r="A2989" s="879"/>
      <c r="B2989" s="1448" t="s">
        <v>1453</v>
      </c>
    </row>
    <row r="2990" spans="1:2" x14ac:dyDescent="0.25">
      <c r="A2990" s="879"/>
      <c r="B2990" s="1448" t="s">
        <v>2318</v>
      </c>
    </row>
    <row r="2991" spans="1:2" x14ac:dyDescent="0.25">
      <c r="A2991" s="879"/>
      <c r="B2991" s="1448" t="s">
        <v>1655</v>
      </c>
    </row>
    <row r="2992" spans="1:2" x14ac:dyDescent="0.25">
      <c r="A2992" s="879"/>
      <c r="B2992" s="1448" t="s">
        <v>2319</v>
      </c>
    </row>
    <row r="2993" spans="1:2" x14ac:dyDescent="0.25">
      <c r="A2993" s="879"/>
      <c r="B2993" s="1448" t="s">
        <v>1454</v>
      </c>
    </row>
    <row r="2994" spans="1:2" x14ac:dyDescent="0.25">
      <c r="A2994" s="879"/>
      <c r="B2994" s="1448" t="s">
        <v>1365</v>
      </c>
    </row>
    <row r="2995" spans="1:2" x14ac:dyDescent="0.25">
      <c r="A2995" s="879"/>
      <c r="B2995" s="1448" t="s">
        <v>1448</v>
      </c>
    </row>
    <row r="2996" spans="1:2" x14ac:dyDescent="0.25">
      <c r="A2996" s="879"/>
      <c r="B2996" s="1448" t="s">
        <v>1449</v>
      </c>
    </row>
    <row r="2997" spans="1:2" x14ac:dyDescent="0.25">
      <c r="A2997" s="879"/>
      <c r="B2997" s="1448" t="s">
        <v>2312</v>
      </c>
    </row>
    <row r="2998" spans="1:2" x14ac:dyDescent="0.25">
      <c r="A2998" s="879"/>
      <c r="B2998" s="1448" t="s">
        <v>1650</v>
      </c>
    </row>
    <row r="2999" spans="1:2" x14ac:dyDescent="0.25">
      <c r="A2999" s="879"/>
      <c r="B2999" s="1448" t="s">
        <v>1651</v>
      </c>
    </row>
    <row r="3000" spans="1:2" x14ac:dyDescent="0.25">
      <c r="A3000" s="879"/>
      <c r="B3000" s="1448" t="s">
        <v>2313</v>
      </c>
    </row>
    <row r="3001" spans="1:2" x14ac:dyDescent="0.25">
      <c r="A3001" s="879"/>
      <c r="B3001" s="1448" t="s">
        <v>1652</v>
      </c>
    </row>
    <row r="3002" spans="1:2" x14ac:dyDescent="0.25">
      <c r="A3002" s="879"/>
      <c r="B3002" s="1448" t="s">
        <v>2314</v>
      </c>
    </row>
    <row r="3003" spans="1:2" x14ac:dyDescent="0.25">
      <c r="A3003" s="879"/>
      <c r="B3003" s="1448" t="s">
        <v>2315</v>
      </c>
    </row>
    <row r="3004" spans="1:2" x14ac:dyDescent="0.25">
      <c r="A3004" s="879"/>
      <c r="B3004" s="1448" t="s">
        <v>1916</v>
      </c>
    </row>
    <row r="3005" spans="1:2" x14ac:dyDescent="0.25">
      <c r="A3005" s="879"/>
      <c r="B3005" s="1448" t="s">
        <v>1917</v>
      </c>
    </row>
    <row r="3006" spans="1:2" x14ac:dyDescent="0.25">
      <c r="A3006" s="879"/>
      <c r="B3006" s="1448" t="s">
        <v>2316</v>
      </c>
    </row>
    <row r="3007" spans="1:2" x14ac:dyDescent="0.25">
      <c r="A3007" s="879"/>
      <c r="B3007" s="1448" t="s">
        <v>2317</v>
      </c>
    </row>
    <row r="3008" spans="1:2" x14ac:dyDescent="0.25">
      <c r="A3008" s="879"/>
      <c r="B3008" s="1448" t="s">
        <v>1453</v>
      </c>
    </row>
    <row r="3009" spans="1:2" x14ac:dyDescent="0.25">
      <c r="A3009" s="879"/>
      <c r="B3009" s="1448" t="s">
        <v>2318</v>
      </c>
    </row>
    <row r="3010" spans="1:2" x14ac:dyDescent="0.25">
      <c r="A3010" s="879"/>
      <c r="B3010" s="1448" t="s">
        <v>1655</v>
      </c>
    </row>
    <row r="3011" spans="1:2" x14ac:dyDescent="0.25">
      <c r="A3011" s="879"/>
      <c r="B3011" s="1448" t="s">
        <v>2319</v>
      </c>
    </row>
    <row r="3012" spans="1:2" x14ac:dyDescent="0.25">
      <c r="A3012" s="879"/>
      <c r="B3012" s="1448" t="s">
        <v>1457</v>
      </c>
    </row>
    <row r="3013" spans="1:2" x14ac:dyDescent="0.25">
      <c r="A3013" s="879"/>
      <c r="B3013" s="1448" t="s">
        <v>1365</v>
      </c>
    </row>
    <row r="3014" spans="1:2" x14ac:dyDescent="0.25">
      <c r="A3014" s="879"/>
      <c r="B3014" s="1448" t="s">
        <v>1448</v>
      </c>
    </row>
    <row r="3015" spans="1:2" x14ac:dyDescent="0.25">
      <c r="A3015" s="879"/>
      <c r="B3015" s="1448" t="s">
        <v>1449</v>
      </c>
    </row>
    <row r="3016" spans="1:2" x14ac:dyDescent="0.25">
      <c r="A3016" s="879"/>
      <c r="B3016" s="1448" t="s">
        <v>2320</v>
      </c>
    </row>
    <row r="3017" spans="1:2" x14ac:dyDescent="0.25">
      <c r="A3017" s="879"/>
      <c r="B3017" s="1448" t="s">
        <v>1650</v>
      </c>
    </row>
    <row r="3018" spans="1:2" x14ac:dyDescent="0.25">
      <c r="A3018" s="879"/>
      <c r="B3018" s="1448" t="s">
        <v>1651</v>
      </c>
    </row>
    <row r="3019" spans="1:2" x14ac:dyDescent="0.25">
      <c r="A3019" s="879"/>
      <c r="B3019" s="1448" t="s">
        <v>2321</v>
      </c>
    </row>
    <row r="3020" spans="1:2" x14ac:dyDescent="0.25">
      <c r="A3020" s="879"/>
      <c r="B3020" s="1448" t="s">
        <v>1652</v>
      </c>
    </row>
    <row r="3021" spans="1:2" x14ac:dyDescent="0.25">
      <c r="A3021" s="879"/>
      <c r="B3021" s="1448" t="s">
        <v>2322</v>
      </c>
    </row>
    <row r="3022" spans="1:2" x14ac:dyDescent="0.25">
      <c r="A3022" s="879"/>
      <c r="B3022" s="1448" t="s">
        <v>2323</v>
      </c>
    </row>
    <row r="3023" spans="1:2" x14ac:dyDescent="0.25">
      <c r="A3023" s="879"/>
      <c r="B3023" s="1448" t="s">
        <v>1653</v>
      </c>
    </row>
    <row r="3024" spans="1:2" x14ac:dyDescent="0.25">
      <c r="A3024" s="879"/>
      <c r="B3024" s="1448" t="s">
        <v>1654</v>
      </c>
    </row>
    <row r="3025" spans="1:2" x14ac:dyDescent="0.25">
      <c r="A3025" s="879"/>
      <c r="B3025" s="1448" t="s">
        <v>2324</v>
      </c>
    </row>
    <row r="3026" spans="1:2" x14ac:dyDescent="0.25">
      <c r="A3026" s="879"/>
      <c r="B3026" s="1448" t="s">
        <v>2325</v>
      </c>
    </row>
    <row r="3027" spans="1:2" x14ac:dyDescent="0.25">
      <c r="A3027" s="879"/>
      <c r="B3027" s="1448" t="s">
        <v>1453</v>
      </c>
    </row>
    <row r="3028" spans="1:2" x14ac:dyDescent="0.25">
      <c r="A3028" s="879"/>
      <c r="B3028" s="1448" t="s">
        <v>2326</v>
      </c>
    </row>
    <row r="3029" spans="1:2" x14ac:dyDescent="0.25">
      <c r="A3029" s="879"/>
      <c r="B3029" s="1448" t="s">
        <v>1655</v>
      </c>
    </row>
    <row r="3030" spans="1:2" x14ac:dyDescent="0.25">
      <c r="A3030" s="879"/>
      <c r="B3030" s="1448" t="s">
        <v>1456</v>
      </c>
    </row>
    <row r="3031" spans="1:2" x14ac:dyDescent="0.25">
      <c r="A3031" s="879"/>
      <c r="B3031" s="1448" t="s">
        <v>1656</v>
      </c>
    </row>
    <row r="3032" spans="1:2" x14ac:dyDescent="0.25">
      <c r="A3032" s="879"/>
      <c r="B3032" s="1448" t="s">
        <v>1365</v>
      </c>
    </row>
    <row r="3033" spans="1:2" x14ac:dyDescent="0.25">
      <c r="A3033" s="879"/>
      <c r="B3033" s="1448" t="s">
        <v>1657</v>
      </c>
    </row>
    <row r="3034" spans="1:2" x14ac:dyDescent="0.25">
      <c r="A3034" s="879"/>
      <c r="B3034" s="1448" t="s">
        <v>2327</v>
      </c>
    </row>
    <row r="3035" spans="1:2" x14ac:dyDescent="0.25">
      <c r="A3035" s="879"/>
      <c r="B3035" s="1448" t="s">
        <v>1659</v>
      </c>
    </row>
    <row r="3036" spans="1:2" x14ac:dyDescent="0.25">
      <c r="A3036" s="879"/>
      <c r="B3036" s="1448" t="s">
        <v>1660</v>
      </c>
    </row>
    <row r="3037" spans="1:2" x14ac:dyDescent="0.25">
      <c r="A3037" s="879"/>
      <c r="B3037" s="1448" t="s">
        <v>2328</v>
      </c>
    </row>
    <row r="3038" spans="1:2" x14ac:dyDescent="0.25">
      <c r="A3038" s="879"/>
      <c r="B3038" s="1448" t="s">
        <v>1662</v>
      </c>
    </row>
    <row r="3039" spans="1:2" x14ac:dyDescent="0.25">
      <c r="A3039" s="879"/>
      <c r="B3039" s="1448" t="s">
        <v>2329</v>
      </c>
    </row>
    <row r="3040" spans="1:2" x14ac:dyDescent="0.25">
      <c r="A3040" s="879"/>
      <c r="B3040" s="1448" t="s">
        <v>2330</v>
      </c>
    </row>
    <row r="3041" spans="1:2" x14ac:dyDescent="0.25">
      <c r="A3041" s="879"/>
      <c r="B3041" s="1448" t="s">
        <v>2331</v>
      </c>
    </row>
    <row r="3042" spans="1:2" x14ac:dyDescent="0.25">
      <c r="A3042" s="879"/>
      <c r="B3042" s="1448" t="s">
        <v>2332</v>
      </c>
    </row>
    <row r="3043" spans="1:2" x14ac:dyDescent="0.25">
      <c r="A3043" s="879"/>
      <c r="B3043" s="1448" t="s">
        <v>2333</v>
      </c>
    </row>
    <row r="3044" spans="1:2" x14ac:dyDescent="0.25">
      <c r="A3044" s="879"/>
      <c r="B3044" s="1448" t="s">
        <v>2334</v>
      </c>
    </row>
    <row r="3045" spans="1:2" x14ac:dyDescent="0.25">
      <c r="A3045" s="879"/>
      <c r="B3045" s="1448" t="s">
        <v>1669</v>
      </c>
    </row>
    <row r="3046" spans="1:2" x14ac:dyDescent="0.25">
      <c r="A3046" s="879"/>
      <c r="B3046" s="1448" t="s">
        <v>2335</v>
      </c>
    </row>
    <row r="3047" spans="1:2" x14ac:dyDescent="0.25">
      <c r="A3047" s="879"/>
      <c r="B3047" s="1448" t="s">
        <v>1671</v>
      </c>
    </row>
    <row r="3048" spans="1:2" x14ac:dyDescent="0.25">
      <c r="A3048" s="879"/>
      <c r="B3048" s="1448" t="s">
        <v>1769</v>
      </c>
    </row>
    <row r="3049" spans="1:2" x14ac:dyDescent="0.25">
      <c r="A3049" s="879"/>
      <c r="B3049" s="1448" t="s">
        <v>1365</v>
      </c>
    </row>
    <row r="3050" spans="1:2" x14ac:dyDescent="0.25">
      <c r="A3050" s="879"/>
      <c r="B3050" s="1448" t="s">
        <v>1770</v>
      </c>
    </row>
    <row r="3051" spans="1:2" x14ac:dyDescent="0.25">
      <c r="A3051" s="879"/>
      <c r="B3051" s="1448" t="s">
        <v>2336</v>
      </c>
    </row>
    <row r="3052" spans="1:2" x14ac:dyDescent="0.25">
      <c r="A3052" s="879"/>
      <c r="B3052" s="1448" t="s">
        <v>1772</v>
      </c>
    </row>
    <row r="3053" spans="1:2" x14ac:dyDescent="0.25">
      <c r="A3053" s="879"/>
      <c r="B3053" s="1448" t="s">
        <v>1365</v>
      </c>
    </row>
    <row r="3054" spans="1:2" x14ac:dyDescent="0.25">
      <c r="A3054" s="879"/>
      <c r="B3054" s="1448" t="s">
        <v>1773</v>
      </c>
    </row>
    <row r="3055" spans="1:2" x14ac:dyDescent="0.25">
      <c r="A3055" s="879"/>
      <c r="B3055" s="1448"/>
    </row>
    <row r="3056" spans="1:2" x14ac:dyDescent="0.25">
      <c r="A3056" s="879"/>
      <c r="B3056" s="1448"/>
    </row>
    <row r="3057" spans="1:2" x14ac:dyDescent="0.25">
      <c r="A3057" s="879"/>
      <c r="B3057" s="1448" t="s">
        <v>1366</v>
      </c>
    </row>
    <row r="3058" spans="1:2" x14ac:dyDescent="0.25">
      <c r="A3058" s="879"/>
      <c r="B3058" s="1448" t="s">
        <v>2337</v>
      </c>
    </row>
    <row r="3059" spans="1:2" x14ac:dyDescent="0.25">
      <c r="A3059" s="879"/>
      <c r="B3059" s="1448" t="s">
        <v>1366</v>
      </c>
    </row>
    <row r="3060" spans="1:2" x14ac:dyDescent="0.25">
      <c r="A3060" s="879"/>
      <c r="B3060" s="1448" t="s">
        <v>2338</v>
      </c>
    </row>
    <row r="3061" spans="1:2" x14ac:dyDescent="0.25">
      <c r="A3061" s="879"/>
      <c r="B3061" s="1448" t="s">
        <v>1365</v>
      </c>
    </row>
    <row r="3062" spans="1:2" x14ac:dyDescent="0.25">
      <c r="A3062" s="879"/>
      <c r="B3062" s="1448" t="s">
        <v>1367</v>
      </c>
    </row>
    <row r="3063" spans="1:2" x14ac:dyDescent="0.25">
      <c r="A3063" s="879"/>
      <c r="B3063" s="1448" t="s">
        <v>1368</v>
      </c>
    </row>
    <row r="3064" spans="1:2" x14ac:dyDescent="0.25">
      <c r="A3064" s="879"/>
      <c r="B3064" s="1448" t="s">
        <v>1365</v>
      </c>
    </row>
    <row r="3065" spans="1:2" x14ac:dyDescent="0.25">
      <c r="A3065" s="879"/>
      <c r="B3065" s="1448" t="s">
        <v>1458</v>
      </c>
    </row>
    <row r="3066" spans="1:2" x14ac:dyDescent="0.25">
      <c r="A3066" s="879"/>
      <c r="B3066" s="1448" t="s">
        <v>1459</v>
      </c>
    </row>
    <row r="3067" spans="1:2" x14ac:dyDescent="0.25">
      <c r="A3067" s="879"/>
      <c r="B3067" s="1448" t="s">
        <v>2339</v>
      </c>
    </row>
    <row r="3068" spans="1:2" x14ac:dyDescent="0.25">
      <c r="A3068" s="879"/>
      <c r="B3068" s="1448" t="s">
        <v>2340</v>
      </c>
    </row>
    <row r="3069" spans="1:2" x14ac:dyDescent="0.25">
      <c r="A3069" s="879"/>
      <c r="B3069" s="1448" t="s">
        <v>2341</v>
      </c>
    </row>
    <row r="3070" spans="1:2" x14ac:dyDescent="0.25">
      <c r="A3070" s="879"/>
      <c r="B3070" s="1448" t="s">
        <v>2342</v>
      </c>
    </row>
    <row r="3071" spans="1:2" x14ac:dyDescent="0.25">
      <c r="A3071" s="879"/>
      <c r="B3071" s="1448" t="s">
        <v>2343</v>
      </c>
    </row>
    <row r="3072" spans="1:2" x14ac:dyDescent="0.25">
      <c r="A3072" s="879"/>
      <c r="B3072" s="1448" t="s">
        <v>2344</v>
      </c>
    </row>
    <row r="3073" spans="1:2" x14ac:dyDescent="0.25">
      <c r="A3073" s="879"/>
      <c r="B3073" s="1448" t="s">
        <v>2345</v>
      </c>
    </row>
    <row r="3074" spans="1:2" x14ac:dyDescent="0.25">
      <c r="A3074" s="879"/>
      <c r="B3074" s="1448" t="s">
        <v>2346</v>
      </c>
    </row>
    <row r="3075" spans="1:2" x14ac:dyDescent="0.25">
      <c r="A3075" s="879"/>
      <c r="B3075" s="1448" t="s">
        <v>2347</v>
      </c>
    </row>
    <row r="3076" spans="1:2" x14ac:dyDescent="0.25">
      <c r="A3076" s="879"/>
      <c r="B3076" s="1448" t="s">
        <v>1380</v>
      </c>
    </row>
    <row r="3077" spans="1:2" x14ac:dyDescent="0.25">
      <c r="A3077" s="879"/>
      <c r="B3077" s="1448" t="s">
        <v>1365</v>
      </c>
    </row>
    <row r="3078" spans="1:2" x14ac:dyDescent="0.25">
      <c r="A3078" s="879"/>
      <c r="B3078" s="1448" t="s">
        <v>1458</v>
      </c>
    </row>
    <row r="3079" spans="1:2" x14ac:dyDescent="0.25">
      <c r="A3079" s="879"/>
      <c r="B3079" s="1448" t="s">
        <v>2348</v>
      </c>
    </row>
    <row r="3080" spans="1:2" x14ac:dyDescent="0.25">
      <c r="A3080" s="879"/>
      <c r="B3080" s="1448" t="s">
        <v>2349</v>
      </c>
    </row>
    <row r="3081" spans="1:2" x14ac:dyDescent="0.25">
      <c r="A3081" s="879"/>
      <c r="B3081" s="1448" t="s">
        <v>2350</v>
      </c>
    </row>
    <row r="3082" spans="1:2" x14ac:dyDescent="0.25">
      <c r="A3082" s="879"/>
      <c r="B3082" s="1448" t="s">
        <v>2351</v>
      </c>
    </row>
    <row r="3083" spans="1:2" x14ac:dyDescent="0.25">
      <c r="A3083" s="879"/>
      <c r="B3083" s="1448" t="s">
        <v>2352</v>
      </c>
    </row>
    <row r="3084" spans="1:2" x14ac:dyDescent="0.25">
      <c r="A3084" s="879"/>
      <c r="B3084" s="1448" t="s">
        <v>2353</v>
      </c>
    </row>
    <row r="3085" spans="1:2" x14ac:dyDescent="0.25">
      <c r="A3085" s="879"/>
      <c r="B3085" s="1448" t="s">
        <v>2354</v>
      </c>
    </row>
    <row r="3086" spans="1:2" x14ac:dyDescent="0.25">
      <c r="A3086" s="879"/>
      <c r="B3086" s="1448" t="s">
        <v>2355</v>
      </c>
    </row>
    <row r="3087" spans="1:2" x14ac:dyDescent="0.25">
      <c r="A3087" s="879"/>
      <c r="B3087" s="1448" t="s">
        <v>1571</v>
      </c>
    </row>
    <row r="3088" spans="1:2" x14ac:dyDescent="0.25">
      <c r="A3088" s="879"/>
      <c r="B3088" s="1448" t="s">
        <v>1463</v>
      </c>
    </row>
    <row r="3089" spans="1:2" x14ac:dyDescent="0.25">
      <c r="A3089" s="879"/>
      <c r="B3089" s="1448" t="s">
        <v>1464</v>
      </c>
    </row>
    <row r="3090" spans="1:2" x14ac:dyDescent="0.25">
      <c r="A3090" s="879"/>
      <c r="B3090" s="1448" t="s">
        <v>1465</v>
      </c>
    </row>
    <row r="3091" spans="1:2" x14ac:dyDescent="0.25">
      <c r="A3091" s="879"/>
      <c r="B3091" s="1448" t="s">
        <v>2356</v>
      </c>
    </row>
    <row r="3092" spans="1:2" x14ac:dyDescent="0.25">
      <c r="A3092" s="879"/>
      <c r="B3092" s="1448" t="s">
        <v>1467</v>
      </c>
    </row>
    <row r="3093" spans="1:2" x14ac:dyDescent="0.25">
      <c r="A3093" s="879"/>
      <c r="B3093" s="1448" t="s">
        <v>2357</v>
      </c>
    </row>
    <row r="3094" spans="1:2" x14ac:dyDescent="0.25">
      <c r="A3094" s="879"/>
      <c r="B3094" s="1448" t="s">
        <v>2358</v>
      </c>
    </row>
    <row r="3095" spans="1:2" x14ac:dyDescent="0.25">
      <c r="A3095" s="879"/>
      <c r="B3095" s="1448" t="s">
        <v>2359</v>
      </c>
    </row>
    <row r="3096" spans="1:2" x14ac:dyDescent="0.25">
      <c r="A3096" s="879"/>
      <c r="B3096" s="1448" t="s">
        <v>2360</v>
      </c>
    </row>
    <row r="3097" spans="1:2" x14ac:dyDescent="0.25">
      <c r="A3097" s="879"/>
      <c r="B3097" s="1448" t="s">
        <v>2361</v>
      </c>
    </row>
    <row r="3098" spans="1:2" x14ac:dyDescent="0.25">
      <c r="A3098" s="879"/>
      <c r="B3098" s="1448" t="s">
        <v>1469</v>
      </c>
    </row>
    <row r="3099" spans="1:2" x14ac:dyDescent="0.25">
      <c r="A3099" s="879"/>
      <c r="B3099" s="1448" t="s">
        <v>1689</v>
      </c>
    </row>
    <row r="3100" spans="1:2" x14ac:dyDescent="0.25">
      <c r="A3100" s="879"/>
      <c r="B3100" s="1448" t="s">
        <v>2362</v>
      </c>
    </row>
    <row r="3101" spans="1:2" x14ac:dyDescent="0.25">
      <c r="A3101" s="879"/>
      <c r="B3101" s="1448" t="s">
        <v>1471</v>
      </c>
    </row>
    <row r="3102" spans="1:2" x14ac:dyDescent="0.25">
      <c r="A3102" s="879"/>
      <c r="B3102" s="1448" t="s">
        <v>2363</v>
      </c>
    </row>
    <row r="3103" spans="1:2" x14ac:dyDescent="0.25">
      <c r="A3103" s="879"/>
      <c r="B3103" s="1448" t="s">
        <v>2364</v>
      </c>
    </row>
    <row r="3104" spans="1:2" x14ac:dyDescent="0.25">
      <c r="A3104" s="879"/>
      <c r="B3104" s="1448" t="s">
        <v>2365</v>
      </c>
    </row>
    <row r="3105" spans="1:2" x14ac:dyDescent="0.25">
      <c r="A3105" s="879"/>
      <c r="B3105" s="1448" t="s">
        <v>2366</v>
      </c>
    </row>
    <row r="3106" spans="1:2" x14ac:dyDescent="0.25">
      <c r="A3106" s="879"/>
      <c r="B3106" s="1448" t="s">
        <v>2367</v>
      </c>
    </row>
    <row r="3107" spans="1:2" x14ac:dyDescent="0.25">
      <c r="A3107" s="879"/>
      <c r="B3107" s="1448" t="s">
        <v>2368</v>
      </c>
    </row>
    <row r="3108" spans="1:2" x14ac:dyDescent="0.25">
      <c r="A3108" s="879"/>
      <c r="B3108" s="1448" t="s">
        <v>1476</v>
      </c>
    </row>
    <row r="3109" spans="1:2" x14ac:dyDescent="0.25">
      <c r="A3109" s="879"/>
      <c r="B3109" s="1448" t="s">
        <v>2369</v>
      </c>
    </row>
    <row r="3110" spans="1:2" x14ac:dyDescent="0.25">
      <c r="A3110" s="879"/>
      <c r="B3110" s="1448" t="s">
        <v>2370</v>
      </c>
    </row>
    <row r="3111" spans="1:2" x14ac:dyDescent="0.25">
      <c r="A3111" s="879"/>
      <c r="B3111" s="1448" t="s">
        <v>1477</v>
      </c>
    </row>
    <row r="3112" spans="1:2" x14ac:dyDescent="0.25">
      <c r="A3112" s="879"/>
      <c r="B3112" s="1448" t="s">
        <v>1478</v>
      </c>
    </row>
    <row r="3113" spans="1:2" x14ac:dyDescent="0.25">
      <c r="A3113" s="879"/>
      <c r="B3113" s="1448" t="s">
        <v>2371</v>
      </c>
    </row>
    <row r="3114" spans="1:2" x14ac:dyDescent="0.25">
      <c r="A3114" s="879"/>
      <c r="B3114" s="1448" t="s">
        <v>2372</v>
      </c>
    </row>
    <row r="3115" spans="1:2" x14ac:dyDescent="0.25">
      <c r="A3115" s="879"/>
      <c r="B3115" s="1448" t="s">
        <v>2373</v>
      </c>
    </row>
    <row r="3116" spans="1:2" x14ac:dyDescent="0.25">
      <c r="A3116" s="879"/>
      <c r="B3116" s="1448" t="s">
        <v>2374</v>
      </c>
    </row>
    <row r="3117" spans="1:2" x14ac:dyDescent="0.25">
      <c r="A3117" s="879"/>
      <c r="B3117" s="1448" t="s">
        <v>2375</v>
      </c>
    </row>
    <row r="3118" spans="1:2" x14ac:dyDescent="0.25">
      <c r="A3118" s="879"/>
      <c r="B3118" s="1448" t="s">
        <v>2376</v>
      </c>
    </row>
    <row r="3119" spans="1:2" x14ac:dyDescent="0.25">
      <c r="A3119" s="879"/>
      <c r="B3119" s="1448" t="s">
        <v>2377</v>
      </c>
    </row>
    <row r="3120" spans="1:2" x14ac:dyDescent="0.25">
      <c r="A3120" s="879"/>
      <c r="B3120" s="1448" t="s">
        <v>2378</v>
      </c>
    </row>
    <row r="3121" spans="1:2" x14ac:dyDescent="0.25">
      <c r="A3121" s="879"/>
      <c r="B3121" s="1448" t="s">
        <v>2379</v>
      </c>
    </row>
    <row r="3122" spans="1:2" x14ac:dyDescent="0.25">
      <c r="A3122" s="879"/>
      <c r="B3122" s="1448" t="s">
        <v>1479</v>
      </c>
    </row>
    <row r="3123" spans="1:2" x14ac:dyDescent="0.25">
      <c r="A3123" s="879"/>
      <c r="B3123" s="1448" t="s">
        <v>2380</v>
      </c>
    </row>
    <row r="3124" spans="1:2" x14ac:dyDescent="0.25">
      <c r="A3124" s="879"/>
      <c r="B3124" s="1448" t="s">
        <v>2381</v>
      </c>
    </row>
    <row r="3125" spans="1:2" x14ac:dyDescent="0.25">
      <c r="A3125" s="879"/>
      <c r="B3125" s="1448" t="s">
        <v>2382</v>
      </c>
    </row>
    <row r="3126" spans="1:2" x14ac:dyDescent="0.25">
      <c r="A3126" s="879"/>
      <c r="B3126" s="1448" t="s">
        <v>1428</v>
      </c>
    </row>
    <row r="3127" spans="1:2" x14ac:dyDescent="0.25">
      <c r="A3127" s="879"/>
      <c r="B3127" s="1448" t="s">
        <v>1365</v>
      </c>
    </row>
    <row r="3128" spans="1:2" x14ac:dyDescent="0.25">
      <c r="A3128" s="879"/>
      <c r="B3128" s="1448" t="s">
        <v>1447</v>
      </c>
    </row>
    <row r="3129" spans="1:2" x14ac:dyDescent="0.25">
      <c r="A3129" s="879"/>
      <c r="B3129" s="1448" t="s">
        <v>1365</v>
      </c>
    </row>
    <row r="3130" spans="1:2" x14ac:dyDescent="0.25">
      <c r="A3130" s="879"/>
      <c r="B3130" s="1448" t="s">
        <v>1448</v>
      </c>
    </row>
    <row r="3131" spans="1:2" x14ac:dyDescent="0.25">
      <c r="A3131" s="879"/>
      <c r="B3131" s="1448" t="s">
        <v>1449</v>
      </c>
    </row>
    <row r="3132" spans="1:2" x14ac:dyDescent="0.25">
      <c r="A3132" s="879"/>
      <c r="B3132" s="1448" t="s">
        <v>2383</v>
      </c>
    </row>
    <row r="3133" spans="1:2" x14ac:dyDescent="0.25">
      <c r="A3133" s="879"/>
      <c r="B3133" s="1448" t="s">
        <v>1650</v>
      </c>
    </row>
    <row r="3134" spans="1:2" x14ac:dyDescent="0.25">
      <c r="A3134" s="879"/>
      <c r="B3134" s="1448" t="s">
        <v>1651</v>
      </c>
    </row>
    <row r="3135" spans="1:2" x14ac:dyDescent="0.25">
      <c r="A3135" s="879"/>
      <c r="B3135" s="1448" t="s">
        <v>2384</v>
      </c>
    </row>
    <row r="3136" spans="1:2" x14ac:dyDescent="0.25">
      <c r="A3136" s="879"/>
      <c r="B3136" s="1448" t="s">
        <v>1652</v>
      </c>
    </row>
    <row r="3137" spans="1:2" x14ac:dyDescent="0.25">
      <c r="A3137" s="879"/>
      <c r="B3137" s="1448" t="s">
        <v>2385</v>
      </c>
    </row>
    <row r="3138" spans="1:2" x14ac:dyDescent="0.25">
      <c r="A3138" s="879"/>
      <c r="B3138" s="1448" t="s">
        <v>2386</v>
      </c>
    </row>
    <row r="3139" spans="1:2" x14ac:dyDescent="0.25">
      <c r="A3139" s="879"/>
      <c r="B3139" s="1448" t="s">
        <v>1916</v>
      </c>
    </row>
    <row r="3140" spans="1:2" x14ac:dyDescent="0.25">
      <c r="A3140" s="879"/>
      <c r="B3140" s="1448" t="s">
        <v>1917</v>
      </c>
    </row>
    <row r="3141" spans="1:2" x14ac:dyDescent="0.25">
      <c r="A3141" s="879"/>
      <c r="B3141" s="1448" t="s">
        <v>2387</v>
      </c>
    </row>
    <row r="3142" spans="1:2" x14ac:dyDescent="0.25">
      <c r="A3142" s="879"/>
      <c r="B3142" s="1448" t="s">
        <v>2388</v>
      </c>
    </row>
    <row r="3143" spans="1:2" x14ac:dyDescent="0.25">
      <c r="A3143" s="879"/>
      <c r="B3143" s="1448" t="s">
        <v>1453</v>
      </c>
    </row>
    <row r="3144" spans="1:2" x14ac:dyDescent="0.25">
      <c r="A3144" s="879"/>
      <c r="B3144" s="1448" t="s">
        <v>2389</v>
      </c>
    </row>
    <row r="3145" spans="1:2" x14ac:dyDescent="0.25">
      <c r="A3145" s="879"/>
      <c r="B3145" s="1448" t="s">
        <v>1655</v>
      </c>
    </row>
    <row r="3146" spans="1:2" x14ac:dyDescent="0.25">
      <c r="A3146" s="879"/>
      <c r="B3146" s="1448" t="s">
        <v>2390</v>
      </c>
    </row>
    <row r="3147" spans="1:2" x14ac:dyDescent="0.25">
      <c r="A3147" s="879"/>
      <c r="B3147" s="1448" t="s">
        <v>1454</v>
      </c>
    </row>
    <row r="3148" spans="1:2" x14ac:dyDescent="0.25">
      <c r="A3148" s="879"/>
      <c r="B3148" s="1448" t="s">
        <v>1365</v>
      </c>
    </row>
    <row r="3149" spans="1:2" x14ac:dyDescent="0.25">
      <c r="A3149" s="879"/>
      <c r="B3149" s="1448" t="s">
        <v>1448</v>
      </c>
    </row>
    <row r="3150" spans="1:2" x14ac:dyDescent="0.25">
      <c r="A3150" s="879"/>
      <c r="B3150" s="1448" t="s">
        <v>1449</v>
      </c>
    </row>
    <row r="3151" spans="1:2" x14ac:dyDescent="0.25">
      <c r="A3151" s="879"/>
      <c r="B3151" s="1448" t="s">
        <v>2383</v>
      </c>
    </row>
    <row r="3152" spans="1:2" x14ac:dyDescent="0.25">
      <c r="A3152" s="879"/>
      <c r="B3152" s="1448" t="s">
        <v>1650</v>
      </c>
    </row>
    <row r="3153" spans="1:2" x14ac:dyDescent="0.25">
      <c r="A3153" s="879"/>
      <c r="B3153" s="1448" t="s">
        <v>1651</v>
      </c>
    </row>
    <row r="3154" spans="1:2" x14ac:dyDescent="0.25">
      <c r="A3154" s="879"/>
      <c r="B3154" s="1448" t="s">
        <v>2384</v>
      </c>
    </row>
    <row r="3155" spans="1:2" x14ac:dyDescent="0.25">
      <c r="A3155" s="879"/>
      <c r="B3155" s="1448" t="s">
        <v>1652</v>
      </c>
    </row>
    <row r="3156" spans="1:2" x14ac:dyDescent="0.25">
      <c r="A3156" s="879"/>
      <c r="B3156" s="1448" t="s">
        <v>2385</v>
      </c>
    </row>
    <row r="3157" spans="1:2" x14ac:dyDescent="0.25">
      <c r="A3157" s="879"/>
      <c r="B3157" s="1448" t="s">
        <v>2386</v>
      </c>
    </row>
    <row r="3158" spans="1:2" x14ac:dyDescent="0.25">
      <c r="A3158" s="879"/>
      <c r="B3158" s="1448" t="s">
        <v>1916</v>
      </c>
    </row>
    <row r="3159" spans="1:2" x14ac:dyDescent="0.25">
      <c r="A3159" s="879"/>
      <c r="B3159" s="1448" t="s">
        <v>1917</v>
      </c>
    </row>
    <row r="3160" spans="1:2" x14ac:dyDescent="0.25">
      <c r="A3160" s="879"/>
      <c r="B3160" s="1448" t="s">
        <v>2387</v>
      </c>
    </row>
    <row r="3161" spans="1:2" x14ac:dyDescent="0.25">
      <c r="A3161" s="879"/>
      <c r="B3161" s="1448" t="s">
        <v>2388</v>
      </c>
    </row>
    <row r="3162" spans="1:2" x14ac:dyDescent="0.25">
      <c r="A3162" s="879"/>
      <c r="B3162" s="1448" t="s">
        <v>1453</v>
      </c>
    </row>
    <row r="3163" spans="1:2" x14ac:dyDescent="0.25">
      <c r="A3163" s="879"/>
      <c r="B3163" s="1448" t="s">
        <v>2389</v>
      </c>
    </row>
    <row r="3164" spans="1:2" x14ac:dyDescent="0.25">
      <c r="A3164" s="879"/>
      <c r="B3164" s="1448" t="s">
        <v>1655</v>
      </c>
    </row>
    <row r="3165" spans="1:2" x14ac:dyDescent="0.25">
      <c r="A3165" s="879"/>
      <c r="B3165" s="1448" t="s">
        <v>2390</v>
      </c>
    </row>
    <row r="3166" spans="1:2" x14ac:dyDescent="0.25">
      <c r="A3166" s="879"/>
      <c r="B3166" s="1448" t="s">
        <v>1656</v>
      </c>
    </row>
    <row r="3167" spans="1:2" x14ac:dyDescent="0.25">
      <c r="A3167" s="879"/>
      <c r="B3167" s="1448" t="s">
        <v>1365</v>
      </c>
    </row>
    <row r="3168" spans="1:2" x14ac:dyDescent="0.25">
      <c r="A3168" s="879"/>
      <c r="B3168" s="1448" t="s">
        <v>1657</v>
      </c>
    </row>
    <row r="3169" spans="1:2" x14ac:dyDescent="0.25">
      <c r="A3169" s="879"/>
      <c r="B3169" s="1448" t="s">
        <v>1658</v>
      </c>
    </row>
    <row r="3170" spans="1:2" x14ac:dyDescent="0.25">
      <c r="A3170" s="879"/>
      <c r="B3170" s="1448" t="s">
        <v>1659</v>
      </c>
    </row>
    <row r="3171" spans="1:2" x14ac:dyDescent="0.25">
      <c r="A3171" s="879"/>
      <c r="B3171" s="1448" t="s">
        <v>1660</v>
      </c>
    </row>
    <row r="3172" spans="1:2" x14ac:dyDescent="0.25">
      <c r="A3172" s="879"/>
      <c r="B3172" s="1448" t="s">
        <v>1661</v>
      </c>
    </row>
    <row r="3173" spans="1:2" x14ac:dyDescent="0.25">
      <c r="A3173" s="879"/>
      <c r="B3173" s="1448" t="s">
        <v>1662</v>
      </c>
    </row>
    <row r="3174" spans="1:2" x14ac:dyDescent="0.25">
      <c r="A3174" s="879"/>
      <c r="B3174" s="1448" t="s">
        <v>1663</v>
      </c>
    </row>
    <row r="3175" spans="1:2" x14ac:dyDescent="0.25">
      <c r="A3175" s="879"/>
      <c r="B3175" s="1448" t="s">
        <v>1664</v>
      </c>
    </row>
    <row r="3176" spans="1:2" x14ac:dyDescent="0.25">
      <c r="A3176" s="879"/>
      <c r="B3176" s="1448" t="s">
        <v>1665</v>
      </c>
    </row>
    <row r="3177" spans="1:2" x14ac:dyDescent="0.25">
      <c r="A3177" s="879"/>
      <c r="B3177" s="1448" t="s">
        <v>1666</v>
      </c>
    </row>
    <row r="3178" spans="1:2" x14ac:dyDescent="0.25">
      <c r="A3178" s="879"/>
      <c r="B3178" s="1448" t="s">
        <v>1667</v>
      </c>
    </row>
    <row r="3179" spans="1:2" x14ac:dyDescent="0.25">
      <c r="A3179" s="879"/>
      <c r="B3179" s="1448" t="s">
        <v>1668</v>
      </c>
    </row>
    <row r="3180" spans="1:2" x14ac:dyDescent="0.25">
      <c r="A3180" s="879"/>
      <c r="B3180" s="1448" t="s">
        <v>1669</v>
      </c>
    </row>
    <row r="3181" spans="1:2" x14ac:dyDescent="0.25">
      <c r="A3181" s="879"/>
      <c r="B3181" s="1448" t="s">
        <v>1670</v>
      </c>
    </row>
    <row r="3182" spans="1:2" x14ac:dyDescent="0.25">
      <c r="A3182" s="879"/>
      <c r="B3182" s="1448" t="s">
        <v>1671</v>
      </c>
    </row>
    <row r="3183" spans="1:2" x14ac:dyDescent="0.25">
      <c r="A3183" s="879"/>
      <c r="B3183" s="1448" t="s">
        <v>1769</v>
      </c>
    </row>
    <row r="3184" spans="1:2" x14ac:dyDescent="0.25">
      <c r="A3184" s="879"/>
      <c r="B3184" s="1448" t="s">
        <v>1365</v>
      </c>
    </row>
    <row r="3185" spans="1:2" x14ac:dyDescent="0.25">
      <c r="A3185" s="879"/>
      <c r="B3185" s="1448" t="s">
        <v>1770</v>
      </c>
    </row>
    <row r="3186" spans="1:2" x14ac:dyDescent="0.25">
      <c r="A3186" s="879"/>
      <c r="B3186" s="1448" t="s">
        <v>2391</v>
      </c>
    </row>
    <row r="3187" spans="1:2" x14ac:dyDescent="0.25">
      <c r="A3187" s="879"/>
      <c r="B3187" s="1448" t="s">
        <v>1772</v>
      </c>
    </row>
    <row r="3188" spans="1:2" x14ac:dyDescent="0.25">
      <c r="A3188" s="879"/>
      <c r="B3188" s="1448" t="s">
        <v>1365</v>
      </c>
    </row>
    <row r="3189" spans="1:2" x14ac:dyDescent="0.25">
      <c r="A3189" s="879"/>
      <c r="B3189" s="1448" t="s">
        <v>1773</v>
      </c>
    </row>
    <row r="3190" spans="1:2" x14ac:dyDescent="0.25">
      <c r="A3190" s="879"/>
      <c r="B3190" s="1448"/>
    </row>
    <row r="3191" spans="1:2" x14ac:dyDescent="0.25">
      <c r="A3191" s="879"/>
      <c r="B3191" s="1448"/>
    </row>
    <row r="3192" spans="1:2" x14ac:dyDescent="0.25">
      <c r="A3192" s="879"/>
      <c r="B3192" s="1448" t="s">
        <v>1366</v>
      </c>
    </row>
    <row r="3193" spans="1:2" x14ac:dyDescent="0.25">
      <c r="A3193" s="879"/>
      <c r="B3193" s="1448" t="s">
        <v>2392</v>
      </c>
    </row>
    <row r="3194" spans="1:2" x14ac:dyDescent="0.25">
      <c r="A3194" s="879"/>
      <c r="B3194" s="1448" t="s">
        <v>1366</v>
      </c>
    </row>
    <row r="3195" spans="1:2" x14ac:dyDescent="0.25">
      <c r="A3195" s="879"/>
      <c r="B3195" s="1448" t="s">
        <v>1599</v>
      </c>
    </row>
    <row r="3196" spans="1:2" x14ac:dyDescent="0.25">
      <c r="A3196" s="879"/>
      <c r="B3196" s="1448" t="s">
        <v>1365</v>
      </c>
    </row>
    <row r="3197" spans="1:2" x14ac:dyDescent="0.25">
      <c r="A3197" s="879"/>
      <c r="B3197" s="1448" t="s">
        <v>1367</v>
      </c>
    </row>
    <row r="3198" spans="1:2" x14ac:dyDescent="0.25">
      <c r="A3198" s="879"/>
      <c r="B3198" s="1448" t="s">
        <v>1368</v>
      </c>
    </row>
    <row r="3199" spans="1:2" x14ac:dyDescent="0.25">
      <c r="A3199" s="879"/>
      <c r="B3199" s="1448" t="s">
        <v>1365</v>
      </c>
    </row>
    <row r="3200" spans="1:2" x14ac:dyDescent="0.25">
      <c r="A3200" s="879"/>
      <c r="B3200" s="1448" t="s">
        <v>1458</v>
      </c>
    </row>
    <row r="3201" spans="1:2" x14ac:dyDescent="0.25">
      <c r="A3201" s="879"/>
      <c r="B3201" s="1448" t="s">
        <v>1459</v>
      </c>
    </row>
    <row r="3202" spans="1:2" x14ac:dyDescent="0.25">
      <c r="A3202" s="879"/>
      <c r="B3202" s="1448" t="s">
        <v>2393</v>
      </c>
    </row>
    <row r="3203" spans="1:2" x14ac:dyDescent="0.25">
      <c r="A3203" s="879"/>
      <c r="B3203" s="1448" t="s">
        <v>2394</v>
      </c>
    </row>
    <row r="3204" spans="1:2" x14ac:dyDescent="0.25">
      <c r="A3204" s="879"/>
      <c r="B3204" s="1448" t="s">
        <v>2395</v>
      </c>
    </row>
    <row r="3205" spans="1:2" x14ac:dyDescent="0.25">
      <c r="A3205" s="879"/>
      <c r="B3205" s="1448" t="s">
        <v>2396</v>
      </c>
    </row>
    <row r="3206" spans="1:2" x14ac:dyDescent="0.25">
      <c r="A3206" s="879"/>
      <c r="B3206" s="1448" t="s">
        <v>2397</v>
      </c>
    </row>
    <row r="3207" spans="1:2" x14ac:dyDescent="0.25">
      <c r="A3207" s="879"/>
      <c r="B3207" s="1448" t="s">
        <v>2398</v>
      </c>
    </row>
    <row r="3208" spans="1:2" x14ac:dyDescent="0.25">
      <c r="A3208" s="879"/>
      <c r="B3208" s="1448" t="s">
        <v>2399</v>
      </c>
    </row>
    <row r="3209" spans="1:2" x14ac:dyDescent="0.25">
      <c r="A3209" s="879"/>
      <c r="B3209" s="1448" t="s">
        <v>2400</v>
      </c>
    </row>
    <row r="3210" spans="1:2" x14ac:dyDescent="0.25">
      <c r="A3210" s="879"/>
      <c r="B3210" s="1448" t="s">
        <v>2401</v>
      </c>
    </row>
    <row r="3211" spans="1:2" x14ac:dyDescent="0.25">
      <c r="A3211" s="879"/>
      <c r="B3211" s="1448" t="s">
        <v>1380</v>
      </c>
    </row>
    <row r="3212" spans="1:2" x14ac:dyDescent="0.25">
      <c r="A3212" s="879"/>
      <c r="B3212" s="1448" t="s">
        <v>1365</v>
      </c>
    </row>
    <row r="3213" spans="1:2" x14ac:dyDescent="0.25">
      <c r="A3213" s="879"/>
      <c r="B3213" s="1448" t="s">
        <v>1458</v>
      </c>
    </row>
    <row r="3214" spans="1:2" x14ac:dyDescent="0.25">
      <c r="A3214" s="879"/>
      <c r="B3214" s="1448" t="s">
        <v>2402</v>
      </c>
    </row>
    <row r="3215" spans="1:2" x14ac:dyDescent="0.25">
      <c r="A3215" s="879"/>
      <c r="B3215" s="1448" t="s">
        <v>2403</v>
      </c>
    </row>
    <row r="3216" spans="1:2" x14ac:dyDescent="0.25">
      <c r="A3216" s="879"/>
      <c r="B3216" s="1448" t="s">
        <v>2404</v>
      </c>
    </row>
    <row r="3217" spans="1:2" x14ac:dyDescent="0.25">
      <c r="A3217" s="879"/>
      <c r="B3217" s="1448" t="s">
        <v>2405</v>
      </c>
    </row>
    <row r="3218" spans="1:2" x14ac:dyDescent="0.25">
      <c r="A3218" s="879"/>
      <c r="B3218" s="1448" t="s">
        <v>2406</v>
      </c>
    </row>
    <row r="3219" spans="1:2" x14ac:dyDescent="0.25">
      <c r="A3219" s="879"/>
      <c r="B3219" s="1448" t="s">
        <v>2407</v>
      </c>
    </row>
    <row r="3220" spans="1:2" x14ac:dyDescent="0.25">
      <c r="A3220" s="879"/>
      <c r="B3220" s="1448" t="s">
        <v>2408</v>
      </c>
    </row>
    <row r="3221" spans="1:2" x14ac:dyDescent="0.25">
      <c r="A3221" s="879"/>
      <c r="B3221" s="1448" t="s">
        <v>2409</v>
      </c>
    </row>
    <row r="3222" spans="1:2" x14ac:dyDescent="0.25">
      <c r="A3222" s="879"/>
      <c r="B3222" s="1448" t="s">
        <v>1571</v>
      </c>
    </row>
    <row r="3223" spans="1:2" x14ac:dyDescent="0.25">
      <c r="A3223" s="879"/>
      <c r="B3223" s="1448" t="s">
        <v>1463</v>
      </c>
    </row>
    <row r="3224" spans="1:2" x14ac:dyDescent="0.25">
      <c r="A3224" s="879"/>
      <c r="B3224" s="1448" t="s">
        <v>1464</v>
      </c>
    </row>
    <row r="3225" spans="1:2" x14ac:dyDescent="0.25">
      <c r="A3225" s="879"/>
      <c r="B3225" s="1448" t="s">
        <v>1465</v>
      </c>
    </row>
    <row r="3226" spans="1:2" x14ac:dyDescent="0.25">
      <c r="A3226" s="879"/>
      <c r="B3226" s="1448" t="s">
        <v>2410</v>
      </c>
    </row>
    <row r="3227" spans="1:2" x14ac:dyDescent="0.25">
      <c r="A3227" s="879"/>
      <c r="B3227" s="1448" t="s">
        <v>1467</v>
      </c>
    </row>
    <row r="3228" spans="1:2" x14ac:dyDescent="0.25">
      <c r="A3228" s="879"/>
      <c r="B3228" s="1448" t="s">
        <v>2411</v>
      </c>
    </row>
    <row r="3229" spans="1:2" x14ac:dyDescent="0.25">
      <c r="A3229" s="879"/>
      <c r="B3229" s="1448" t="s">
        <v>2412</v>
      </c>
    </row>
    <row r="3230" spans="1:2" x14ac:dyDescent="0.25">
      <c r="A3230" s="879"/>
      <c r="B3230" s="1448" t="s">
        <v>2413</v>
      </c>
    </row>
    <row r="3231" spans="1:2" x14ac:dyDescent="0.25">
      <c r="A3231" s="879"/>
      <c r="B3231" s="1448" t="s">
        <v>2414</v>
      </c>
    </row>
    <row r="3232" spans="1:2" x14ac:dyDescent="0.25">
      <c r="A3232" s="879"/>
      <c r="B3232" s="1448" t="s">
        <v>2415</v>
      </c>
    </row>
    <row r="3233" spans="1:2" x14ac:dyDescent="0.25">
      <c r="A3233" s="879"/>
      <c r="B3233" s="1448" t="s">
        <v>1469</v>
      </c>
    </row>
    <row r="3234" spans="1:2" x14ac:dyDescent="0.25">
      <c r="A3234" s="879"/>
      <c r="B3234" s="1448" t="s">
        <v>2416</v>
      </c>
    </row>
    <row r="3235" spans="1:2" x14ac:dyDescent="0.25">
      <c r="A3235" s="879"/>
      <c r="B3235" s="1448" t="s">
        <v>2012</v>
      </c>
    </row>
    <row r="3236" spans="1:2" x14ac:dyDescent="0.25">
      <c r="A3236" s="879"/>
      <c r="B3236" s="1448" t="s">
        <v>1471</v>
      </c>
    </row>
    <row r="3237" spans="1:2" x14ac:dyDescent="0.25">
      <c r="A3237" s="879"/>
      <c r="B3237" s="1448" t="s">
        <v>2417</v>
      </c>
    </row>
    <row r="3238" spans="1:2" x14ac:dyDescent="0.25">
      <c r="A3238" s="879"/>
      <c r="B3238" s="1448" t="s">
        <v>1676</v>
      </c>
    </row>
    <row r="3239" spans="1:2" x14ac:dyDescent="0.25">
      <c r="A3239" s="879"/>
      <c r="B3239" s="1448" t="s">
        <v>2418</v>
      </c>
    </row>
    <row r="3240" spans="1:2" x14ac:dyDescent="0.25">
      <c r="A3240" s="879"/>
      <c r="B3240" s="1448" t="s">
        <v>2419</v>
      </c>
    </row>
    <row r="3241" spans="1:2" x14ac:dyDescent="0.25">
      <c r="A3241" s="879"/>
      <c r="B3241" s="1448" t="s">
        <v>2420</v>
      </c>
    </row>
    <row r="3242" spans="1:2" x14ac:dyDescent="0.25">
      <c r="A3242" s="879"/>
      <c r="B3242" s="1448" t="s">
        <v>2421</v>
      </c>
    </row>
    <row r="3243" spans="1:2" x14ac:dyDescent="0.25">
      <c r="A3243" s="879"/>
      <c r="B3243" s="1448" t="s">
        <v>1476</v>
      </c>
    </row>
    <row r="3244" spans="1:2" x14ac:dyDescent="0.25">
      <c r="A3244" s="879"/>
      <c r="B3244" s="1448" t="s">
        <v>2422</v>
      </c>
    </row>
    <row r="3245" spans="1:2" x14ac:dyDescent="0.25">
      <c r="A3245" s="879"/>
      <c r="B3245" s="1448" t="s">
        <v>2423</v>
      </c>
    </row>
    <row r="3246" spans="1:2" x14ac:dyDescent="0.25">
      <c r="A3246" s="879"/>
      <c r="B3246" s="1448" t="s">
        <v>1477</v>
      </c>
    </row>
    <row r="3247" spans="1:2" x14ac:dyDescent="0.25">
      <c r="A3247" s="879"/>
      <c r="B3247" s="1448" t="s">
        <v>1478</v>
      </c>
    </row>
    <row r="3248" spans="1:2" x14ac:dyDescent="0.25">
      <c r="A3248" s="879"/>
      <c r="B3248" s="1448" t="s">
        <v>2424</v>
      </c>
    </row>
    <row r="3249" spans="1:2" x14ac:dyDescent="0.25">
      <c r="A3249" s="879"/>
      <c r="B3249" s="1448" t="s">
        <v>2425</v>
      </c>
    </row>
    <row r="3250" spans="1:2" x14ac:dyDescent="0.25">
      <c r="A3250" s="879"/>
      <c r="B3250" s="1448" t="s">
        <v>2426</v>
      </c>
    </row>
    <row r="3251" spans="1:2" x14ac:dyDescent="0.25">
      <c r="A3251" s="879"/>
      <c r="B3251" s="1448" t="s">
        <v>2427</v>
      </c>
    </row>
    <row r="3252" spans="1:2" x14ac:dyDescent="0.25">
      <c r="A3252" s="879"/>
      <c r="B3252" s="1448" t="s">
        <v>2428</v>
      </c>
    </row>
    <row r="3253" spans="1:2" x14ac:dyDescent="0.25">
      <c r="A3253" s="879"/>
      <c r="B3253" s="1448" t="s">
        <v>2429</v>
      </c>
    </row>
    <row r="3254" spans="1:2" x14ac:dyDescent="0.25">
      <c r="A3254" s="879"/>
      <c r="B3254" s="1448" t="s">
        <v>2430</v>
      </c>
    </row>
    <row r="3255" spans="1:2" x14ac:dyDescent="0.25">
      <c r="A3255" s="879"/>
      <c r="B3255" s="1448" t="s">
        <v>2431</v>
      </c>
    </row>
    <row r="3256" spans="1:2" x14ac:dyDescent="0.25">
      <c r="A3256" s="879"/>
      <c r="B3256" s="1448" t="s">
        <v>2432</v>
      </c>
    </row>
    <row r="3257" spans="1:2" x14ac:dyDescent="0.25">
      <c r="A3257" s="879"/>
      <c r="B3257" s="1448" t="s">
        <v>1479</v>
      </c>
    </row>
    <row r="3258" spans="1:2" x14ac:dyDescent="0.25">
      <c r="A3258" s="879"/>
      <c r="B3258" s="1448" t="s">
        <v>1480</v>
      </c>
    </row>
    <row r="3259" spans="1:2" x14ac:dyDescent="0.25">
      <c r="A3259" s="879"/>
      <c r="B3259" s="1448" t="s">
        <v>2433</v>
      </c>
    </row>
    <row r="3260" spans="1:2" x14ac:dyDescent="0.25">
      <c r="A3260" s="879"/>
      <c r="B3260" s="1448" t="s">
        <v>2434</v>
      </c>
    </row>
    <row r="3261" spans="1:2" x14ac:dyDescent="0.25">
      <c r="A3261" s="879"/>
      <c r="B3261" s="1448" t="s">
        <v>1428</v>
      </c>
    </row>
    <row r="3262" spans="1:2" x14ac:dyDescent="0.25">
      <c r="A3262" s="879"/>
      <c r="B3262" s="1448" t="s">
        <v>1365</v>
      </c>
    </row>
    <row r="3263" spans="1:2" x14ac:dyDescent="0.25">
      <c r="A3263" s="879"/>
      <c r="B3263" s="1448" t="s">
        <v>1447</v>
      </c>
    </row>
    <row r="3264" spans="1:2" x14ac:dyDescent="0.25">
      <c r="A3264" s="879"/>
      <c r="B3264" s="1448" t="s">
        <v>1365</v>
      </c>
    </row>
    <row r="3265" spans="1:2" x14ac:dyDescent="0.25">
      <c r="A3265" s="879"/>
      <c r="B3265" s="1448" t="s">
        <v>1448</v>
      </c>
    </row>
    <row r="3266" spans="1:2" x14ac:dyDescent="0.25">
      <c r="A3266" s="879"/>
      <c r="B3266" s="1448" t="s">
        <v>1449</v>
      </c>
    </row>
    <row r="3267" spans="1:2" x14ac:dyDescent="0.25">
      <c r="A3267" s="879"/>
      <c r="B3267" s="1448" t="s">
        <v>2435</v>
      </c>
    </row>
    <row r="3268" spans="1:2" x14ac:dyDescent="0.25">
      <c r="A3268" s="879"/>
      <c r="B3268" s="1448" t="s">
        <v>1650</v>
      </c>
    </row>
    <row r="3269" spans="1:2" x14ac:dyDescent="0.25">
      <c r="A3269" s="879"/>
      <c r="B3269" s="1448" t="s">
        <v>1651</v>
      </c>
    </row>
    <row r="3270" spans="1:2" x14ac:dyDescent="0.25">
      <c r="A3270" s="879"/>
      <c r="B3270" s="1448" t="s">
        <v>2436</v>
      </c>
    </row>
    <row r="3271" spans="1:2" x14ac:dyDescent="0.25">
      <c r="A3271" s="879"/>
      <c r="B3271" s="1448" t="s">
        <v>1652</v>
      </c>
    </row>
    <row r="3272" spans="1:2" x14ac:dyDescent="0.25">
      <c r="A3272" s="879"/>
      <c r="B3272" s="1448" t="s">
        <v>1451</v>
      </c>
    </row>
    <row r="3273" spans="1:2" x14ac:dyDescent="0.25">
      <c r="A3273" s="879"/>
      <c r="B3273" s="1448" t="s">
        <v>2437</v>
      </c>
    </row>
    <row r="3274" spans="1:2" x14ac:dyDescent="0.25">
      <c r="A3274" s="879"/>
      <c r="B3274" s="1448" t="s">
        <v>1916</v>
      </c>
    </row>
    <row r="3275" spans="1:2" x14ac:dyDescent="0.25">
      <c r="A3275" s="879"/>
      <c r="B3275" s="1448" t="s">
        <v>1917</v>
      </c>
    </row>
    <row r="3276" spans="1:2" x14ac:dyDescent="0.25">
      <c r="A3276" s="879"/>
      <c r="B3276" s="1448" t="s">
        <v>1452</v>
      </c>
    </row>
    <row r="3277" spans="1:2" x14ac:dyDescent="0.25">
      <c r="A3277" s="879"/>
      <c r="B3277" s="1448" t="s">
        <v>2438</v>
      </c>
    </row>
    <row r="3278" spans="1:2" x14ac:dyDescent="0.25">
      <c r="A3278" s="879"/>
      <c r="B3278" s="1448" t="s">
        <v>1453</v>
      </c>
    </row>
    <row r="3279" spans="1:2" x14ac:dyDescent="0.25">
      <c r="A3279" s="879"/>
      <c r="B3279" s="1448" t="s">
        <v>2439</v>
      </c>
    </row>
    <row r="3280" spans="1:2" x14ac:dyDescent="0.25">
      <c r="A3280" s="879"/>
      <c r="B3280" s="1448" t="s">
        <v>1655</v>
      </c>
    </row>
    <row r="3281" spans="1:2" x14ac:dyDescent="0.25">
      <c r="A3281" s="879"/>
      <c r="B3281" s="1448" t="s">
        <v>2440</v>
      </c>
    </row>
    <row r="3282" spans="1:2" x14ac:dyDescent="0.25">
      <c r="A3282" s="879"/>
      <c r="B3282" s="1448" t="s">
        <v>1454</v>
      </c>
    </row>
    <row r="3283" spans="1:2" x14ac:dyDescent="0.25">
      <c r="A3283" s="879"/>
      <c r="B3283" s="1448" t="s">
        <v>1365</v>
      </c>
    </row>
    <row r="3284" spans="1:2" x14ac:dyDescent="0.25">
      <c r="A3284" s="879"/>
      <c r="B3284" s="1448" t="s">
        <v>1448</v>
      </c>
    </row>
    <row r="3285" spans="1:2" x14ac:dyDescent="0.25">
      <c r="A3285" s="879"/>
      <c r="B3285" s="1448" t="s">
        <v>1449</v>
      </c>
    </row>
    <row r="3286" spans="1:2" x14ac:dyDescent="0.25">
      <c r="A3286" s="879"/>
      <c r="B3286" s="1448" t="s">
        <v>2435</v>
      </c>
    </row>
    <row r="3287" spans="1:2" x14ac:dyDescent="0.25">
      <c r="A3287" s="879"/>
      <c r="B3287" s="1448" t="s">
        <v>1650</v>
      </c>
    </row>
    <row r="3288" spans="1:2" x14ac:dyDescent="0.25">
      <c r="A3288" s="879"/>
      <c r="B3288" s="1448" t="s">
        <v>1651</v>
      </c>
    </row>
    <row r="3289" spans="1:2" x14ac:dyDescent="0.25">
      <c r="A3289" s="879"/>
      <c r="B3289" s="1448" t="s">
        <v>2436</v>
      </c>
    </row>
    <row r="3290" spans="1:2" x14ac:dyDescent="0.25">
      <c r="A3290" s="879"/>
      <c r="B3290" s="1448" t="s">
        <v>1652</v>
      </c>
    </row>
    <row r="3291" spans="1:2" x14ac:dyDescent="0.25">
      <c r="A3291" s="879"/>
      <c r="B3291" s="1448" t="s">
        <v>1451</v>
      </c>
    </row>
    <row r="3292" spans="1:2" x14ac:dyDescent="0.25">
      <c r="A3292" s="879"/>
      <c r="B3292" s="1448" t="s">
        <v>2437</v>
      </c>
    </row>
    <row r="3293" spans="1:2" x14ac:dyDescent="0.25">
      <c r="A3293" s="879"/>
      <c r="B3293" s="1448" t="s">
        <v>1916</v>
      </c>
    </row>
    <row r="3294" spans="1:2" x14ac:dyDescent="0.25">
      <c r="A3294" s="879"/>
      <c r="B3294" s="1448" t="s">
        <v>1917</v>
      </c>
    </row>
    <row r="3295" spans="1:2" x14ac:dyDescent="0.25">
      <c r="A3295" s="879"/>
      <c r="B3295" s="1448" t="s">
        <v>1452</v>
      </c>
    </row>
    <row r="3296" spans="1:2" x14ac:dyDescent="0.25">
      <c r="A3296" s="879"/>
      <c r="B3296" s="1448" t="s">
        <v>2438</v>
      </c>
    </row>
    <row r="3297" spans="1:2" x14ac:dyDescent="0.25">
      <c r="A3297" s="879"/>
      <c r="B3297" s="1448" t="s">
        <v>1453</v>
      </c>
    </row>
    <row r="3298" spans="1:2" x14ac:dyDescent="0.25">
      <c r="A3298" s="879"/>
      <c r="B3298" s="1448" t="s">
        <v>2439</v>
      </c>
    </row>
    <row r="3299" spans="1:2" x14ac:dyDescent="0.25">
      <c r="A3299" s="879"/>
      <c r="B3299" s="1448" t="s">
        <v>1655</v>
      </c>
    </row>
    <row r="3300" spans="1:2" x14ac:dyDescent="0.25">
      <c r="A3300" s="879"/>
      <c r="B3300" s="1448" t="s">
        <v>2440</v>
      </c>
    </row>
    <row r="3301" spans="1:2" x14ac:dyDescent="0.25">
      <c r="A3301" s="879"/>
      <c r="B3301" s="1448" t="s">
        <v>1656</v>
      </c>
    </row>
    <row r="3302" spans="1:2" x14ac:dyDescent="0.25">
      <c r="A3302" s="879"/>
      <c r="B3302" s="1448" t="s">
        <v>1365</v>
      </c>
    </row>
    <row r="3303" spans="1:2" x14ac:dyDescent="0.25">
      <c r="A3303" s="879"/>
      <c r="B3303" s="1448" t="s">
        <v>1657</v>
      </c>
    </row>
    <row r="3304" spans="1:2" x14ac:dyDescent="0.25">
      <c r="A3304" s="879"/>
      <c r="B3304" s="1448" t="s">
        <v>1658</v>
      </c>
    </row>
    <row r="3305" spans="1:2" x14ac:dyDescent="0.25">
      <c r="A3305" s="879"/>
      <c r="B3305" s="1448" t="s">
        <v>1659</v>
      </c>
    </row>
    <row r="3306" spans="1:2" x14ac:dyDescent="0.25">
      <c r="A3306" s="879"/>
      <c r="B3306" s="1448" t="s">
        <v>1660</v>
      </c>
    </row>
    <row r="3307" spans="1:2" x14ac:dyDescent="0.25">
      <c r="A3307" s="879"/>
      <c r="B3307" s="1448" t="s">
        <v>1661</v>
      </c>
    </row>
    <row r="3308" spans="1:2" x14ac:dyDescent="0.25">
      <c r="A3308" s="879"/>
      <c r="B3308" s="1448" t="s">
        <v>1662</v>
      </c>
    </row>
    <row r="3309" spans="1:2" x14ac:dyDescent="0.25">
      <c r="A3309" s="879"/>
      <c r="B3309" s="1448" t="s">
        <v>1663</v>
      </c>
    </row>
    <row r="3310" spans="1:2" x14ac:dyDescent="0.25">
      <c r="A3310" s="879"/>
      <c r="B3310" s="1448" t="s">
        <v>1664</v>
      </c>
    </row>
    <row r="3311" spans="1:2" x14ac:dyDescent="0.25">
      <c r="A3311" s="879"/>
      <c r="B3311" s="1448" t="s">
        <v>1665</v>
      </c>
    </row>
    <row r="3312" spans="1:2" x14ac:dyDescent="0.25">
      <c r="A3312" s="879"/>
      <c r="B3312" s="1448" t="s">
        <v>1666</v>
      </c>
    </row>
    <row r="3313" spans="1:2" x14ac:dyDescent="0.25">
      <c r="A3313" s="879"/>
      <c r="B3313" s="1448" t="s">
        <v>1667</v>
      </c>
    </row>
    <row r="3314" spans="1:2" x14ac:dyDescent="0.25">
      <c r="A3314" s="879"/>
      <c r="B3314" s="1448" t="s">
        <v>1668</v>
      </c>
    </row>
    <row r="3315" spans="1:2" x14ac:dyDescent="0.25">
      <c r="A3315" s="879"/>
      <c r="B3315" s="1448" t="s">
        <v>1669</v>
      </c>
    </row>
    <row r="3316" spans="1:2" x14ac:dyDescent="0.25">
      <c r="A3316" s="879"/>
      <c r="B3316" s="1448" t="s">
        <v>1670</v>
      </c>
    </row>
    <row r="3317" spans="1:2" x14ac:dyDescent="0.25">
      <c r="A3317" s="879"/>
      <c r="B3317" s="1448" t="s">
        <v>1671</v>
      </c>
    </row>
    <row r="3318" spans="1:2" x14ac:dyDescent="0.25">
      <c r="A3318" s="879"/>
      <c r="B3318" s="1448" t="s">
        <v>1769</v>
      </c>
    </row>
    <row r="3319" spans="1:2" x14ac:dyDescent="0.25">
      <c r="A3319" s="879"/>
      <c r="B3319" s="1448" t="s">
        <v>1365</v>
      </c>
    </row>
    <row r="3320" spans="1:2" x14ac:dyDescent="0.25">
      <c r="A3320" s="879"/>
      <c r="B3320" s="1448" t="s">
        <v>1770</v>
      </c>
    </row>
    <row r="3321" spans="1:2" x14ac:dyDescent="0.25">
      <c r="A3321" s="879"/>
      <c r="B3321" s="1448" t="s">
        <v>2441</v>
      </c>
    </row>
    <row r="3322" spans="1:2" x14ac:dyDescent="0.25">
      <c r="A3322" s="879"/>
      <c r="B3322" s="1448" t="s">
        <v>1772</v>
      </c>
    </row>
    <row r="3323" spans="1:2" x14ac:dyDescent="0.25">
      <c r="A3323" s="879"/>
      <c r="B3323" s="1448" t="s">
        <v>1365</v>
      </c>
    </row>
    <row r="3324" spans="1:2" x14ac:dyDescent="0.25">
      <c r="A3324" s="879"/>
      <c r="B3324" s="1448" t="s">
        <v>1773</v>
      </c>
    </row>
    <row r="3325" spans="1:2" x14ac:dyDescent="0.25">
      <c r="A3325" s="879"/>
      <c r="B3325" s="1448"/>
    </row>
    <row r="3326" spans="1:2" x14ac:dyDescent="0.25">
      <c r="A3326" s="879"/>
      <c r="B3326" s="1448"/>
    </row>
    <row r="3327" spans="1:2" x14ac:dyDescent="0.25">
      <c r="A3327" s="879"/>
      <c r="B3327" s="1448" t="s">
        <v>1366</v>
      </c>
    </row>
    <row r="3328" spans="1:2" x14ac:dyDescent="0.25">
      <c r="A3328" s="879"/>
      <c r="B3328" s="1448" t="s">
        <v>2442</v>
      </c>
    </row>
    <row r="3329" spans="1:2" x14ac:dyDescent="0.25">
      <c r="A3329" s="879"/>
      <c r="B3329" s="1448" t="s">
        <v>1366</v>
      </c>
    </row>
    <row r="3330" spans="1:2" x14ac:dyDescent="0.25">
      <c r="A3330" s="879"/>
      <c r="B3330" s="1448" t="s">
        <v>2443</v>
      </c>
    </row>
    <row r="3331" spans="1:2" x14ac:dyDescent="0.25">
      <c r="A3331" s="879"/>
      <c r="B3331" s="1448" t="s">
        <v>1365</v>
      </c>
    </row>
    <row r="3332" spans="1:2" x14ac:dyDescent="0.25">
      <c r="A3332" s="879"/>
      <c r="B3332" s="1448" t="s">
        <v>1367</v>
      </c>
    </row>
    <row r="3333" spans="1:2" x14ac:dyDescent="0.25">
      <c r="A3333" s="879"/>
      <c r="B3333" s="1448" t="s">
        <v>1368</v>
      </c>
    </row>
    <row r="3334" spans="1:2" x14ac:dyDescent="0.25">
      <c r="A3334" s="879"/>
      <c r="B3334" s="1448" t="s">
        <v>1365</v>
      </c>
    </row>
    <row r="3335" spans="1:2" x14ac:dyDescent="0.25">
      <c r="A3335" s="879"/>
      <c r="B3335" s="1448" t="s">
        <v>1517</v>
      </c>
    </row>
    <row r="3336" spans="1:2" x14ac:dyDescent="0.25">
      <c r="A3336" s="879"/>
      <c r="B3336" s="1448" t="s">
        <v>1518</v>
      </c>
    </row>
    <row r="3337" spans="1:2" x14ac:dyDescent="0.25">
      <c r="A3337" s="879"/>
      <c r="B3337" s="1448" t="s">
        <v>2273</v>
      </c>
    </row>
    <row r="3338" spans="1:2" x14ac:dyDescent="0.25">
      <c r="A3338" s="879"/>
      <c r="B3338" s="1448" t="s">
        <v>2274</v>
      </c>
    </row>
    <row r="3339" spans="1:2" x14ac:dyDescent="0.25">
      <c r="A3339" s="879"/>
      <c r="B3339" s="1448" t="s">
        <v>1577</v>
      </c>
    </row>
    <row r="3340" spans="1:2" x14ac:dyDescent="0.25">
      <c r="A3340" s="879"/>
      <c r="B3340" s="1448" t="s">
        <v>1578</v>
      </c>
    </row>
    <row r="3341" spans="1:2" x14ac:dyDescent="0.25">
      <c r="A3341" s="879"/>
      <c r="B3341" s="1448" t="s">
        <v>1579</v>
      </c>
    </row>
    <row r="3342" spans="1:2" x14ac:dyDescent="0.25">
      <c r="A3342" s="879"/>
      <c r="B3342" s="1448" t="s">
        <v>2278</v>
      </c>
    </row>
    <row r="3343" spans="1:2" x14ac:dyDescent="0.25">
      <c r="A3343" s="879"/>
      <c r="B3343" s="1448" t="s">
        <v>2279</v>
      </c>
    </row>
    <row r="3344" spans="1:2" x14ac:dyDescent="0.25">
      <c r="A3344" s="879"/>
      <c r="B3344" s="1448" t="s">
        <v>1580</v>
      </c>
    </row>
    <row r="3345" spans="1:2" x14ac:dyDescent="0.25">
      <c r="A3345" s="879"/>
      <c r="B3345" s="1448" t="s">
        <v>1581</v>
      </c>
    </row>
    <row r="3346" spans="1:2" x14ac:dyDescent="0.25">
      <c r="A3346" s="879"/>
      <c r="B3346" s="1448" t="s">
        <v>1380</v>
      </c>
    </row>
    <row r="3347" spans="1:2" x14ac:dyDescent="0.25">
      <c r="A3347" s="879"/>
      <c r="B3347" s="1448" t="s">
        <v>1365</v>
      </c>
    </row>
    <row r="3348" spans="1:2" x14ac:dyDescent="0.25">
      <c r="A3348" s="879"/>
      <c r="B3348" s="1448" t="s">
        <v>1517</v>
      </c>
    </row>
    <row r="3349" spans="1:2" x14ac:dyDescent="0.25">
      <c r="A3349" s="879"/>
      <c r="B3349" s="1448" t="s">
        <v>2281</v>
      </c>
    </row>
    <row r="3350" spans="1:2" x14ac:dyDescent="0.25">
      <c r="A3350" s="879"/>
      <c r="B3350" s="1448" t="s">
        <v>2282</v>
      </c>
    </row>
    <row r="3351" spans="1:2" x14ac:dyDescent="0.25">
      <c r="A3351" s="879"/>
      <c r="B3351" s="1448" t="s">
        <v>2283</v>
      </c>
    </row>
    <row r="3352" spans="1:2" x14ac:dyDescent="0.25">
      <c r="A3352" s="879"/>
      <c r="B3352" s="1448" t="s">
        <v>1582</v>
      </c>
    </row>
    <row r="3353" spans="1:2" x14ac:dyDescent="0.25">
      <c r="A3353" s="879"/>
      <c r="B3353" s="1448" t="s">
        <v>2285</v>
      </c>
    </row>
    <row r="3354" spans="1:2" x14ac:dyDescent="0.25">
      <c r="A3354" s="879"/>
      <c r="B3354" s="1448" t="s">
        <v>2286</v>
      </c>
    </row>
    <row r="3355" spans="1:2" x14ac:dyDescent="0.25">
      <c r="A3355" s="879"/>
      <c r="B3355" s="1448" t="s">
        <v>2287</v>
      </c>
    </row>
    <row r="3356" spans="1:2" x14ac:dyDescent="0.25">
      <c r="A3356" s="879"/>
      <c r="B3356" s="1448" t="s">
        <v>2288</v>
      </c>
    </row>
    <row r="3357" spans="1:2" x14ac:dyDescent="0.25">
      <c r="A3357" s="879"/>
      <c r="B3357" s="1448" t="s">
        <v>1519</v>
      </c>
    </row>
    <row r="3358" spans="1:2" x14ac:dyDescent="0.25">
      <c r="A3358" s="879"/>
      <c r="B3358" s="1448" t="s">
        <v>1520</v>
      </c>
    </row>
    <row r="3359" spans="1:2" x14ac:dyDescent="0.25">
      <c r="A3359" s="879"/>
      <c r="B3359" s="1448" t="s">
        <v>1521</v>
      </c>
    </row>
    <row r="3360" spans="1:2" x14ac:dyDescent="0.25">
      <c r="A3360" s="879"/>
      <c r="B3360" s="1448" t="s">
        <v>1522</v>
      </c>
    </row>
    <row r="3361" spans="1:2" x14ac:dyDescent="0.25">
      <c r="A3361" s="879"/>
      <c r="B3361" s="1448" t="s">
        <v>1523</v>
      </c>
    </row>
    <row r="3362" spans="1:2" x14ac:dyDescent="0.25">
      <c r="A3362" s="879"/>
      <c r="B3362" s="1448" t="s">
        <v>1524</v>
      </c>
    </row>
    <row r="3363" spans="1:2" x14ac:dyDescent="0.25">
      <c r="A3363" s="879"/>
      <c r="B3363" s="1448" t="s">
        <v>1525</v>
      </c>
    </row>
    <row r="3364" spans="1:2" x14ac:dyDescent="0.25">
      <c r="A3364" s="879"/>
      <c r="B3364" s="1448" t="s">
        <v>1583</v>
      </c>
    </row>
    <row r="3365" spans="1:2" x14ac:dyDescent="0.25">
      <c r="A3365" s="879"/>
      <c r="B3365" s="1448" t="s">
        <v>2292</v>
      </c>
    </row>
    <row r="3366" spans="1:2" x14ac:dyDescent="0.25">
      <c r="A3366" s="879"/>
      <c r="B3366" s="1448" t="s">
        <v>1584</v>
      </c>
    </row>
    <row r="3367" spans="1:2" x14ac:dyDescent="0.25">
      <c r="A3367" s="879"/>
      <c r="B3367" s="1448" t="s">
        <v>2294</v>
      </c>
    </row>
    <row r="3368" spans="1:2" x14ac:dyDescent="0.25">
      <c r="A3368" s="879"/>
      <c r="B3368" s="1448" t="s">
        <v>1565</v>
      </c>
    </row>
    <row r="3369" spans="1:2" x14ac:dyDescent="0.25">
      <c r="A3369" s="879"/>
      <c r="B3369" s="1448" t="s">
        <v>1714</v>
      </c>
    </row>
    <row r="3370" spans="1:2" x14ac:dyDescent="0.25">
      <c r="A3370" s="879"/>
      <c r="B3370" s="1448" t="s">
        <v>2295</v>
      </c>
    </row>
    <row r="3371" spans="1:2" x14ac:dyDescent="0.25">
      <c r="A3371" s="879"/>
      <c r="B3371" s="1448" t="s">
        <v>1526</v>
      </c>
    </row>
    <row r="3372" spans="1:2" x14ac:dyDescent="0.25">
      <c r="A3372" s="879"/>
      <c r="B3372" s="1448" t="s">
        <v>2296</v>
      </c>
    </row>
    <row r="3373" spans="1:2" x14ac:dyDescent="0.25">
      <c r="A3373" s="879"/>
      <c r="B3373" s="1448" t="s">
        <v>2297</v>
      </c>
    </row>
    <row r="3374" spans="1:2" x14ac:dyDescent="0.25">
      <c r="A3374" s="879"/>
      <c r="B3374" s="1448" t="s">
        <v>2298</v>
      </c>
    </row>
    <row r="3375" spans="1:2" x14ac:dyDescent="0.25">
      <c r="A3375" s="879"/>
      <c r="B3375" s="1448" t="s">
        <v>2444</v>
      </c>
    </row>
    <row r="3376" spans="1:2" x14ac:dyDescent="0.25">
      <c r="A3376" s="879"/>
      <c r="B3376" s="1448" t="s">
        <v>1715</v>
      </c>
    </row>
    <row r="3377" spans="1:2" x14ac:dyDescent="0.25">
      <c r="A3377" s="879"/>
      <c r="B3377" s="1448" t="s">
        <v>1585</v>
      </c>
    </row>
    <row r="3378" spans="1:2" x14ac:dyDescent="0.25">
      <c r="A3378" s="879"/>
      <c r="B3378" s="1448" t="s">
        <v>1527</v>
      </c>
    </row>
    <row r="3379" spans="1:2" x14ac:dyDescent="0.25">
      <c r="A3379" s="879"/>
      <c r="B3379" s="1448" t="s">
        <v>2300</v>
      </c>
    </row>
    <row r="3380" spans="1:2" x14ac:dyDescent="0.25">
      <c r="A3380" s="879"/>
      <c r="B3380" s="1448" t="s">
        <v>2301</v>
      </c>
    </row>
    <row r="3381" spans="1:2" x14ac:dyDescent="0.25">
      <c r="A3381" s="879"/>
      <c r="B3381" s="1448" t="s">
        <v>1528</v>
      </c>
    </row>
    <row r="3382" spans="1:2" x14ac:dyDescent="0.25">
      <c r="A3382" s="879"/>
      <c r="B3382" s="1448" t="s">
        <v>1716</v>
      </c>
    </row>
    <row r="3383" spans="1:2" x14ac:dyDescent="0.25">
      <c r="A3383" s="879"/>
      <c r="B3383" s="1448" t="s">
        <v>2445</v>
      </c>
    </row>
    <row r="3384" spans="1:2" x14ac:dyDescent="0.25">
      <c r="A3384" s="879"/>
      <c r="B3384" s="1448" t="s">
        <v>2446</v>
      </c>
    </row>
    <row r="3385" spans="1:2" x14ac:dyDescent="0.25">
      <c r="A3385" s="879"/>
      <c r="B3385" s="1448" t="s">
        <v>2304</v>
      </c>
    </row>
    <row r="3386" spans="1:2" x14ac:dyDescent="0.25">
      <c r="A3386" s="879"/>
      <c r="B3386" s="1448" t="s">
        <v>2305</v>
      </c>
    </row>
    <row r="3387" spans="1:2" x14ac:dyDescent="0.25">
      <c r="A3387" s="879"/>
      <c r="B3387" s="1448" t="s">
        <v>2306</v>
      </c>
    </row>
    <row r="3388" spans="1:2" x14ac:dyDescent="0.25">
      <c r="A3388" s="879"/>
      <c r="B3388" s="1448" t="s">
        <v>2307</v>
      </c>
    </row>
    <row r="3389" spans="1:2" x14ac:dyDescent="0.25">
      <c r="A3389" s="879"/>
      <c r="B3389" s="1448" t="s">
        <v>2447</v>
      </c>
    </row>
    <row r="3390" spans="1:2" x14ac:dyDescent="0.25">
      <c r="A3390" s="879"/>
      <c r="B3390" s="1448" t="s">
        <v>2448</v>
      </c>
    </row>
    <row r="3391" spans="1:2" x14ac:dyDescent="0.25">
      <c r="A3391" s="879"/>
      <c r="B3391" s="1448" t="s">
        <v>2449</v>
      </c>
    </row>
    <row r="3392" spans="1:2" x14ac:dyDescent="0.25">
      <c r="A3392" s="879"/>
      <c r="B3392" s="1448" t="s">
        <v>1529</v>
      </c>
    </row>
    <row r="3393" spans="1:2" x14ac:dyDescent="0.25">
      <c r="A3393" s="879"/>
      <c r="B3393" s="1448" t="s">
        <v>1586</v>
      </c>
    </row>
    <row r="3394" spans="1:2" x14ac:dyDescent="0.25">
      <c r="A3394" s="879"/>
      <c r="B3394" s="1448" t="s">
        <v>1569</v>
      </c>
    </row>
    <row r="3395" spans="1:2" x14ac:dyDescent="0.25">
      <c r="A3395" s="879"/>
      <c r="B3395" s="1448" t="s">
        <v>1530</v>
      </c>
    </row>
    <row r="3396" spans="1:2" x14ac:dyDescent="0.25">
      <c r="A3396" s="879"/>
      <c r="B3396" s="1448" t="s">
        <v>1428</v>
      </c>
    </row>
    <row r="3397" spans="1:2" x14ac:dyDescent="0.25">
      <c r="A3397" s="879"/>
      <c r="B3397" s="1448" t="s">
        <v>1365</v>
      </c>
    </row>
    <row r="3398" spans="1:2" x14ac:dyDescent="0.25">
      <c r="A3398" s="879"/>
      <c r="B3398" s="1448" t="s">
        <v>1502</v>
      </c>
    </row>
    <row r="3399" spans="1:2" x14ac:dyDescent="0.25">
      <c r="A3399" s="879"/>
      <c r="B3399" s="1448" t="s">
        <v>1365</v>
      </c>
    </row>
    <row r="3400" spans="1:2" x14ac:dyDescent="0.25">
      <c r="A3400" s="879"/>
      <c r="B3400" s="1448" t="s">
        <v>1448</v>
      </c>
    </row>
    <row r="3401" spans="1:2" x14ac:dyDescent="0.25">
      <c r="A3401" s="879"/>
      <c r="B3401" s="1448" t="s">
        <v>1449</v>
      </c>
    </row>
    <row r="3402" spans="1:2" x14ac:dyDescent="0.25">
      <c r="A3402" s="879"/>
      <c r="B3402" s="1448" t="s">
        <v>2320</v>
      </c>
    </row>
    <row r="3403" spans="1:2" x14ac:dyDescent="0.25">
      <c r="A3403" s="879"/>
      <c r="B3403" s="1448" t="s">
        <v>1650</v>
      </c>
    </row>
    <row r="3404" spans="1:2" x14ac:dyDescent="0.25">
      <c r="A3404" s="879"/>
      <c r="B3404" s="1448" t="s">
        <v>1651</v>
      </c>
    </row>
    <row r="3405" spans="1:2" x14ac:dyDescent="0.25">
      <c r="A3405" s="879"/>
      <c r="B3405" s="1448" t="s">
        <v>2321</v>
      </c>
    </row>
    <row r="3406" spans="1:2" x14ac:dyDescent="0.25">
      <c r="A3406" s="879"/>
      <c r="B3406" s="1448" t="s">
        <v>1652</v>
      </c>
    </row>
    <row r="3407" spans="1:2" x14ac:dyDescent="0.25">
      <c r="A3407" s="879"/>
      <c r="B3407" s="1448" t="s">
        <v>2322</v>
      </c>
    </row>
    <row r="3408" spans="1:2" x14ac:dyDescent="0.25">
      <c r="A3408" s="879"/>
      <c r="B3408" s="1448" t="s">
        <v>2323</v>
      </c>
    </row>
    <row r="3409" spans="1:2" x14ac:dyDescent="0.25">
      <c r="A3409" s="879"/>
      <c r="B3409" s="1448" t="s">
        <v>1653</v>
      </c>
    </row>
    <row r="3410" spans="1:2" x14ac:dyDescent="0.25">
      <c r="A3410" s="879"/>
      <c r="B3410" s="1448" t="s">
        <v>1654</v>
      </c>
    </row>
    <row r="3411" spans="1:2" x14ac:dyDescent="0.25">
      <c r="A3411" s="879"/>
      <c r="B3411" s="1448" t="s">
        <v>2324</v>
      </c>
    </row>
    <row r="3412" spans="1:2" x14ac:dyDescent="0.25">
      <c r="A3412" s="879"/>
      <c r="B3412" s="1448" t="s">
        <v>2325</v>
      </c>
    </row>
    <row r="3413" spans="1:2" x14ac:dyDescent="0.25">
      <c r="A3413" s="879"/>
      <c r="B3413" s="1448" t="s">
        <v>1453</v>
      </c>
    </row>
    <row r="3414" spans="1:2" x14ac:dyDescent="0.25">
      <c r="A3414" s="879"/>
      <c r="B3414" s="1448" t="s">
        <v>2326</v>
      </c>
    </row>
    <row r="3415" spans="1:2" x14ac:dyDescent="0.25">
      <c r="A3415" s="879"/>
      <c r="B3415" s="1448" t="s">
        <v>1655</v>
      </c>
    </row>
    <row r="3416" spans="1:2" x14ac:dyDescent="0.25">
      <c r="A3416" s="879"/>
      <c r="B3416" s="1448" t="s">
        <v>1456</v>
      </c>
    </row>
    <row r="3417" spans="1:2" x14ac:dyDescent="0.25">
      <c r="A3417" s="879"/>
      <c r="B3417" s="1448" t="s">
        <v>1503</v>
      </c>
    </row>
    <row r="3418" spans="1:2" x14ac:dyDescent="0.25">
      <c r="A3418" s="879"/>
      <c r="B3418" s="1448" t="s">
        <v>1365</v>
      </c>
    </row>
    <row r="3419" spans="1:2" x14ac:dyDescent="0.25">
      <c r="A3419" s="879"/>
      <c r="B3419" s="1448" t="s">
        <v>1448</v>
      </c>
    </row>
    <row r="3420" spans="1:2" x14ac:dyDescent="0.25">
      <c r="A3420" s="879"/>
      <c r="B3420" s="1448" t="s">
        <v>1449</v>
      </c>
    </row>
    <row r="3421" spans="1:2" x14ac:dyDescent="0.25">
      <c r="A3421" s="879"/>
      <c r="B3421" s="1448" t="s">
        <v>2320</v>
      </c>
    </row>
    <row r="3422" spans="1:2" x14ac:dyDescent="0.25">
      <c r="A3422" s="879"/>
      <c r="B3422" s="1448" t="s">
        <v>1650</v>
      </c>
    </row>
    <row r="3423" spans="1:2" x14ac:dyDescent="0.25">
      <c r="A3423" s="879"/>
      <c r="B3423" s="1448" t="s">
        <v>1651</v>
      </c>
    </row>
    <row r="3424" spans="1:2" x14ac:dyDescent="0.25">
      <c r="A3424" s="879"/>
      <c r="B3424" s="1448" t="s">
        <v>2321</v>
      </c>
    </row>
    <row r="3425" spans="1:2" x14ac:dyDescent="0.25">
      <c r="A3425" s="879"/>
      <c r="B3425" s="1448" t="s">
        <v>1652</v>
      </c>
    </row>
    <row r="3426" spans="1:2" x14ac:dyDescent="0.25">
      <c r="A3426" s="879"/>
      <c r="B3426" s="1448" t="s">
        <v>2322</v>
      </c>
    </row>
    <row r="3427" spans="1:2" x14ac:dyDescent="0.25">
      <c r="A3427" s="879"/>
      <c r="B3427" s="1448" t="s">
        <v>2323</v>
      </c>
    </row>
    <row r="3428" spans="1:2" x14ac:dyDescent="0.25">
      <c r="A3428" s="879"/>
      <c r="B3428" s="1448" t="s">
        <v>1653</v>
      </c>
    </row>
    <row r="3429" spans="1:2" x14ac:dyDescent="0.25">
      <c r="A3429" s="879"/>
      <c r="B3429" s="1448" t="s">
        <v>1654</v>
      </c>
    </row>
    <row r="3430" spans="1:2" x14ac:dyDescent="0.25">
      <c r="A3430" s="879"/>
      <c r="B3430" s="1448" t="s">
        <v>2324</v>
      </c>
    </row>
    <row r="3431" spans="1:2" x14ac:dyDescent="0.25">
      <c r="A3431" s="879"/>
      <c r="B3431" s="1448" t="s">
        <v>2325</v>
      </c>
    </row>
    <row r="3432" spans="1:2" x14ac:dyDescent="0.25">
      <c r="A3432" s="879"/>
      <c r="B3432" s="1448" t="s">
        <v>1453</v>
      </c>
    </row>
    <row r="3433" spans="1:2" x14ac:dyDescent="0.25">
      <c r="A3433" s="879"/>
      <c r="B3433" s="1448" t="s">
        <v>2326</v>
      </c>
    </row>
    <row r="3434" spans="1:2" x14ac:dyDescent="0.25">
      <c r="A3434" s="879"/>
      <c r="B3434" s="1448" t="s">
        <v>1655</v>
      </c>
    </row>
    <row r="3435" spans="1:2" x14ac:dyDescent="0.25">
      <c r="A3435" s="879"/>
      <c r="B3435" s="1448" t="s">
        <v>1456</v>
      </c>
    </row>
    <row r="3436" spans="1:2" x14ac:dyDescent="0.25">
      <c r="A3436" s="879"/>
      <c r="B3436" s="1448" t="s">
        <v>1531</v>
      </c>
    </row>
    <row r="3437" spans="1:2" x14ac:dyDescent="0.25">
      <c r="A3437" s="879"/>
      <c r="B3437" s="1448" t="s">
        <v>1365</v>
      </c>
    </row>
    <row r="3438" spans="1:2" x14ac:dyDescent="0.25">
      <c r="A3438" s="879"/>
      <c r="B3438" s="1448" t="s">
        <v>1448</v>
      </c>
    </row>
    <row r="3439" spans="1:2" x14ac:dyDescent="0.25">
      <c r="A3439" s="879"/>
      <c r="B3439" s="1448" t="s">
        <v>1449</v>
      </c>
    </row>
    <row r="3440" spans="1:2" x14ac:dyDescent="0.25">
      <c r="A3440" s="879"/>
      <c r="B3440" s="1448" t="s">
        <v>2320</v>
      </c>
    </row>
    <row r="3441" spans="1:2" x14ac:dyDescent="0.25">
      <c r="A3441" s="879"/>
      <c r="B3441" s="1448" t="s">
        <v>1650</v>
      </c>
    </row>
    <row r="3442" spans="1:2" x14ac:dyDescent="0.25">
      <c r="A3442" s="879"/>
      <c r="B3442" s="1448" t="s">
        <v>1651</v>
      </c>
    </row>
    <row r="3443" spans="1:2" x14ac:dyDescent="0.25">
      <c r="A3443" s="879"/>
      <c r="B3443" s="1448" t="s">
        <v>2321</v>
      </c>
    </row>
    <row r="3444" spans="1:2" x14ac:dyDescent="0.25">
      <c r="A3444" s="879"/>
      <c r="B3444" s="1448" t="s">
        <v>1652</v>
      </c>
    </row>
    <row r="3445" spans="1:2" x14ac:dyDescent="0.25">
      <c r="A3445" s="879"/>
      <c r="B3445" s="1448" t="s">
        <v>2322</v>
      </c>
    </row>
    <row r="3446" spans="1:2" x14ac:dyDescent="0.25">
      <c r="A3446" s="879"/>
      <c r="B3446" s="1448" t="s">
        <v>2323</v>
      </c>
    </row>
    <row r="3447" spans="1:2" x14ac:dyDescent="0.25">
      <c r="A3447" s="879"/>
      <c r="B3447" s="1448" t="s">
        <v>1653</v>
      </c>
    </row>
    <row r="3448" spans="1:2" x14ac:dyDescent="0.25">
      <c r="A3448" s="879"/>
      <c r="B3448" s="1448" t="s">
        <v>1654</v>
      </c>
    </row>
    <row r="3449" spans="1:2" x14ac:dyDescent="0.25">
      <c r="A3449" s="879"/>
      <c r="B3449" s="1448" t="s">
        <v>2324</v>
      </c>
    </row>
    <row r="3450" spans="1:2" x14ac:dyDescent="0.25">
      <c r="A3450" s="879"/>
      <c r="B3450" s="1448" t="s">
        <v>2325</v>
      </c>
    </row>
    <row r="3451" spans="1:2" x14ac:dyDescent="0.25">
      <c r="A3451" s="879"/>
      <c r="B3451" s="1448" t="s">
        <v>1453</v>
      </c>
    </row>
    <row r="3452" spans="1:2" x14ac:dyDescent="0.25">
      <c r="A3452" s="879"/>
      <c r="B3452" s="1448" t="s">
        <v>2326</v>
      </c>
    </row>
    <row r="3453" spans="1:2" x14ac:dyDescent="0.25">
      <c r="A3453" s="879"/>
      <c r="B3453" s="1448" t="s">
        <v>1655</v>
      </c>
    </row>
    <row r="3454" spans="1:2" x14ac:dyDescent="0.25">
      <c r="A3454" s="879"/>
      <c r="B3454" s="1448" t="s">
        <v>1456</v>
      </c>
    </row>
    <row r="3455" spans="1:2" x14ac:dyDescent="0.25">
      <c r="A3455" s="879"/>
      <c r="B3455" s="1448" t="s">
        <v>1656</v>
      </c>
    </row>
    <row r="3456" spans="1:2" x14ac:dyDescent="0.25">
      <c r="A3456" s="879"/>
      <c r="B3456" s="1448" t="s">
        <v>1365</v>
      </c>
    </row>
    <row r="3457" spans="1:2" x14ac:dyDescent="0.25">
      <c r="A3457" s="879"/>
      <c r="B3457" s="1448" t="s">
        <v>1657</v>
      </c>
    </row>
    <row r="3458" spans="1:2" x14ac:dyDescent="0.25">
      <c r="A3458" s="879"/>
      <c r="B3458" s="1448" t="s">
        <v>2327</v>
      </c>
    </row>
    <row r="3459" spans="1:2" x14ac:dyDescent="0.25">
      <c r="A3459" s="879"/>
      <c r="B3459" s="1448" t="s">
        <v>1659</v>
      </c>
    </row>
    <row r="3460" spans="1:2" x14ac:dyDescent="0.25">
      <c r="A3460" s="879"/>
      <c r="B3460" s="1448" t="s">
        <v>1660</v>
      </c>
    </row>
    <row r="3461" spans="1:2" x14ac:dyDescent="0.25">
      <c r="A3461" s="879"/>
      <c r="B3461" s="1448" t="s">
        <v>2328</v>
      </c>
    </row>
    <row r="3462" spans="1:2" x14ac:dyDescent="0.25">
      <c r="A3462" s="879"/>
      <c r="B3462" s="1448" t="s">
        <v>1662</v>
      </c>
    </row>
    <row r="3463" spans="1:2" x14ac:dyDescent="0.25">
      <c r="A3463" s="879"/>
      <c r="B3463" s="1448" t="s">
        <v>2329</v>
      </c>
    </row>
    <row r="3464" spans="1:2" x14ac:dyDescent="0.25">
      <c r="A3464" s="879"/>
      <c r="B3464" s="1448" t="s">
        <v>2330</v>
      </c>
    </row>
    <row r="3465" spans="1:2" x14ac:dyDescent="0.25">
      <c r="A3465" s="879"/>
      <c r="B3465" s="1448" t="s">
        <v>2331</v>
      </c>
    </row>
    <row r="3466" spans="1:2" x14ac:dyDescent="0.25">
      <c r="A3466" s="879"/>
      <c r="B3466" s="1448" t="s">
        <v>2332</v>
      </c>
    </row>
    <row r="3467" spans="1:2" x14ac:dyDescent="0.25">
      <c r="A3467" s="879"/>
      <c r="B3467" s="1448" t="s">
        <v>2333</v>
      </c>
    </row>
    <row r="3468" spans="1:2" x14ac:dyDescent="0.25">
      <c r="A3468" s="879"/>
      <c r="B3468" s="1448" t="s">
        <v>2334</v>
      </c>
    </row>
    <row r="3469" spans="1:2" x14ac:dyDescent="0.25">
      <c r="A3469" s="879"/>
      <c r="B3469" s="1448" t="s">
        <v>1669</v>
      </c>
    </row>
    <row r="3470" spans="1:2" x14ac:dyDescent="0.25">
      <c r="A3470" s="879"/>
      <c r="B3470" s="1448" t="s">
        <v>2335</v>
      </c>
    </row>
    <row r="3471" spans="1:2" x14ac:dyDescent="0.25">
      <c r="A3471" s="879"/>
      <c r="B3471" s="1448" t="s">
        <v>1671</v>
      </c>
    </row>
    <row r="3472" spans="1:2" x14ac:dyDescent="0.25">
      <c r="A3472" s="879"/>
      <c r="B3472" s="1448" t="s">
        <v>1769</v>
      </c>
    </row>
    <row r="3473" spans="1:2" x14ac:dyDescent="0.25">
      <c r="A3473" s="879"/>
      <c r="B3473" s="1448" t="s">
        <v>1365</v>
      </c>
    </row>
    <row r="3474" spans="1:2" x14ac:dyDescent="0.25">
      <c r="A3474" s="879"/>
      <c r="B3474" s="1448" t="s">
        <v>1770</v>
      </c>
    </row>
    <row r="3475" spans="1:2" x14ac:dyDescent="0.25">
      <c r="A3475" s="879"/>
      <c r="B3475" s="1448" t="s">
        <v>2450</v>
      </c>
    </row>
    <row r="3476" spans="1:2" x14ac:dyDescent="0.25">
      <c r="A3476" s="879"/>
      <c r="B3476" s="1448" t="s">
        <v>1772</v>
      </c>
    </row>
    <row r="3477" spans="1:2" x14ac:dyDescent="0.25">
      <c r="A3477" s="879"/>
      <c r="B3477" s="1448" t="s">
        <v>1365</v>
      </c>
    </row>
    <row r="3478" spans="1:2" x14ac:dyDescent="0.25">
      <c r="A3478" s="879"/>
      <c r="B3478" s="1448" t="s">
        <v>1773</v>
      </c>
    </row>
    <row r="3479" spans="1:2" x14ac:dyDescent="0.25">
      <c r="A3479" s="879"/>
      <c r="B3479" s="1448"/>
    </row>
    <row r="3480" spans="1:2" x14ac:dyDescent="0.25">
      <c r="A3480" s="879"/>
      <c r="B3480" s="1448"/>
    </row>
    <row r="3481" spans="1:2" x14ac:dyDescent="0.25">
      <c r="A3481" s="879"/>
      <c r="B3481" s="1448" t="s">
        <v>1366</v>
      </c>
    </row>
    <row r="3482" spans="1:2" x14ac:dyDescent="0.25">
      <c r="A3482" s="879"/>
      <c r="B3482" s="1448" t="s">
        <v>2451</v>
      </c>
    </row>
    <row r="3483" spans="1:2" x14ac:dyDescent="0.25">
      <c r="A3483" s="879"/>
      <c r="B3483" s="1448" t="s">
        <v>1366</v>
      </c>
    </row>
    <row r="3484" spans="1:2" x14ac:dyDescent="0.25">
      <c r="A3484" s="879"/>
      <c r="B3484" s="1448" t="s">
        <v>2452</v>
      </c>
    </row>
    <row r="3485" spans="1:2" x14ac:dyDescent="0.25">
      <c r="A3485" s="879"/>
      <c r="B3485" s="1448" t="s">
        <v>1365</v>
      </c>
    </row>
    <row r="3486" spans="1:2" x14ac:dyDescent="0.25">
      <c r="A3486" s="879"/>
      <c r="B3486" s="1448" t="s">
        <v>1367</v>
      </c>
    </row>
    <row r="3487" spans="1:2" x14ac:dyDescent="0.25">
      <c r="A3487" s="879"/>
      <c r="B3487" s="1448" t="s">
        <v>1368</v>
      </c>
    </row>
    <row r="3488" spans="1:2" x14ac:dyDescent="0.25">
      <c r="A3488" s="879"/>
      <c r="B3488" s="1448" t="s">
        <v>1365</v>
      </c>
    </row>
    <row r="3489" spans="1:2" x14ac:dyDescent="0.25">
      <c r="A3489" s="879"/>
      <c r="B3489" s="1448" t="s">
        <v>1458</v>
      </c>
    </row>
    <row r="3490" spans="1:2" x14ac:dyDescent="0.25">
      <c r="A3490" s="879"/>
      <c r="B3490" s="1448" t="s">
        <v>1459</v>
      </c>
    </row>
    <row r="3491" spans="1:2" x14ac:dyDescent="0.25">
      <c r="A3491" s="879"/>
      <c r="B3491" s="1448" t="s">
        <v>2453</v>
      </c>
    </row>
    <row r="3492" spans="1:2" x14ac:dyDescent="0.25">
      <c r="A3492" s="879"/>
      <c r="B3492" s="1448" t="s">
        <v>2394</v>
      </c>
    </row>
    <row r="3493" spans="1:2" x14ac:dyDescent="0.25">
      <c r="A3493" s="879"/>
      <c r="B3493" s="1448" t="s">
        <v>2183</v>
      </c>
    </row>
    <row r="3494" spans="1:2" x14ac:dyDescent="0.25">
      <c r="A3494" s="879"/>
      <c r="B3494" s="1448" t="s">
        <v>2184</v>
      </c>
    </row>
    <row r="3495" spans="1:2" x14ac:dyDescent="0.25">
      <c r="A3495" s="879"/>
      <c r="B3495" s="1448" t="s">
        <v>2185</v>
      </c>
    </row>
    <row r="3496" spans="1:2" x14ac:dyDescent="0.25">
      <c r="A3496" s="879"/>
      <c r="B3496" s="1448" t="s">
        <v>2454</v>
      </c>
    </row>
    <row r="3497" spans="1:2" x14ac:dyDescent="0.25">
      <c r="A3497" s="879"/>
      <c r="B3497" s="1448" t="s">
        <v>2455</v>
      </c>
    </row>
    <row r="3498" spans="1:2" x14ac:dyDescent="0.25">
      <c r="A3498" s="879"/>
      <c r="B3498" s="1448" t="s">
        <v>2456</v>
      </c>
    </row>
    <row r="3499" spans="1:2" x14ac:dyDescent="0.25">
      <c r="A3499" s="879"/>
      <c r="B3499" s="1448" t="s">
        <v>2187</v>
      </c>
    </row>
    <row r="3500" spans="1:2" x14ac:dyDescent="0.25">
      <c r="A3500" s="879"/>
      <c r="B3500" s="1448" t="s">
        <v>1380</v>
      </c>
    </row>
    <row r="3501" spans="1:2" x14ac:dyDescent="0.25">
      <c r="A3501" s="879"/>
      <c r="B3501" s="1448" t="s">
        <v>1365</v>
      </c>
    </row>
    <row r="3502" spans="1:2" x14ac:dyDescent="0.25">
      <c r="A3502" s="879"/>
      <c r="B3502" s="1448" t="s">
        <v>1458</v>
      </c>
    </row>
    <row r="3503" spans="1:2" x14ac:dyDescent="0.25">
      <c r="A3503" s="879"/>
      <c r="B3503" s="1448" t="s">
        <v>1535</v>
      </c>
    </row>
    <row r="3504" spans="1:2" x14ac:dyDescent="0.25">
      <c r="A3504" s="879"/>
      <c r="B3504" s="1448" t="s">
        <v>2457</v>
      </c>
    </row>
    <row r="3505" spans="1:2" x14ac:dyDescent="0.25">
      <c r="A3505" s="879"/>
      <c r="B3505" s="1448" t="s">
        <v>2458</v>
      </c>
    </row>
    <row r="3506" spans="1:2" x14ac:dyDescent="0.25">
      <c r="A3506" s="879"/>
      <c r="B3506" s="1448" t="s">
        <v>2459</v>
      </c>
    </row>
    <row r="3507" spans="1:2" x14ac:dyDescent="0.25">
      <c r="A3507" s="879"/>
      <c r="B3507" s="1448" t="s">
        <v>2460</v>
      </c>
    </row>
    <row r="3508" spans="1:2" x14ac:dyDescent="0.25">
      <c r="A3508" s="879"/>
      <c r="B3508" s="1448" t="s">
        <v>2461</v>
      </c>
    </row>
    <row r="3509" spans="1:2" x14ac:dyDescent="0.25">
      <c r="A3509" s="879"/>
      <c r="B3509" s="1448" t="s">
        <v>2462</v>
      </c>
    </row>
    <row r="3510" spans="1:2" x14ac:dyDescent="0.25">
      <c r="A3510" s="879"/>
      <c r="B3510" s="1448" t="s">
        <v>2463</v>
      </c>
    </row>
    <row r="3511" spans="1:2" x14ac:dyDescent="0.25">
      <c r="A3511" s="879"/>
      <c r="B3511" s="1448" t="s">
        <v>1462</v>
      </c>
    </row>
    <row r="3512" spans="1:2" x14ac:dyDescent="0.25">
      <c r="A3512" s="879"/>
      <c r="B3512" s="1448" t="s">
        <v>1463</v>
      </c>
    </row>
    <row r="3513" spans="1:2" x14ac:dyDescent="0.25">
      <c r="A3513" s="879"/>
      <c r="B3513" s="1448" t="s">
        <v>1464</v>
      </c>
    </row>
    <row r="3514" spans="1:2" x14ac:dyDescent="0.25">
      <c r="A3514" s="879"/>
      <c r="B3514" s="1448" t="s">
        <v>1465</v>
      </c>
    </row>
    <row r="3515" spans="1:2" x14ac:dyDescent="0.25">
      <c r="A3515" s="879"/>
      <c r="B3515" s="1448" t="s">
        <v>1466</v>
      </c>
    </row>
    <row r="3516" spans="1:2" x14ac:dyDescent="0.25">
      <c r="A3516" s="879"/>
      <c r="B3516" s="1448" t="s">
        <v>1467</v>
      </c>
    </row>
    <row r="3517" spans="1:2" x14ac:dyDescent="0.25">
      <c r="A3517" s="879"/>
      <c r="B3517" s="1448" t="s">
        <v>2464</v>
      </c>
    </row>
    <row r="3518" spans="1:2" x14ac:dyDescent="0.25">
      <c r="A3518" s="879"/>
      <c r="B3518" s="1448" t="s">
        <v>1543</v>
      </c>
    </row>
    <row r="3519" spans="1:2" x14ac:dyDescent="0.25">
      <c r="A3519" s="879"/>
      <c r="B3519" s="1448" t="s">
        <v>2465</v>
      </c>
    </row>
    <row r="3520" spans="1:2" x14ac:dyDescent="0.25">
      <c r="A3520" s="879"/>
      <c r="B3520" s="1448" t="s">
        <v>2189</v>
      </c>
    </row>
    <row r="3521" spans="1:2" x14ac:dyDescent="0.25">
      <c r="A3521" s="879"/>
      <c r="B3521" s="1448" t="s">
        <v>1545</v>
      </c>
    </row>
    <row r="3522" spans="1:2" x14ac:dyDescent="0.25">
      <c r="A3522" s="879"/>
      <c r="B3522" s="1448" t="s">
        <v>1469</v>
      </c>
    </row>
    <row r="3523" spans="1:2" x14ac:dyDescent="0.25">
      <c r="A3523" s="879"/>
      <c r="B3523" s="1448" t="s">
        <v>2466</v>
      </c>
    </row>
    <row r="3524" spans="1:2" x14ac:dyDescent="0.25">
      <c r="A3524" s="879"/>
      <c r="B3524" s="1448" t="s">
        <v>1546</v>
      </c>
    </row>
    <row r="3525" spans="1:2" x14ac:dyDescent="0.25">
      <c r="A3525" s="879"/>
      <c r="B3525" s="1448" t="s">
        <v>1471</v>
      </c>
    </row>
    <row r="3526" spans="1:2" x14ac:dyDescent="0.25">
      <c r="A3526" s="879"/>
      <c r="B3526" s="1448" t="s">
        <v>2467</v>
      </c>
    </row>
    <row r="3527" spans="1:2" x14ac:dyDescent="0.25">
      <c r="A3527" s="879"/>
      <c r="B3527" s="1448" t="s">
        <v>2468</v>
      </c>
    </row>
    <row r="3528" spans="1:2" x14ac:dyDescent="0.25">
      <c r="A3528" s="879"/>
      <c r="B3528" s="1448" t="s">
        <v>1737</v>
      </c>
    </row>
    <row r="3529" spans="1:2" x14ac:dyDescent="0.25">
      <c r="A3529" s="879"/>
      <c r="B3529" s="1448" t="s">
        <v>2469</v>
      </c>
    </row>
    <row r="3530" spans="1:2" x14ac:dyDescent="0.25">
      <c r="A3530" s="879"/>
      <c r="B3530" s="1448" t="s">
        <v>1551</v>
      </c>
    </row>
    <row r="3531" spans="1:2" x14ac:dyDescent="0.25">
      <c r="A3531" s="879"/>
      <c r="B3531" s="1448" t="s">
        <v>2191</v>
      </c>
    </row>
    <row r="3532" spans="1:2" x14ac:dyDescent="0.25">
      <c r="A3532" s="879"/>
      <c r="B3532" s="1448" t="s">
        <v>1476</v>
      </c>
    </row>
    <row r="3533" spans="1:2" x14ac:dyDescent="0.25">
      <c r="A3533" s="879"/>
      <c r="B3533" s="1448" t="s">
        <v>2470</v>
      </c>
    </row>
    <row r="3534" spans="1:2" x14ac:dyDescent="0.25">
      <c r="A3534" s="879"/>
      <c r="B3534" s="1448" t="s">
        <v>1672</v>
      </c>
    </row>
    <row r="3535" spans="1:2" x14ac:dyDescent="0.25">
      <c r="A3535" s="879"/>
      <c r="B3535" s="1448" t="s">
        <v>1477</v>
      </c>
    </row>
    <row r="3536" spans="1:2" x14ac:dyDescent="0.25">
      <c r="A3536" s="879"/>
      <c r="B3536" s="1448" t="s">
        <v>1478</v>
      </c>
    </row>
    <row r="3537" spans="1:2" x14ac:dyDescent="0.25">
      <c r="A3537" s="879"/>
      <c r="B3537" s="1448" t="s">
        <v>2471</v>
      </c>
    </row>
    <row r="3538" spans="1:2" x14ac:dyDescent="0.25">
      <c r="A3538" s="879"/>
      <c r="B3538" s="1448" t="s">
        <v>2472</v>
      </c>
    </row>
    <row r="3539" spans="1:2" x14ac:dyDescent="0.25">
      <c r="A3539" s="879"/>
      <c r="B3539" s="1448" t="s">
        <v>2473</v>
      </c>
    </row>
    <row r="3540" spans="1:2" x14ac:dyDescent="0.25">
      <c r="A3540" s="879"/>
      <c r="B3540" s="1448" t="s">
        <v>2474</v>
      </c>
    </row>
    <row r="3541" spans="1:2" x14ac:dyDescent="0.25">
      <c r="A3541" s="879"/>
      <c r="B3541" s="1448" t="s">
        <v>2475</v>
      </c>
    </row>
    <row r="3542" spans="1:2" x14ac:dyDescent="0.25">
      <c r="A3542" s="879"/>
      <c r="B3542" s="1448" t="s">
        <v>2476</v>
      </c>
    </row>
    <row r="3543" spans="1:2" x14ac:dyDescent="0.25">
      <c r="A3543" s="879"/>
      <c r="B3543" s="1448" t="s">
        <v>2477</v>
      </c>
    </row>
    <row r="3544" spans="1:2" x14ac:dyDescent="0.25">
      <c r="A3544" s="879"/>
      <c r="B3544" s="1448" t="s">
        <v>2478</v>
      </c>
    </row>
    <row r="3545" spans="1:2" x14ac:dyDescent="0.25">
      <c r="A3545" s="879"/>
      <c r="B3545" s="1448" t="s">
        <v>2479</v>
      </c>
    </row>
    <row r="3546" spans="1:2" x14ac:dyDescent="0.25">
      <c r="A3546" s="879"/>
      <c r="B3546" s="1448" t="s">
        <v>1479</v>
      </c>
    </row>
    <row r="3547" spans="1:2" x14ac:dyDescent="0.25">
      <c r="A3547" s="879"/>
      <c r="B3547" s="1448" t="s">
        <v>1560</v>
      </c>
    </row>
    <row r="3548" spans="1:2" x14ac:dyDescent="0.25">
      <c r="A3548" s="879"/>
      <c r="B3548" s="1448" t="s">
        <v>2192</v>
      </c>
    </row>
    <row r="3549" spans="1:2" x14ac:dyDescent="0.25">
      <c r="A3549" s="879"/>
      <c r="B3549" s="1448" t="s">
        <v>1482</v>
      </c>
    </row>
    <row r="3550" spans="1:2" x14ac:dyDescent="0.25">
      <c r="A3550" s="879"/>
      <c r="B3550" s="1448" t="s">
        <v>1428</v>
      </c>
    </row>
    <row r="3551" spans="1:2" x14ac:dyDescent="0.25">
      <c r="A3551" s="879"/>
      <c r="B3551" s="1448" t="s">
        <v>1365</v>
      </c>
    </row>
    <row r="3552" spans="1:2" x14ac:dyDescent="0.25">
      <c r="A3552" s="879"/>
      <c r="B3552" s="1448" t="s">
        <v>1447</v>
      </c>
    </row>
    <row r="3553" spans="1:2" x14ac:dyDescent="0.25">
      <c r="A3553" s="879"/>
      <c r="B3553" s="1448" t="s">
        <v>1365</v>
      </c>
    </row>
    <row r="3554" spans="1:2" x14ac:dyDescent="0.25">
      <c r="A3554" s="879"/>
      <c r="B3554" s="1448" t="s">
        <v>1448</v>
      </c>
    </row>
    <row r="3555" spans="1:2" x14ac:dyDescent="0.25">
      <c r="A3555" s="879"/>
      <c r="B3555" s="1448" t="s">
        <v>1449</v>
      </c>
    </row>
    <row r="3556" spans="1:2" x14ac:dyDescent="0.25">
      <c r="A3556" s="879"/>
      <c r="B3556" s="1448" t="s">
        <v>1450</v>
      </c>
    </row>
    <row r="3557" spans="1:2" x14ac:dyDescent="0.25">
      <c r="A3557" s="879"/>
      <c r="B3557" s="1448" t="s">
        <v>1650</v>
      </c>
    </row>
    <row r="3558" spans="1:2" x14ac:dyDescent="0.25">
      <c r="A3558" s="879"/>
      <c r="B3558" s="1448" t="s">
        <v>1651</v>
      </c>
    </row>
    <row r="3559" spans="1:2" x14ac:dyDescent="0.25">
      <c r="A3559" s="879"/>
      <c r="B3559" s="1448" t="s">
        <v>1515</v>
      </c>
    </row>
    <row r="3560" spans="1:2" x14ac:dyDescent="0.25">
      <c r="A3560" s="879"/>
      <c r="B3560" s="1448" t="s">
        <v>1652</v>
      </c>
    </row>
    <row r="3561" spans="1:2" x14ac:dyDescent="0.25">
      <c r="A3561" s="879"/>
      <c r="B3561" s="1448" t="s">
        <v>1451</v>
      </c>
    </row>
    <row r="3562" spans="1:2" x14ac:dyDescent="0.25">
      <c r="A3562" s="879"/>
      <c r="B3562" s="1448" t="s">
        <v>2193</v>
      </c>
    </row>
    <row r="3563" spans="1:2" x14ac:dyDescent="0.25">
      <c r="A3563" s="879"/>
      <c r="B3563" s="1448" t="s">
        <v>1653</v>
      </c>
    </row>
    <row r="3564" spans="1:2" x14ac:dyDescent="0.25">
      <c r="A3564" s="879"/>
      <c r="B3564" s="1448" t="s">
        <v>1654</v>
      </c>
    </row>
    <row r="3565" spans="1:2" x14ac:dyDescent="0.25">
      <c r="A3565" s="879"/>
      <c r="B3565" s="1448" t="s">
        <v>1452</v>
      </c>
    </row>
    <row r="3566" spans="1:2" x14ac:dyDescent="0.25">
      <c r="A3566" s="879"/>
      <c r="B3566" s="1448" t="s">
        <v>1484</v>
      </c>
    </row>
    <row r="3567" spans="1:2" x14ac:dyDescent="0.25">
      <c r="A3567" s="879"/>
      <c r="B3567" s="1448" t="s">
        <v>1453</v>
      </c>
    </row>
    <row r="3568" spans="1:2" x14ac:dyDescent="0.25">
      <c r="A3568" s="879"/>
      <c r="B3568" s="1448" t="s">
        <v>1516</v>
      </c>
    </row>
    <row r="3569" spans="1:2" x14ac:dyDescent="0.25">
      <c r="A3569" s="879"/>
      <c r="B3569" s="1448" t="s">
        <v>1655</v>
      </c>
    </row>
    <row r="3570" spans="1:2" x14ac:dyDescent="0.25">
      <c r="A3570" s="879"/>
      <c r="B3570" s="1448" t="s">
        <v>2194</v>
      </c>
    </row>
    <row r="3571" spans="1:2" x14ac:dyDescent="0.25">
      <c r="A3571" s="879"/>
      <c r="B3571" s="1448" t="s">
        <v>1454</v>
      </c>
    </row>
    <row r="3572" spans="1:2" x14ac:dyDescent="0.25">
      <c r="A3572" s="879"/>
      <c r="B3572" s="1448" t="s">
        <v>1365</v>
      </c>
    </row>
    <row r="3573" spans="1:2" x14ac:dyDescent="0.25">
      <c r="A3573" s="879"/>
      <c r="B3573" s="1448" t="s">
        <v>1448</v>
      </c>
    </row>
    <row r="3574" spans="1:2" x14ac:dyDescent="0.25">
      <c r="A3574" s="879"/>
      <c r="B3574" s="1448" t="s">
        <v>1449</v>
      </c>
    </row>
    <row r="3575" spans="1:2" x14ac:dyDescent="0.25">
      <c r="A3575" s="879"/>
      <c r="B3575" s="1448" t="s">
        <v>1450</v>
      </c>
    </row>
    <row r="3576" spans="1:2" x14ac:dyDescent="0.25">
      <c r="A3576" s="879"/>
      <c r="B3576" s="1448" t="s">
        <v>1650</v>
      </c>
    </row>
    <row r="3577" spans="1:2" x14ac:dyDescent="0.25">
      <c r="A3577" s="879"/>
      <c r="B3577" s="1448" t="s">
        <v>1651</v>
      </c>
    </row>
    <row r="3578" spans="1:2" x14ac:dyDescent="0.25">
      <c r="A3578" s="879"/>
      <c r="B3578" s="1448" t="s">
        <v>1515</v>
      </c>
    </row>
    <row r="3579" spans="1:2" x14ac:dyDescent="0.25">
      <c r="A3579" s="879"/>
      <c r="B3579" s="1448" t="s">
        <v>1652</v>
      </c>
    </row>
    <row r="3580" spans="1:2" x14ac:dyDescent="0.25">
      <c r="A3580" s="879"/>
      <c r="B3580" s="1448" t="s">
        <v>1451</v>
      </c>
    </row>
    <row r="3581" spans="1:2" x14ac:dyDescent="0.25">
      <c r="A3581" s="879"/>
      <c r="B3581" s="1448" t="s">
        <v>2193</v>
      </c>
    </row>
    <row r="3582" spans="1:2" x14ac:dyDescent="0.25">
      <c r="A3582" s="879"/>
      <c r="B3582" s="1448" t="s">
        <v>1653</v>
      </c>
    </row>
    <row r="3583" spans="1:2" x14ac:dyDescent="0.25">
      <c r="A3583" s="879"/>
      <c r="B3583" s="1448" t="s">
        <v>1654</v>
      </c>
    </row>
    <row r="3584" spans="1:2" x14ac:dyDescent="0.25">
      <c r="A3584" s="879"/>
      <c r="B3584" s="1448" t="s">
        <v>1452</v>
      </c>
    </row>
    <row r="3585" spans="1:2" x14ac:dyDescent="0.25">
      <c r="A3585" s="879"/>
      <c r="B3585" s="1448" t="s">
        <v>1484</v>
      </c>
    </row>
    <row r="3586" spans="1:2" x14ac:dyDescent="0.25">
      <c r="A3586" s="879"/>
      <c r="B3586" s="1448" t="s">
        <v>1453</v>
      </c>
    </row>
    <row r="3587" spans="1:2" x14ac:dyDescent="0.25">
      <c r="A3587" s="879"/>
      <c r="B3587" s="1448" t="s">
        <v>1516</v>
      </c>
    </row>
    <row r="3588" spans="1:2" x14ac:dyDescent="0.25">
      <c r="A3588" s="879"/>
      <c r="B3588" s="1448" t="s">
        <v>1655</v>
      </c>
    </row>
    <row r="3589" spans="1:2" x14ac:dyDescent="0.25">
      <c r="A3589" s="879"/>
      <c r="B3589" s="1448" t="s">
        <v>2194</v>
      </c>
    </row>
    <row r="3590" spans="1:2" x14ac:dyDescent="0.25">
      <c r="A3590" s="879"/>
      <c r="B3590" s="1448" t="s">
        <v>1656</v>
      </c>
    </row>
    <row r="3591" spans="1:2" x14ac:dyDescent="0.25">
      <c r="A3591" s="879"/>
      <c r="B3591" s="1448" t="s">
        <v>1365</v>
      </c>
    </row>
    <row r="3592" spans="1:2" x14ac:dyDescent="0.25">
      <c r="A3592" s="879"/>
      <c r="B3592" s="1448" t="s">
        <v>1657</v>
      </c>
    </row>
    <row r="3593" spans="1:2" x14ac:dyDescent="0.25">
      <c r="A3593" s="879"/>
      <c r="B3593" s="1448" t="s">
        <v>1658</v>
      </c>
    </row>
    <row r="3594" spans="1:2" x14ac:dyDescent="0.25">
      <c r="A3594" s="879"/>
      <c r="B3594" s="1448" t="s">
        <v>1659</v>
      </c>
    </row>
    <row r="3595" spans="1:2" x14ac:dyDescent="0.25">
      <c r="A3595" s="879"/>
      <c r="B3595" s="1448" t="s">
        <v>1660</v>
      </c>
    </row>
    <row r="3596" spans="1:2" x14ac:dyDescent="0.25">
      <c r="A3596" s="879"/>
      <c r="B3596" s="1448" t="s">
        <v>1661</v>
      </c>
    </row>
    <row r="3597" spans="1:2" x14ac:dyDescent="0.25">
      <c r="A3597" s="879"/>
      <c r="B3597" s="1448" t="s">
        <v>1662</v>
      </c>
    </row>
    <row r="3598" spans="1:2" x14ac:dyDescent="0.25">
      <c r="A3598" s="879"/>
      <c r="B3598" s="1448" t="s">
        <v>1663</v>
      </c>
    </row>
    <row r="3599" spans="1:2" x14ac:dyDescent="0.25">
      <c r="A3599" s="879"/>
      <c r="B3599" s="1448" t="s">
        <v>1664</v>
      </c>
    </row>
    <row r="3600" spans="1:2" x14ac:dyDescent="0.25">
      <c r="A3600" s="879"/>
      <c r="B3600" s="1448" t="s">
        <v>1665</v>
      </c>
    </row>
    <row r="3601" spans="1:2" x14ac:dyDescent="0.25">
      <c r="A3601" s="879"/>
      <c r="B3601" s="1448" t="s">
        <v>1666</v>
      </c>
    </row>
    <row r="3602" spans="1:2" x14ac:dyDescent="0.25">
      <c r="A3602" s="879"/>
      <c r="B3602" s="1448" t="s">
        <v>1667</v>
      </c>
    </row>
    <row r="3603" spans="1:2" x14ac:dyDescent="0.25">
      <c r="A3603" s="879"/>
      <c r="B3603" s="1448" t="s">
        <v>1668</v>
      </c>
    </row>
    <row r="3604" spans="1:2" x14ac:dyDescent="0.25">
      <c r="A3604" s="879"/>
      <c r="B3604" s="1448" t="s">
        <v>1669</v>
      </c>
    </row>
    <row r="3605" spans="1:2" x14ac:dyDescent="0.25">
      <c r="A3605" s="879"/>
      <c r="B3605" s="1448" t="s">
        <v>1670</v>
      </c>
    </row>
    <row r="3606" spans="1:2" x14ac:dyDescent="0.25">
      <c r="A3606" s="879"/>
      <c r="B3606" s="1448" t="s">
        <v>1671</v>
      </c>
    </row>
    <row r="3607" spans="1:2" x14ac:dyDescent="0.25">
      <c r="A3607" s="879"/>
      <c r="B3607" s="1448" t="s">
        <v>1769</v>
      </c>
    </row>
    <row r="3608" spans="1:2" x14ac:dyDescent="0.25">
      <c r="A3608" s="879"/>
      <c r="B3608" s="1448" t="s">
        <v>1365</v>
      </c>
    </row>
    <row r="3609" spans="1:2" x14ac:dyDescent="0.25">
      <c r="A3609" s="879"/>
      <c r="B3609" s="1448" t="s">
        <v>1770</v>
      </c>
    </row>
    <row r="3610" spans="1:2" x14ac:dyDescent="0.25">
      <c r="A3610" s="879"/>
      <c r="B3610" s="1448" t="s">
        <v>2480</v>
      </c>
    </row>
    <row r="3611" spans="1:2" x14ac:dyDescent="0.25">
      <c r="A3611" s="879"/>
      <c r="B3611" s="1448" t="s">
        <v>1772</v>
      </c>
    </row>
    <row r="3612" spans="1:2" x14ac:dyDescent="0.25">
      <c r="A3612" s="879"/>
      <c r="B3612" s="1448" t="s">
        <v>1365</v>
      </c>
    </row>
    <row r="3613" spans="1:2" x14ac:dyDescent="0.25">
      <c r="A3613" s="879"/>
      <c r="B3613" s="1448" t="s">
        <v>1773</v>
      </c>
    </row>
    <row r="3614" spans="1:2" x14ac:dyDescent="0.25">
      <c r="A3614" s="879"/>
      <c r="B3614" s="1448"/>
    </row>
    <row r="3615" spans="1:2" x14ac:dyDescent="0.25">
      <c r="A3615" s="879"/>
      <c r="B3615" s="1448"/>
    </row>
    <row r="3616" spans="1:2" x14ac:dyDescent="0.25">
      <c r="A3616" s="879"/>
      <c r="B3616" s="1448" t="s">
        <v>1366</v>
      </c>
    </row>
    <row r="3617" spans="1:2" x14ac:dyDescent="0.25">
      <c r="A3617" s="879"/>
      <c r="B3617" s="1448" t="s">
        <v>2481</v>
      </c>
    </row>
    <row r="3618" spans="1:2" x14ac:dyDescent="0.25">
      <c r="A3618" s="879"/>
      <c r="B3618" s="1448" t="s">
        <v>1366</v>
      </c>
    </row>
    <row r="3619" spans="1:2" x14ac:dyDescent="0.25">
      <c r="A3619" s="879"/>
      <c r="B3619" s="1448" t="s">
        <v>2482</v>
      </c>
    </row>
    <row r="3620" spans="1:2" x14ac:dyDescent="0.25">
      <c r="A3620" s="879"/>
      <c r="B3620" s="1448" t="s">
        <v>1365</v>
      </c>
    </row>
    <row r="3621" spans="1:2" x14ac:dyDescent="0.25">
      <c r="A3621" s="879"/>
      <c r="B3621" s="1448" t="s">
        <v>1367</v>
      </c>
    </row>
    <row r="3622" spans="1:2" x14ac:dyDescent="0.25">
      <c r="A3622" s="879"/>
      <c r="B3622" s="1448" t="s">
        <v>1368</v>
      </c>
    </row>
    <row r="3623" spans="1:2" x14ac:dyDescent="0.25">
      <c r="A3623" s="879"/>
      <c r="B3623" s="1448" t="s">
        <v>1365</v>
      </c>
    </row>
    <row r="3624" spans="1:2" x14ac:dyDescent="0.25">
      <c r="A3624" s="879"/>
      <c r="B3624" s="1448" t="s">
        <v>1458</v>
      </c>
    </row>
    <row r="3625" spans="1:2" x14ac:dyDescent="0.25">
      <c r="A3625" s="879"/>
      <c r="B3625" s="1448" t="s">
        <v>1459</v>
      </c>
    </row>
    <row r="3626" spans="1:2" x14ac:dyDescent="0.25">
      <c r="A3626" s="879"/>
      <c r="B3626" s="1448" t="s">
        <v>1508</v>
      </c>
    </row>
    <row r="3627" spans="1:2" x14ac:dyDescent="0.25">
      <c r="A3627" s="879"/>
      <c r="B3627" s="1448" t="s">
        <v>2483</v>
      </c>
    </row>
    <row r="3628" spans="1:2" x14ac:dyDescent="0.25">
      <c r="A3628" s="879"/>
      <c r="B3628" s="1448" t="s">
        <v>2484</v>
      </c>
    </row>
    <row r="3629" spans="1:2" x14ac:dyDescent="0.25">
      <c r="A3629" s="879"/>
      <c r="B3629" s="1448" t="s">
        <v>2485</v>
      </c>
    </row>
    <row r="3630" spans="1:2" x14ac:dyDescent="0.25">
      <c r="A3630" s="879"/>
      <c r="B3630" s="1448" t="s">
        <v>2486</v>
      </c>
    </row>
    <row r="3631" spans="1:2" x14ac:dyDescent="0.25">
      <c r="A3631" s="879"/>
      <c r="B3631" s="1448" t="s">
        <v>2487</v>
      </c>
    </row>
    <row r="3632" spans="1:2" x14ac:dyDescent="0.25">
      <c r="A3632" s="879"/>
      <c r="B3632" s="1448" t="s">
        <v>2488</v>
      </c>
    </row>
    <row r="3633" spans="1:2" x14ac:dyDescent="0.25">
      <c r="A3633" s="879"/>
      <c r="B3633" s="1448" t="s">
        <v>2489</v>
      </c>
    </row>
    <row r="3634" spans="1:2" x14ac:dyDescent="0.25">
      <c r="A3634" s="879"/>
      <c r="B3634" s="1448" t="s">
        <v>1460</v>
      </c>
    </row>
    <row r="3635" spans="1:2" x14ac:dyDescent="0.25">
      <c r="A3635" s="879"/>
      <c r="B3635" s="1448" t="s">
        <v>1380</v>
      </c>
    </row>
    <row r="3636" spans="1:2" x14ac:dyDescent="0.25">
      <c r="A3636" s="879"/>
      <c r="B3636" s="1448" t="s">
        <v>1365</v>
      </c>
    </row>
    <row r="3637" spans="1:2" x14ac:dyDescent="0.25">
      <c r="A3637" s="879"/>
      <c r="B3637" s="1448" t="s">
        <v>1458</v>
      </c>
    </row>
    <row r="3638" spans="1:2" x14ac:dyDescent="0.25">
      <c r="A3638" s="879"/>
      <c r="B3638" s="1448" t="s">
        <v>2490</v>
      </c>
    </row>
    <row r="3639" spans="1:2" x14ac:dyDescent="0.25">
      <c r="A3639" s="879"/>
      <c r="B3639" s="1448" t="s">
        <v>2491</v>
      </c>
    </row>
    <row r="3640" spans="1:2" x14ac:dyDescent="0.25">
      <c r="A3640" s="879"/>
      <c r="B3640" s="1448" t="s">
        <v>2492</v>
      </c>
    </row>
    <row r="3641" spans="1:2" x14ac:dyDescent="0.25">
      <c r="A3641" s="879"/>
      <c r="B3641" s="1448" t="s">
        <v>2493</v>
      </c>
    </row>
    <row r="3642" spans="1:2" x14ac:dyDescent="0.25">
      <c r="A3642" s="879"/>
      <c r="B3642" s="1448" t="s">
        <v>2494</v>
      </c>
    </row>
    <row r="3643" spans="1:2" x14ac:dyDescent="0.25">
      <c r="A3643" s="879"/>
      <c r="B3643" s="1448" t="s">
        <v>2495</v>
      </c>
    </row>
    <row r="3644" spans="1:2" x14ac:dyDescent="0.25">
      <c r="A3644" s="879"/>
      <c r="B3644" s="1448" t="s">
        <v>2496</v>
      </c>
    </row>
    <row r="3645" spans="1:2" x14ac:dyDescent="0.25">
      <c r="A3645" s="879"/>
      <c r="B3645" s="1448" t="s">
        <v>2497</v>
      </c>
    </row>
    <row r="3646" spans="1:2" x14ac:dyDescent="0.25">
      <c r="A3646" s="879"/>
      <c r="B3646" s="1448" t="s">
        <v>2498</v>
      </c>
    </row>
    <row r="3647" spans="1:2" x14ac:dyDescent="0.25">
      <c r="A3647" s="879"/>
      <c r="B3647" s="1448" t="s">
        <v>2499</v>
      </c>
    </row>
    <row r="3648" spans="1:2" x14ac:dyDescent="0.25">
      <c r="A3648" s="879"/>
      <c r="B3648" s="1448" t="s">
        <v>1464</v>
      </c>
    </row>
    <row r="3649" spans="1:2" x14ac:dyDescent="0.25">
      <c r="A3649" s="879"/>
      <c r="B3649" s="1448" t="s">
        <v>1465</v>
      </c>
    </row>
    <row r="3650" spans="1:2" x14ac:dyDescent="0.25">
      <c r="A3650" s="879"/>
      <c r="B3650" s="1448" t="s">
        <v>1466</v>
      </c>
    </row>
    <row r="3651" spans="1:2" x14ac:dyDescent="0.25">
      <c r="A3651" s="879"/>
      <c r="B3651" s="1448" t="s">
        <v>1467</v>
      </c>
    </row>
    <row r="3652" spans="1:2" x14ac:dyDescent="0.25">
      <c r="A3652" s="879"/>
      <c r="B3652" s="1448" t="s">
        <v>2500</v>
      </c>
    </row>
    <row r="3653" spans="1:2" x14ac:dyDescent="0.25">
      <c r="A3653" s="879"/>
      <c r="B3653" s="1448" t="s">
        <v>2501</v>
      </c>
    </row>
    <row r="3654" spans="1:2" x14ac:dyDescent="0.25">
      <c r="A3654" s="879"/>
      <c r="B3654" s="1448" t="s">
        <v>2502</v>
      </c>
    </row>
    <row r="3655" spans="1:2" x14ac:dyDescent="0.25">
      <c r="A3655" s="879"/>
      <c r="B3655" s="1448" t="s">
        <v>2503</v>
      </c>
    </row>
    <row r="3656" spans="1:2" x14ac:dyDescent="0.25">
      <c r="A3656" s="879"/>
      <c r="B3656" s="1448" t="s">
        <v>2504</v>
      </c>
    </row>
    <row r="3657" spans="1:2" x14ac:dyDescent="0.25">
      <c r="A3657" s="879"/>
      <c r="B3657" s="1448" t="s">
        <v>1469</v>
      </c>
    </row>
    <row r="3658" spans="1:2" x14ac:dyDescent="0.25">
      <c r="A3658" s="879"/>
      <c r="B3658" s="1448" t="s">
        <v>2505</v>
      </c>
    </row>
    <row r="3659" spans="1:2" x14ac:dyDescent="0.25">
      <c r="A3659" s="879"/>
      <c r="B3659" s="1448" t="s">
        <v>2506</v>
      </c>
    </row>
    <row r="3660" spans="1:2" x14ac:dyDescent="0.25">
      <c r="A3660" s="879"/>
      <c r="B3660" s="1448" t="s">
        <v>1471</v>
      </c>
    </row>
    <row r="3661" spans="1:2" x14ac:dyDescent="0.25">
      <c r="A3661" s="879"/>
      <c r="B3661" s="1448" t="s">
        <v>2507</v>
      </c>
    </row>
    <row r="3662" spans="1:2" x14ac:dyDescent="0.25">
      <c r="A3662" s="879"/>
      <c r="B3662" s="1448" t="s">
        <v>2508</v>
      </c>
    </row>
    <row r="3663" spans="1:2" x14ac:dyDescent="0.25">
      <c r="A3663" s="879"/>
      <c r="B3663" s="1448" t="s">
        <v>2509</v>
      </c>
    </row>
    <row r="3664" spans="1:2" x14ac:dyDescent="0.25">
      <c r="A3664" s="879"/>
      <c r="B3664" s="1448" t="s">
        <v>2510</v>
      </c>
    </row>
    <row r="3665" spans="1:2" x14ac:dyDescent="0.25">
      <c r="A3665" s="879"/>
      <c r="B3665" s="1448" t="s">
        <v>1474</v>
      </c>
    </row>
    <row r="3666" spans="1:2" x14ac:dyDescent="0.25">
      <c r="A3666" s="879"/>
      <c r="B3666" s="1448" t="s">
        <v>1475</v>
      </c>
    </row>
    <row r="3667" spans="1:2" x14ac:dyDescent="0.25">
      <c r="A3667" s="879"/>
      <c r="B3667" s="1448" t="s">
        <v>1476</v>
      </c>
    </row>
    <row r="3668" spans="1:2" x14ac:dyDescent="0.25">
      <c r="A3668" s="879"/>
      <c r="B3668" s="1448" t="s">
        <v>2511</v>
      </c>
    </row>
    <row r="3669" spans="1:2" x14ac:dyDescent="0.25">
      <c r="A3669" s="879"/>
      <c r="B3669" s="1448" t="s">
        <v>2512</v>
      </c>
    </row>
    <row r="3670" spans="1:2" x14ac:dyDescent="0.25">
      <c r="A3670" s="879"/>
      <c r="B3670" s="1448" t="s">
        <v>1477</v>
      </c>
    </row>
    <row r="3671" spans="1:2" x14ac:dyDescent="0.25">
      <c r="A3671" s="879"/>
      <c r="B3671" s="1448" t="s">
        <v>1478</v>
      </c>
    </row>
    <row r="3672" spans="1:2" x14ac:dyDescent="0.25">
      <c r="A3672" s="879"/>
      <c r="B3672" s="1448" t="s">
        <v>2513</v>
      </c>
    </row>
    <row r="3673" spans="1:2" x14ac:dyDescent="0.25">
      <c r="A3673" s="879"/>
      <c r="B3673" s="1448" t="s">
        <v>2514</v>
      </c>
    </row>
    <row r="3674" spans="1:2" x14ac:dyDescent="0.25">
      <c r="A3674" s="879"/>
      <c r="B3674" s="1448" t="s">
        <v>2515</v>
      </c>
    </row>
    <row r="3675" spans="1:2" x14ac:dyDescent="0.25">
      <c r="A3675" s="879"/>
      <c r="B3675" s="1448" t="s">
        <v>2516</v>
      </c>
    </row>
    <row r="3676" spans="1:2" x14ac:dyDescent="0.25">
      <c r="A3676" s="879"/>
      <c r="B3676" s="1448" t="s">
        <v>2517</v>
      </c>
    </row>
    <row r="3677" spans="1:2" x14ac:dyDescent="0.25">
      <c r="A3677" s="879"/>
      <c r="B3677" s="1448" t="s">
        <v>2518</v>
      </c>
    </row>
    <row r="3678" spans="1:2" x14ac:dyDescent="0.25">
      <c r="A3678" s="879"/>
      <c r="B3678" s="1448" t="s">
        <v>2519</v>
      </c>
    </row>
    <row r="3679" spans="1:2" x14ac:dyDescent="0.25">
      <c r="A3679" s="879"/>
      <c r="B3679" s="1448" t="s">
        <v>2520</v>
      </c>
    </row>
    <row r="3680" spans="1:2" x14ac:dyDescent="0.25">
      <c r="A3680" s="879"/>
      <c r="B3680" s="1448" t="s">
        <v>2521</v>
      </c>
    </row>
    <row r="3681" spans="1:2" x14ac:dyDescent="0.25">
      <c r="A3681" s="879"/>
      <c r="B3681" s="1448" t="s">
        <v>1479</v>
      </c>
    </row>
    <row r="3682" spans="1:2" x14ac:dyDescent="0.25">
      <c r="A3682" s="879"/>
      <c r="B3682" s="1448" t="s">
        <v>1480</v>
      </c>
    </row>
    <row r="3683" spans="1:2" x14ac:dyDescent="0.25">
      <c r="A3683" s="879"/>
      <c r="B3683" s="1448" t="s">
        <v>1481</v>
      </c>
    </row>
    <row r="3684" spans="1:2" x14ac:dyDescent="0.25">
      <c r="A3684" s="879"/>
      <c r="B3684" s="1448" t="s">
        <v>1482</v>
      </c>
    </row>
    <row r="3685" spans="1:2" x14ac:dyDescent="0.25">
      <c r="A3685" s="879"/>
      <c r="B3685" s="1448" t="s">
        <v>1428</v>
      </c>
    </row>
    <row r="3686" spans="1:2" x14ac:dyDescent="0.25">
      <c r="A3686" s="879"/>
      <c r="B3686" s="1448" t="s">
        <v>1365</v>
      </c>
    </row>
    <row r="3687" spans="1:2" x14ac:dyDescent="0.25">
      <c r="A3687" s="879"/>
      <c r="B3687" s="1448" t="s">
        <v>1447</v>
      </c>
    </row>
    <row r="3688" spans="1:2" x14ac:dyDescent="0.25">
      <c r="A3688" s="879"/>
      <c r="B3688" s="1448" t="s">
        <v>1365</v>
      </c>
    </row>
    <row r="3689" spans="1:2" x14ac:dyDescent="0.25">
      <c r="A3689" s="879"/>
      <c r="B3689" s="1448" t="s">
        <v>1448</v>
      </c>
    </row>
    <row r="3690" spans="1:2" x14ac:dyDescent="0.25">
      <c r="A3690" s="879"/>
      <c r="B3690" s="1448" t="s">
        <v>1449</v>
      </c>
    </row>
    <row r="3691" spans="1:2" x14ac:dyDescent="0.25">
      <c r="A3691" s="879"/>
      <c r="B3691" s="1448" t="s">
        <v>2522</v>
      </c>
    </row>
    <row r="3692" spans="1:2" x14ac:dyDescent="0.25">
      <c r="A3692" s="879"/>
      <c r="B3692" s="1448" t="s">
        <v>1650</v>
      </c>
    </row>
    <row r="3693" spans="1:2" x14ac:dyDescent="0.25">
      <c r="A3693" s="879"/>
      <c r="B3693" s="1448" t="s">
        <v>1651</v>
      </c>
    </row>
    <row r="3694" spans="1:2" x14ac:dyDescent="0.25">
      <c r="A3694" s="879"/>
      <c r="B3694" s="1448" t="s">
        <v>1515</v>
      </c>
    </row>
    <row r="3695" spans="1:2" x14ac:dyDescent="0.25">
      <c r="A3695" s="879"/>
      <c r="B3695" s="1448" t="s">
        <v>1652</v>
      </c>
    </row>
    <row r="3696" spans="1:2" x14ac:dyDescent="0.25">
      <c r="A3696" s="879"/>
      <c r="B3696" s="1448" t="s">
        <v>1451</v>
      </c>
    </row>
    <row r="3697" spans="1:2" x14ac:dyDescent="0.25">
      <c r="A3697" s="879"/>
      <c r="B3697" s="1448" t="s">
        <v>1483</v>
      </c>
    </row>
    <row r="3698" spans="1:2" x14ac:dyDescent="0.25">
      <c r="A3698" s="879"/>
      <c r="B3698" s="1448" t="s">
        <v>1653</v>
      </c>
    </row>
    <row r="3699" spans="1:2" x14ac:dyDescent="0.25">
      <c r="A3699" s="879"/>
      <c r="B3699" s="1448" t="s">
        <v>1654</v>
      </c>
    </row>
    <row r="3700" spans="1:2" x14ac:dyDescent="0.25">
      <c r="A3700" s="879"/>
      <c r="B3700" s="1448" t="s">
        <v>1452</v>
      </c>
    </row>
    <row r="3701" spans="1:2" x14ac:dyDescent="0.25">
      <c r="A3701" s="879"/>
      <c r="B3701" s="1448" t="s">
        <v>1484</v>
      </c>
    </row>
    <row r="3702" spans="1:2" x14ac:dyDescent="0.25">
      <c r="A3702" s="879"/>
      <c r="B3702" s="1448" t="s">
        <v>1453</v>
      </c>
    </row>
    <row r="3703" spans="1:2" x14ac:dyDescent="0.25">
      <c r="A3703" s="879"/>
      <c r="B3703" s="1448" t="s">
        <v>1516</v>
      </c>
    </row>
    <row r="3704" spans="1:2" x14ac:dyDescent="0.25">
      <c r="A3704" s="879"/>
      <c r="B3704" s="1448" t="s">
        <v>1655</v>
      </c>
    </row>
    <row r="3705" spans="1:2" x14ac:dyDescent="0.25">
      <c r="A3705" s="879"/>
      <c r="B3705" s="1448" t="s">
        <v>2523</v>
      </c>
    </row>
    <row r="3706" spans="1:2" x14ac:dyDescent="0.25">
      <c r="A3706" s="879"/>
      <c r="B3706" s="1448" t="s">
        <v>1454</v>
      </c>
    </row>
    <row r="3707" spans="1:2" x14ac:dyDescent="0.25">
      <c r="A3707" s="879"/>
      <c r="B3707" s="1448" t="s">
        <v>1365</v>
      </c>
    </row>
    <row r="3708" spans="1:2" x14ac:dyDescent="0.25">
      <c r="A3708" s="879"/>
      <c r="B3708" s="1448" t="s">
        <v>1448</v>
      </c>
    </row>
    <row r="3709" spans="1:2" x14ac:dyDescent="0.25">
      <c r="A3709" s="879"/>
      <c r="B3709" s="1448" t="s">
        <v>1449</v>
      </c>
    </row>
    <row r="3710" spans="1:2" x14ac:dyDescent="0.25">
      <c r="A3710" s="879"/>
      <c r="B3710" s="1448" t="s">
        <v>2522</v>
      </c>
    </row>
    <row r="3711" spans="1:2" x14ac:dyDescent="0.25">
      <c r="A3711" s="879"/>
      <c r="B3711" s="1448" t="s">
        <v>1650</v>
      </c>
    </row>
    <row r="3712" spans="1:2" x14ac:dyDescent="0.25">
      <c r="A3712" s="879"/>
      <c r="B3712" s="1448" t="s">
        <v>1651</v>
      </c>
    </row>
    <row r="3713" spans="1:2" x14ac:dyDescent="0.25">
      <c r="A3713" s="879"/>
      <c r="B3713" s="1448" t="s">
        <v>1515</v>
      </c>
    </row>
    <row r="3714" spans="1:2" x14ac:dyDescent="0.25">
      <c r="A3714" s="879"/>
      <c r="B3714" s="1448" t="s">
        <v>1652</v>
      </c>
    </row>
    <row r="3715" spans="1:2" x14ac:dyDescent="0.25">
      <c r="A3715" s="879"/>
      <c r="B3715" s="1448" t="s">
        <v>1451</v>
      </c>
    </row>
    <row r="3716" spans="1:2" x14ac:dyDescent="0.25">
      <c r="A3716" s="879"/>
      <c r="B3716" s="1448" t="s">
        <v>1483</v>
      </c>
    </row>
    <row r="3717" spans="1:2" x14ac:dyDescent="0.25">
      <c r="A3717" s="879"/>
      <c r="B3717" s="1448" t="s">
        <v>1653</v>
      </c>
    </row>
    <row r="3718" spans="1:2" x14ac:dyDescent="0.25">
      <c r="A3718" s="879"/>
      <c r="B3718" s="1448" t="s">
        <v>1654</v>
      </c>
    </row>
    <row r="3719" spans="1:2" x14ac:dyDescent="0.25">
      <c r="A3719" s="879"/>
      <c r="B3719" s="1448" t="s">
        <v>1452</v>
      </c>
    </row>
    <row r="3720" spans="1:2" x14ac:dyDescent="0.25">
      <c r="A3720" s="879"/>
      <c r="B3720" s="1448" t="s">
        <v>1484</v>
      </c>
    </row>
    <row r="3721" spans="1:2" x14ac:dyDescent="0.25">
      <c r="A3721" s="879"/>
      <c r="B3721" s="1448" t="s">
        <v>1453</v>
      </c>
    </row>
    <row r="3722" spans="1:2" x14ac:dyDescent="0.25">
      <c r="A3722" s="879"/>
      <c r="B3722" s="1448" t="s">
        <v>1516</v>
      </c>
    </row>
    <row r="3723" spans="1:2" x14ac:dyDescent="0.25">
      <c r="A3723" s="879"/>
      <c r="B3723" s="1448" t="s">
        <v>1655</v>
      </c>
    </row>
    <row r="3724" spans="1:2" x14ac:dyDescent="0.25">
      <c r="A3724" s="879"/>
      <c r="B3724" s="1448" t="s">
        <v>2523</v>
      </c>
    </row>
    <row r="3725" spans="1:2" x14ac:dyDescent="0.25">
      <c r="A3725" s="879"/>
      <c r="B3725" s="1448" t="s">
        <v>1656</v>
      </c>
    </row>
    <row r="3726" spans="1:2" x14ac:dyDescent="0.25">
      <c r="A3726" s="879"/>
      <c r="B3726" s="1448" t="s">
        <v>1365</v>
      </c>
    </row>
    <row r="3727" spans="1:2" x14ac:dyDescent="0.25">
      <c r="A3727" s="879"/>
      <c r="B3727" s="1448" t="s">
        <v>1657</v>
      </c>
    </row>
    <row r="3728" spans="1:2" x14ac:dyDescent="0.25">
      <c r="A3728" s="879"/>
      <c r="B3728" s="1448" t="s">
        <v>1658</v>
      </c>
    </row>
    <row r="3729" spans="1:2" x14ac:dyDescent="0.25">
      <c r="A3729" s="879"/>
      <c r="B3729" s="1448" t="s">
        <v>1659</v>
      </c>
    </row>
    <row r="3730" spans="1:2" x14ac:dyDescent="0.25">
      <c r="A3730" s="879"/>
      <c r="B3730" s="1448" t="s">
        <v>1660</v>
      </c>
    </row>
    <row r="3731" spans="1:2" x14ac:dyDescent="0.25">
      <c r="A3731" s="879"/>
      <c r="B3731" s="1448" t="s">
        <v>1661</v>
      </c>
    </row>
    <row r="3732" spans="1:2" x14ac:dyDescent="0.25">
      <c r="A3732" s="879"/>
      <c r="B3732" s="1448" t="s">
        <v>1662</v>
      </c>
    </row>
    <row r="3733" spans="1:2" x14ac:dyDescent="0.25">
      <c r="A3733" s="879"/>
      <c r="B3733" s="1448" t="s">
        <v>1663</v>
      </c>
    </row>
    <row r="3734" spans="1:2" x14ac:dyDescent="0.25">
      <c r="A3734" s="879"/>
      <c r="B3734" s="1448" t="s">
        <v>1664</v>
      </c>
    </row>
    <row r="3735" spans="1:2" x14ac:dyDescent="0.25">
      <c r="A3735" s="879"/>
      <c r="B3735" s="1448" t="s">
        <v>1665</v>
      </c>
    </row>
    <row r="3736" spans="1:2" x14ac:dyDescent="0.25">
      <c r="A3736" s="879"/>
      <c r="B3736" s="1448" t="s">
        <v>1666</v>
      </c>
    </row>
    <row r="3737" spans="1:2" x14ac:dyDescent="0.25">
      <c r="A3737" s="879"/>
      <c r="B3737" s="1448" t="s">
        <v>1667</v>
      </c>
    </row>
    <row r="3738" spans="1:2" x14ac:dyDescent="0.25">
      <c r="A3738" s="879"/>
      <c r="B3738" s="1448" t="s">
        <v>1668</v>
      </c>
    </row>
    <row r="3739" spans="1:2" x14ac:dyDescent="0.25">
      <c r="A3739" s="879"/>
      <c r="B3739" s="1448" t="s">
        <v>1669</v>
      </c>
    </row>
    <row r="3740" spans="1:2" x14ac:dyDescent="0.25">
      <c r="A3740" s="879"/>
      <c r="B3740" s="1448" t="s">
        <v>1670</v>
      </c>
    </row>
    <row r="3741" spans="1:2" x14ac:dyDescent="0.25">
      <c r="A3741" s="879"/>
      <c r="B3741" s="1448" t="s">
        <v>1671</v>
      </c>
    </row>
    <row r="3742" spans="1:2" x14ac:dyDescent="0.25">
      <c r="A3742" s="879"/>
      <c r="B3742" s="1448" t="s">
        <v>1769</v>
      </c>
    </row>
    <row r="3743" spans="1:2" x14ac:dyDescent="0.25">
      <c r="A3743" s="879"/>
      <c r="B3743" s="1448" t="s">
        <v>1365</v>
      </c>
    </row>
    <row r="3744" spans="1:2" x14ac:dyDescent="0.25">
      <c r="A3744" s="879"/>
      <c r="B3744" s="1448" t="s">
        <v>1770</v>
      </c>
    </row>
    <row r="3745" spans="1:2" x14ac:dyDescent="0.25">
      <c r="A3745" s="879"/>
      <c r="B3745" s="1448" t="s">
        <v>2524</v>
      </c>
    </row>
    <row r="3746" spans="1:2" x14ac:dyDescent="0.25">
      <c r="A3746" s="879"/>
      <c r="B3746" s="1448" t="s">
        <v>2525</v>
      </c>
    </row>
    <row r="3747" spans="1:2" x14ac:dyDescent="0.25">
      <c r="A3747" s="879"/>
      <c r="B3747" s="1448" t="s">
        <v>1772</v>
      </c>
    </row>
    <row r="3748" spans="1:2" x14ac:dyDescent="0.25">
      <c r="A3748" s="879"/>
      <c r="B3748" s="1448" t="s">
        <v>1365</v>
      </c>
    </row>
    <row r="3749" spans="1:2" x14ac:dyDescent="0.25">
      <c r="A3749" s="879"/>
      <c r="B3749" s="1448" t="s">
        <v>1773</v>
      </c>
    </row>
    <row r="3750" spans="1:2" x14ac:dyDescent="0.25">
      <c r="A3750" s="879"/>
      <c r="B3750" s="1448"/>
    </row>
    <row r="3751" spans="1:2" x14ac:dyDescent="0.25">
      <c r="A3751" s="879"/>
      <c r="B3751" s="1448"/>
    </row>
    <row r="3752" spans="1:2" x14ac:dyDescent="0.25">
      <c r="A3752" s="879"/>
      <c r="B3752" s="1448" t="s">
        <v>1366</v>
      </c>
    </row>
    <row r="3753" spans="1:2" x14ac:dyDescent="0.25">
      <c r="A3753" s="879"/>
      <c r="B3753" s="1448" t="s">
        <v>2526</v>
      </c>
    </row>
    <row r="3754" spans="1:2" x14ac:dyDescent="0.25">
      <c r="A3754" s="879"/>
      <c r="B3754" s="1448" t="s">
        <v>1366</v>
      </c>
    </row>
    <row r="3755" spans="1:2" x14ac:dyDescent="0.25">
      <c r="A3755" s="879"/>
      <c r="B3755" s="1448" t="s">
        <v>2527</v>
      </c>
    </row>
    <row r="3756" spans="1:2" x14ac:dyDescent="0.25">
      <c r="A3756" s="879"/>
      <c r="B3756" s="1448" t="s">
        <v>1365</v>
      </c>
    </row>
    <row r="3757" spans="1:2" x14ac:dyDescent="0.25">
      <c r="A3757" s="879"/>
      <c r="B3757" s="1448" t="s">
        <v>1367</v>
      </c>
    </row>
    <row r="3758" spans="1:2" x14ac:dyDescent="0.25">
      <c r="A3758" s="879"/>
      <c r="B3758" s="1448" t="s">
        <v>1368</v>
      </c>
    </row>
    <row r="3759" spans="1:2" x14ac:dyDescent="0.25">
      <c r="A3759" s="879"/>
      <c r="B3759" s="1448" t="s">
        <v>1365</v>
      </c>
    </row>
    <row r="3760" spans="1:2" x14ac:dyDescent="0.25">
      <c r="A3760" s="879"/>
      <c r="B3760" s="1448" t="s">
        <v>1517</v>
      </c>
    </row>
    <row r="3761" spans="1:2" x14ac:dyDescent="0.25">
      <c r="A3761" s="879"/>
      <c r="B3761" s="1448" t="s">
        <v>2528</v>
      </c>
    </row>
    <row r="3762" spans="1:2" x14ac:dyDescent="0.25">
      <c r="A3762" s="879"/>
      <c r="B3762" s="1448" t="s">
        <v>2529</v>
      </c>
    </row>
    <row r="3763" spans="1:2" x14ac:dyDescent="0.25">
      <c r="A3763" s="879"/>
      <c r="B3763" s="1448" t="s">
        <v>2530</v>
      </c>
    </row>
    <row r="3764" spans="1:2" x14ac:dyDescent="0.25">
      <c r="A3764" s="879"/>
      <c r="B3764" s="1448" t="s">
        <v>2531</v>
      </c>
    </row>
    <row r="3765" spans="1:2" x14ac:dyDescent="0.25">
      <c r="A3765" s="879"/>
      <c r="B3765" s="1448" t="s">
        <v>2532</v>
      </c>
    </row>
    <row r="3766" spans="1:2" x14ac:dyDescent="0.25">
      <c r="A3766" s="879"/>
      <c r="B3766" s="1448" t="s">
        <v>2533</v>
      </c>
    </row>
    <row r="3767" spans="1:2" x14ac:dyDescent="0.25">
      <c r="A3767" s="879"/>
      <c r="B3767" s="1448" t="s">
        <v>2534</v>
      </c>
    </row>
    <row r="3768" spans="1:2" x14ac:dyDescent="0.25">
      <c r="A3768" s="879"/>
      <c r="B3768" s="1448" t="s">
        <v>2535</v>
      </c>
    </row>
    <row r="3769" spans="1:2" x14ac:dyDescent="0.25">
      <c r="A3769" s="879"/>
      <c r="B3769" s="1448" t="s">
        <v>2536</v>
      </c>
    </row>
    <row r="3770" spans="1:2" x14ac:dyDescent="0.25">
      <c r="A3770" s="879"/>
      <c r="B3770" s="1448" t="s">
        <v>2537</v>
      </c>
    </row>
    <row r="3771" spans="1:2" x14ac:dyDescent="0.25">
      <c r="A3771" s="879"/>
      <c r="B3771" s="1448" t="s">
        <v>1380</v>
      </c>
    </row>
    <row r="3772" spans="1:2" x14ac:dyDescent="0.25">
      <c r="A3772" s="879"/>
      <c r="B3772" s="1448" t="s">
        <v>1365</v>
      </c>
    </row>
    <row r="3773" spans="1:2" x14ac:dyDescent="0.25">
      <c r="A3773" s="879"/>
      <c r="B3773" s="1448" t="s">
        <v>1517</v>
      </c>
    </row>
    <row r="3774" spans="1:2" x14ac:dyDescent="0.25">
      <c r="A3774" s="879"/>
      <c r="B3774" s="1448" t="s">
        <v>2538</v>
      </c>
    </row>
    <row r="3775" spans="1:2" x14ac:dyDescent="0.25">
      <c r="A3775" s="879"/>
      <c r="B3775" s="1448" t="s">
        <v>2539</v>
      </c>
    </row>
    <row r="3776" spans="1:2" x14ac:dyDescent="0.25">
      <c r="A3776" s="879"/>
      <c r="B3776" s="1448" t="s">
        <v>2540</v>
      </c>
    </row>
    <row r="3777" spans="1:2" x14ac:dyDescent="0.25">
      <c r="A3777" s="879"/>
      <c r="B3777" s="1448" t="s">
        <v>2541</v>
      </c>
    </row>
    <row r="3778" spans="1:2" x14ac:dyDescent="0.25">
      <c r="A3778" s="879"/>
      <c r="B3778" s="1448" t="s">
        <v>2542</v>
      </c>
    </row>
    <row r="3779" spans="1:2" x14ac:dyDescent="0.25">
      <c r="A3779" s="879"/>
      <c r="B3779" s="1448" t="s">
        <v>2543</v>
      </c>
    </row>
    <row r="3780" spans="1:2" x14ac:dyDescent="0.25">
      <c r="A3780" s="879"/>
      <c r="B3780" s="1448" t="s">
        <v>2544</v>
      </c>
    </row>
    <row r="3781" spans="1:2" x14ac:dyDescent="0.25">
      <c r="A3781" s="879"/>
      <c r="B3781" s="1448" t="s">
        <v>2545</v>
      </c>
    </row>
    <row r="3782" spans="1:2" x14ac:dyDescent="0.25">
      <c r="A3782" s="879"/>
      <c r="B3782" s="1448" t="s">
        <v>2546</v>
      </c>
    </row>
    <row r="3783" spans="1:2" x14ac:dyDescent="0.25">
      <c r="A3783" s="879"/>
      <c r="B3783" s="1448" t="s">
        <v>1520</v>
      </c>
    </row>
    <row r="3784" spans="1:2" x14ac:dyDescent="0.25">
      <c r="A3784" s="879"/>
      <c r="B3784" s="1448" t="s">
        <v>2547</v>
      </c>
    </row>
    <row r="3785" spans="1:2" x14ac:dyDescent="0.25">
      <c r="A3785" s="879"/>
      <c r="B3785" s="1448" t="s">
        <v>2548</v>
      </c>
    </row>
    <row r="3786" spans="1:2" x14ac:dyDescent="0.25">
      <c r="A3786" s="879"/>
      <c r="B3786" s="1448" t="s">
        <v>1523</v>
      </c>
    </row>
    <row r="3787" spans="1:2" x14ac:dyDescent="0.25">
      <c r="A3787" s="879"/>
      <c r="B3787" s="1448" t="s">
        <v>1524</v>
      </c>
    </row>
    <row r="3788" spans="1:2" x14ac:dyDescent="0.25">
      <c r="A3788" s="879"/>
      <c r="B3788" s="1448" t="s">
        <v>2549</v>
      </c>
    </row>
    <row r="3789" spans="1:2" x14ac:dyDescent="0.25">
      <c r="A3789" s="879"/>
      <c r="B3789" s="1448" t="s">
        <v>2550</v>
      </c>
    </row>
    <row r="3790" spans="1:2" x14ac:dyDescent="0.25">
      <c r="A3790" s="879"/>
      <c r="B3790" s="1448" t="s">
        <v>2551</v>
      </c>
    </row>
    <row r="3791" spans="1:2" x14ac:dyDescent="0.25">
      <c r="A3791" s="879"/>
      <c r="B3791" s="1448" t="s">
        <v>2552</v>
      </c>
    </row>
    <row r="3792" spans="1:2" x14ac:dyDescent="0.25">
      <c r="A3792" s="879"/>
      <c r="B3792" s="1448" t="s">
        <v>2553</v>
      </c>
    </row>
    <row r="3793" spans="1:2" x14ac:dyDescent="0.25">
      <c r="A3793" s="879"/>
      <c r="B3793" s="1448" t="s">
        <v>2554</v>
      </c>
    </row>
    <row r="3794" spans="1:2" x14ac:dyDescent="0.25">
      <c r="A3794" s="879"/>
      <c r="B3794" s="1448" t="s">
        <v>2555</v>
      </c>
    </row>
    <row r="3795" spans="1:2" x14ac:dyDescent="0.25">
      <c r="A3795" s="879"/>
      <c r="B3795" s="1448" t="s">
        <v>2556</v>
      </c>
    </row>
    <row r="3796" spans="1:2" x14ac:dyDescent="0.25">
      <c r="A3796" s="879"/>
      <c r="B3796" s="1448" t="s">
        <v>1526</v>
      </c>
    </row>
    <row r="3797" spans="1:2" x14ac:dyDescent="0.25">
      <c r="A3797" s="879"/>
      <c r="B3797" s="1448" t="s">
        <v>2557</v>
      </c>
    </row>
    <row r="3798" spans="1:2" x14ac:dyDescent="0.25">
      <c r="A3798" s="879"/>
      <c r="B3798" s="1448" t="s">
        <v>2558</v>
      </c>
    </row>
    <row r="3799" spans="1:2" x14ac:dyDescent="0.25">
      <c r="A3799" s="879"/>
      <c r="B3799" s="1448" t="s">
        <v>2559</v>
      </c>
    </row>
    <row r="3800" spans="1:2" x14ac:dyDescent="0.25">
      <c r="A3800" s="879"/>
      <c r="B3800" s="1448" t="s">
        <v>2560</v>
      </c>
    </row>
    <row r="3801" spans="1:2" x14ac:dyDescent="0.25">
      <c r="A3801" s="879"/>
      <c r="B3801" s="1448" t="s">
        <v>2561</v>
      </c>
    </row>
    <row r="3802" spans="1:2" x14ac:dyDescent="0.25">
      <c r="A3802" s="879"/>
      <c r="B3802" s="1448" t="s">
        <v>2562</v>
      </c>
    </row>
    <row r="3803" spans="1:2" x14ac:dyDescent="0.25">
      <c r="A3803" s="879"/>
      <c r="B3803" s="1448" t="s">
        <v>2563</v>
      </c>
    </row>
    <row r="3804" spans="1:2" x14ac:dyDescent="0.25">
      <c r="A3804" s="879"/>
      <c r="B3804" s="1448" t="s">
        <v>2564</v>
      </c>
    </row>
    <row r="3805" spans="1:2" x14ac:dyDescent="0.25">
      <c r="A3805" s="879"/>
      <c r="B3805" s="1448" t="s">
        <v>2565</v>
      </c>
    </row>
    <row r="3806" spans="1:2" x14ac:dyDescent="0.25">
      <c r="A3806" s="879"/>
      <c r="B3806" s="1448" t="s">
        <v>2566</v>
      </c>
    </row>
    <row r="3807" spans="1:2" x14ac:dyDescent="0.25">
      <c r="A3807" s="879"/>
      <c r="B3807" s="1448" t="s">
        <v>2567</v>
      </c>
    </row>
    <row r="3808" spans="1:2" x14ac:dyDescent="0.25">
      <c r="A3808" s="879"/>
      <c r="B3808" s="1448" t="s">
        <v>2568</v>
      </c>
    </row>
    <row r="3809" spans="1:2" x14ac:dyDescent="0.25">
      <c r="A3809" s="879"/>
      <c r="B3809" s="1448" t="s">
        <v>2569</v>
      </c>
    </row>
    <row r="3810" spans="1:2" x14ac:dyDescent="0.25">
      <c r="A3810" s="879"/>
      <c r="B3810" s="1448" t="s">
        <v>2570</v>
      </c>
    </row>
    <row r="3811" spans="1:2" x14ac:dyDescent="0.25">
      <c r="A3811" s="879"/>
      <c r="B3811" s="1448" t="s">
        <v>2571</v>
      </c>
    </row>
    <row r="3812" spans="1:2" x14ac:dyDescent="0.25">
      <c r="A3812" s="879"/>
      <c r="B3812" s="1448" t="s">
        <v>2572</v>
      </c>
    </row>
    <row r="3813" spans="1:2" x14ac:dyDescent="0.25">
      <c r="A3813" s="879"/>
      <c r="B3813" s="1448" t="s">
        <v>2573</v>
      </c>
    </row>
    <row r="3814" spans="1:2" x14ac:dyDescent="0.25">
      <c r="A3814" s="879"/>
      <c r="B3814" s="1448" t="s">
        <v>2574</v>
      </c>
    </row>
    <row r="3815" spans="1:2" x14ac:dyDescent="0.25">
      <c r="A3815" s="879"/>
      <c r="B3815" s="1448" t="s">
        <v>2575</v>
      </c>
    </row>
    <row r="3816" spans="1:2" x14ac:dyDescent="0.25">
      <c r="A3816" s="879"/>
      <c r="B3816" s="1448" t="s">
        <v>2576</v>
      </c>
    </row>
    <row r="3817" spans="1:2" x14ac:dyDescent="0.25">
      <c r="A3817" s="879"/>
      <c r="B3817" s="1448" t="s">
        <v>1529</v>
      </c>
    </row>
    <row r="3818" spans="1:2" x14ac:dyDescent="0.25">
      <c r="A3818" s="879"/>
      <c r="B3818" s="1448" t="s">
        <v>2577</v>
      </c>
    </row>
    <row r="3819" spans="1:2" x14ac:dyDescent="0.25">
      <c r="A3819" s="879"/>
      <c r="B3819" s="1448" t="s">
        <v>2578</v>
      </c>
    </row>
    <row r="3820" spans="1:2" x14ac:dyDescent="0.25">
      <c r="A3820" s="879"/>
      <c r="B3820" s="1448" t="s">
        <v>1530</v>
      </c>
    </row>
    <row r="3821" spans="1:2" x14ac:dyDescent="0.25">
      <c r="A3821" s="879"/>
      <c r="B3821" s="1448" t="s">
        <v>1428</v>
      </c>
    </row>
    <row r="3822" spans="1:2" x14ac:dyDescent="0.25">
      <c r="A3822" s="879"/>
      <c r="B3822" s="1448" t="s">
        <v>1365</v>
      </c>
    </row>
    <row r="3823" spans="1:2" x14ac:dyDescent="0.25">
      <c r="A3823" s="879"/>
      <c r="B3823" s="1448" t="s">
        <v>2579</v>
      </c>
    </row>
    <row r="3824" spans="1:2" x14ac:dyDescent="0.25">
      <c r="A3824" s="879"/>
      <c r="B3824" s="1448" t="s">
        <v>1365</v>
      </c>
    </row>
    <row r="3825" spans="1:2" x14ac:dyDescent="0.25">
      <c r="A3825" s="879"/>
      <c r="B3825" s="1448" t="s">
        <v>1448</v>
      </c>
    </row>
    <row r="3826" spans="1:2" x14ac:dyDescent="0.25">
      <c r="A3826" s="879"/>
      <c r="B3826" s="1448" t="s">
        <v>1449</v>
      </c>
    </row>
    <row r="3827" spans="1:2" x14ac:dyDescent="0.25">
      <c r="A3827" s="879"/>
      <c r="B3827" s="1448" t="s">
        <v>1450</v>
      </c>
    </row>
    <row r="3828" spans="1:2" x14ac:dyDescent="0.25">
      <c r="A3828" s="879"/>
      <c r="B3828" s="1448" t="s">
        <v>1650</v>
      </c>
    </row>
    <row r="3829" spans="1:2" x14ac:dyDescent="0.25">
      <c r="A3829" s="879"/>
      <c r="B3829" s="1448" t="s">
        <v>1651</v>
      </c>
    </row>
    <row r="3830" spans="1:2" x14ac:dyDescent="0.25">
      <c r="A3830" s="879"/>
      <c r="B3830" s="1448" t="s">
        <v>1515</v>
      </c>
    </row>
    <row r="3831" spans="1:2" x14ac:dyDescent="0.25">
      <c r="A3831" s="879"/>
      <c r="B3831" s="1448" t="s">
        <v>1652</v>
      </c>
    </row>
    <row r="3832" spans="1:2" x14ac:dyDescent="0.25">
      <c r="A3832" s="879"/>
      <c r="B3832" s="1448" t="s">
        <v>1451</v>
      </c>
    </row>
    <row r="3833" spans="1:2" x14ac:dyDescent="0.25">
      <c r="A3833" s="879"/>
      <c r="B3833" s="1448" t="s">
        <v>2193</v>
      </c>
    </row>
    <row r="3834" spans="1:2" x14ac:dyDescent="0.25">
      <c r="A3834" s="879"/>
      <c r="B3834" s="1448" t="s">
        <v>1653</v>
      </c>
    </row>
    <row r="3835" spans="1:2" x14ac:dyDescent="0.25">
      <c r="A3835" s="879"/>
      <c r="B3835" s="1448" t="s">
        <v>1654</v>
      </c>
    </row>
    <row r="3836" spans="1:2" x14ac:dyDescent="0.25">
      <c r="A3836" s="879"/>
      <c r="B3836" s="1448" t="s">
        <v>1452</v>
      </c>
    </row>
    <row r="3837" spans="1:2" x14ac:dyDescent="0.25">
      <c r="A3837" s="879"/>
      <c r="B3837" s="1448" t="s">
        <v>1484</v>
      </c>
    </row>
    <row r="3838" spans="1:2" x14ac:dyDescent="0.25">
      <c r="A3838" s="879"/>
      <c r="B3838" s="1448" t="s">
        <v>1453</v>
      </c>
    </row>
    <row r="3839" spans="1:2" x14ac:dyDescent="0.25">
      <c r="A3839" s="879"/>
      <c r="B3839" s="1448" t="s">
        <v>1516</v>
      </c>
    </row>
    <row r="3840" spans="1:2" x14ac:dyDescent="0.25">
      <c r="A3840" s="879"/>
      <c r="B3840" s="1448" t="s">
        <v>1655</v>
      </c>
    </row>
    <row r="3841" spans="1:2" x14ac:dyDescent="0.25">
      <c r="A3841" s="879"/>
      <c r="B3841" s="1448" t="s">
        <v>2194</v>
      </c>
    </row>
    <row r="3842" spans="1:2" x14ac:dyDescent="0.25">
      <c r="A3842" s="879"/>
      <c r="B3842" s="1448" t="s">
        <v>2580</v>
      </c>
    </row>
    <row r="3843" spans="1:2" x14ac:dyDescent="0.25">
      <c r="A3843" s="879"/>
      <c r="B3843" s="1448" t="s">
        <v>1365</v>
      </c>
    </row>
    <row r="3844" spans="1:2" x14ac:dyDescent="0.25">
      <c r="A3844" s="879"/>
      <c r="B3844" s="1448" t="s">
        <v>1448</v>
      </c>
    </row>
    <row r="3845" spans="1:2" x14ac:dyDescent="0.25">
      <c r="A3845" s="879"/>
      <c r="B3845" s="1448" t="s">
        <v>1449</v>
      </c>
    </row>
    <row r="3846" spans="1:2" x14ac:dyDescent="0.25">
      <c r="A3846" s="879"/>
      <c r="B3846" s="1448" t="s">
        <v>1450</v>
      </c>
    </row>
    <row r="3847" spans="1:2" x14ac:dyDescent="0.25">
      <c r="A3847" s="879"/>
      <c r="B3847" s="1448" t="s">
        <v>1650</v>
      </c>
    </row>
    <row r="3848" spans="1:2" x14ac:dyDescent="0.25">
      <c r="A3848" s="879"/>
      <c r="B3848" s="1448" t="s">
        <v>1651</v>
      </c>
    </row>
    <row r="3849" spans="1:2" x14ac:dyDescent="0.25">
      <c r="A3849" s="879"/>
      <c r="B3849" s="1448" t="s">
        <v>1515</v>
      </c>
    </row>
    <row r="3850" spans="1:2" x14ac:dyDescent="0.25">
      <c r="A3850" s="879"/>
      <c r="B3850" s="1448" t="s">
        <v>1652</v>
      </c>
    </row>
    <row r="3851" spans="1:2" x14ac:dyDescent="0.25">
      <c r="A3851" s="879"/>
      <c r="B3851" s="1448" t="s">
        <v>1451</v>
      </c>
    </row>
    <row r="3852" spans="1:2" x14ac:dyDescent="0.25">
      <c r="A3852" s="879"/>
      <c r="B3852" s="1448" t="s">
        <v>2581</v>
      </c>
    </row>
    <row r="3853" spans="1:2" x14ac:dyDescent="0.25">
      <c r="A3853" s="879"/>
      <c r="B3853" s="1448" t="s">
        <v>1653</v>
      </c>
    </row>
    <row r="3854" spans="1:2" x14ac:dyDescent="0.25">
      <c r="A3854" s="879"/>
      <c r="B3854" s="1448" t="s">
        <v>1654</v>
      </c>
    </row>
    <row r="3855" spans="1:2" x14ac:dyDescent="0.25">
      <c r="A3855" s="879"/>
      <c r="B3855" s="1448" t="s">
        <v>1452</v>
      </c>
    </row>
    <row r="3856" spans="1:2" x14ac:dyDescent="0.25">
      <c r="A3856" s="879"/>
      <c r="B3856" s="1448" t="s">
        <v>1484</v>
      </c>
    </row>
    <row r="3857" spans="1:2" x14ac:dyDescent="0.25">
      <c r="A3857" s="879"/>
      <c r="B3857" s="1448" t="s">
        <v>1453</v>
      </c>
    </row>
    <row r="3858" spans="1:2" x14ac:dyDescent="0.25">
      <c r="A3858" s="879"/>
      <c r="B3858" s="1448" t="s">
        <v>1516</v>
      </c>
    </row>
    <row r="3859" spans="1:2" x14ac:dyDescent="0.25">
      <c r="A3859" s="879"/>
      <c r="B3859" s="1448" t="s">
        <v>1655</v>
      </c>
    </row>
    <row r="3860" spans="1:2" x14ac:dyDescent="0.25">
      <c r="A3860" s="879"/>
      <c r="B3860" s="1448" t="s">
        <v>2582</v>
      </c>
    </row>
    <row r="3861" spans="1:2" x14ac:dyDescent="0.25">
      <c r="A3861" s="879"/>
      <c r="B3861" s="1448" t="s">
        <v>2583</v>
      </c>
    </row>
    <row r="3862" spans="1:2" x14ac:dyDescent="0.25">
      <c r="A3862" s="879"/>
      <c r="B3862" s="1448" t="s">
        <v>1365</v>
      </c>
    </row>
    <row r="3863" spans="1:2" x14ac:dyDescent="0.25">
      <c r="A3863" s="879"/>
      <c r="B3863" s="1448" t="s">
        <v>1448</v>
      </c>
    </row>
    <row r="3864" spans="1:2" x14ac:dyDescent="0.25">
      <c r="A3864" s="879"/>
      <c r="B3864" s="1448" t="s">
        <v>1449</v>
      </c>
    </row>
    <row r="3865" spans="1:2" x14ac:dyDescent="0.25">
      <c r="A3865" s="879"/>
      <c r="B3865" s="1448" t="s">
        <v>1450</v>
      </c>
    </row>
    <row r="3866" spans="1:2" x14ac:dyDescent="0.25">
      <c r="A3866" s="879"/>
      <c r="B3866" s="1448" t="s">
        <v>1650</v>
      </c>
    </row>
    <row r="3867" spans="1:2" x14ac:dyDescent="0.25">
      <c r="A3867" s="879"/>
      <c r="B3867" s="1448" t="s">
        <v>1651</v>
      </c>
    </row>
    <row r="3868" spans="1:2" x14ac:dyDescent="0.25">
      <c r="A3868" s="879"/>
      <c r="B3868" s="1448" t="s">
        <v>1515</v>
      </c>
    </row>
    <row r="3869" spans="1:2" x14ac:dyDescent="0.25">
      <c r="A3869" s="879"/>
      <c r="B3869" s="1448" t="s">
        <v>1652</v>
      </c>
    </row>
    <row r="3870" spans="1:2" x14ac:dyDescent="0.25">
      <c r="A3870" s="879"/>
      <c r="B3870" s="1448" t="s">
        <v>1451</v>
      </c>
    </row>
    <row r="3871" spans="1:2" x14ac:dyDescent="0.25">
      <c r="A3871" s="879"/>
      <c r="B3871" s="1448" t="s">
        <v>2584</v>
      </c>
    </row>
    <row r="3872" spans="1:2" x14ac:dyDescent="0.25">
      <c r="A3872" s="879"/>
      <c r="B3872" s="1448" t="s">
        <v>1653</v>
      </c>
    </row>
    <row r="3873" spans="1:2" x14ac:dyDescent="0.25">
      <c r="A3873" s="879"/>
      <c r="B3873" s="1448" t="s">
        <v>1654</v>
      </c>
    </row>
    <row r="3874" spans="1:2" x14ac:dyDescent="0.25">
      <c r="A3874" s="879"/>
      <c r="B3874" s="1448" t="s">
        <v>1452</v>
      </c>
    </row>
    <row r="3875" spans="1:2" x14ac:dyDescent="0.25">
      <c r="A3875" s="879"/>
      <c r="B3875" s="1448" t="s">
        <v>1484</v>
      </c>
    </row>
    <row r="3876" spans="1:2" x14ac:dyDescent="0.25">
      <c r="A3876" s="879"/>
      <c r="B3876" s="1448" t="s">
        <v>1453</v>
      </c>
    </row>
    <row r="3877" spans="1:2" x14ac:dyDescent="0.25">
      <c r="A3877" s="879"/>
      <c r="B3877" s="1448" t="s">
        <v>1516</v>
      </c>
    </row>
    <row r="3878" spans="1:2" x14ac:dyDescent="0.25">
      <c r="A3878" s="879"/>
      <c r="B3878" s="1448" t="s">
        <v>1655</v>
      </c>
    </row>
    <row r="3879" spans="1:2" x14ac:dyDescent="0.25">
      <c r="A3879" s="879"/>
      <c r="B3879" s="1448" t="s">
        <v>2585</v>
      </c>
    </row>
    <row r="3880" spans="1:2" x14ac:dyDescent="0.25">
      <c r="A3880" s="879"/>
      <c r="B3880" s="1448" t="s">
        <v>1656</v>
      </c>
    </row>
    <row r="3881" spans="1:2" x14ac:dyDescent="0.25">
      <c r="A3881" s="879"/>
      <c r="B3881" s="1448" t="s">
        <v>1365</v>
      </c>
    </row>
    <row r="3882" spans="1:2" x14ac:dyDescent="0.25">
      <c r="A3882" s="879"/>
      <c r="B3882" s="1448" t="s">
        <v>1657</v>
      </c>
    </row>
    <row r="3883" spans="1:2" x14ac:dyDescent="0.25">
      <c r="A3883" s="879"/>
      <c r="B3883" s="1448" t="s">
        <v>1658</v>
      </c>
    </row>
    <row r="3884" spans="1:2" x14ac:dyDescent="0.25">
      <c r="A3884" s="879"/>
      <c r="B3884" s="1448" t="s">
        <v>1659</v>
      </c>
    </row>
    <row r="3885" spans="1:2" x14ac:dyDescent="0.25">
      <c r="A3885" s="879"/>
      <c r="B3885" s="1448" t="s">
        <v>1660</v>
      </c>
    </row>
    <row r="3886" spans="1:2" x14ac:dyDescent="0.25">
      <c r="A3886" s="879"/>
      <c r="B3886" s="1448" t="s">
        <v>1661</v>
      </c>
    </row>
    <row r="3887" spans="1:2" x14ac:dyDescent="0.25">
      <c r="A3887" s="879"/>
      <c r="B3887" s="1448" t="s">
        <v>1662</v>
      </c>
    </row>
    <row r="3888" spans="1:2" x14ac:dyDescent="0.25">
      <c r="A3888" s="879"/>
      <c r="B3888" s="1448" t="s">
        <v>1663</v>
      </c>
    </row>
    <row r="3889" spans="1:2" x14ac:dyDescent="0.25">
      <c r="A3889" s="879"/>
      <c r="B3889" s="1448" t="s">
        <v>2330</v>
      </c>
    </row>
    <row r="3890" spans="1:2" x14ac:dyDescent="0.25">
      <c r="A3890" s="879"/>
      <c r="B3890" s="1448" t="s">
        <v>1665</v>
      </c>
    </row>
    <row r="3891" spans="1:2" x14ac:dyDescent="0.25">
      <c r="A3891" s="879"/>
      <c r="B3891" s="1448" t="s">
        <v>1666</v>
      </c>
    </row>
    <row r="3892" spans="1:2" x14ac:dyDescent="0.25">
      <c r="A3892" s="879"/>
      <c r="B3892" s="1448" t="s">
        <v>1667</v>
      </c>
    </row>
    <row r="3893" spans="1:2" x14ac:dyDescent="0.25">
      <c r="A3893" s="879"/>
      <c r="B3893" s="1448" t="s">
        <v>1668</v>
      </c>
    </row>
    <row r="3894" spans="1:2" x14ac:dyDescent="0.25">
      <c r="A3894" s="879"/>
      <c r="B3894" s="1448" t="s">
        <v>1669</v>
      </c>
    </row>
    <row r="3895" spans="1:2" x14ac:dyDescent="0.25">
      <c r="A3895" s="879"/>
      <c r="B3895" s="1448" t="s">
        <v>1670</v>
      </c>
    </row>
    <row r="3896" spans="1:2" x14ac:dyDescent="0.25">
      <c r="A3896" s="879"/>
      <c r="B3896" s="1448" t="s">
        <v>1671</v>
      </c>
    </row>
    <row r="3897" spans="1:2" x14ac:dyDescent="0.25">
      <c r="A3897" s="879"/>
      <c r="B3897" s="1448" t="s">
        <v>1769</v>
      </c>
    </row>
    <row r="3898" spans="1:2" x14ac:dyDescent="0.25">
      <c r="A3898" s="879"/>
      <c r="B3898" s="1448" t="s">
        <v>1365</v>
      </c>
    </row>
    <row r="3899" spans="1:2" x14ac:dyDescent="0.25">
      <c r="A3899" s="879"/>
      <c r="B3899" s="1448" t="s">
        <v>1770</v>
      </c>
    </row>
    <row r="3900" spans="1:2" x14ac:dyDescent="0.25">
      <c r="A3900" s="879"/>
      <c r="B3900" s="1448" t="s">
        <v>2586</v>
      </c>
    </row>
    <row r="3901" spans="1:2" x14ac:dyDescent="0.25">
      <c r="A3901" s="879"/>
      <c r="B3901" s="1448" t="s">
        <v>1772</v>
      </c>
    </row>
    <row r="3902" spans="1:2" x14ac:dyDescent="0.25">
      <c r="A3902" s="879"/>
      <c r="B3902" s="1448" t="s">
        <v>1365</v>
      </c>
    </row>
    <row r="3903" spans="1:2" x14ac:dyDescent="0.25">
      <c r="A3903" s="879"/>
      <c r="B3903" s="1448" t="s">
        <v>1773</v>
      </c>
    </row>
    <row r="3904" spans="1:2" x14ac:dyDescent="0.25">
      <c r="A3904" s="879"/>
      <c r="B3904" s="1448"/>
    </row>
    <row r="3905" spans="1:2" x14ac:dyDescent="0.25">
      <c r="A3905" s="879"/>
      <c r="B3905" s="1448"/>
    </row>
    <row r="3906" spans="1:2" x14ac:dyDescent="0.25">
      <c r="A3906" s="879"/>
      <c r="B3906" s="1448" t="s">
        <v>1366</v>
      </c>
    </row>
    <row r="3907" spans="1:2" x14ac:dyDescent="0.25">
      <c r="A3907" s="879"/>
      <c r="B3907" s="1448" t="s">
        <v>2587</v>
      </c>
    </row>
    <row r="3908" spans="1:2" x14ac:dyDescent="0.25">
      <c r="A3908" s="879"/>
      <c r="B3908" s="1448" t="s">
        <v>1366</v>
      </c>
    </row>
    <row r="3909" spans="1:2" x14ac:dyDescent="0.25">
      <c r="A3909" s="879"/>
      <c r="B3909" s="1448" t="s">
        <v>2588</v>
      </c>
    </row>
    <row r="3910" spans="1:2" x14ac:dyDescent="0.25">
      <c r="A3910" s="879"/>
      <c r="B3910" s="1448" t="s">
        <v>1365</v>
      </c>
    </row>
    <row r="3911" spans="1:2" x14ac:dyDescent="0.25">
      <c r="A3911" s="879"/>
      <c r="B3911" s="1448" t="s">
        <v>1367</v>
      </c>
    </row>
    <row r="3912" spans="1:2" x14ac:dyDescent="0.25">
      <c r="A3912" s="879"/>
      <c r="B3912" s="1448" t="s">
        <v>1368</v>
      </c>
    </row>
    <row r="3913" spans="1:2" x14ac:dyDescent="0.25">
      <c r="A3913" s="879"/>
      <c r="B3913" s="1448" t="s">
        <v>1365</v>
      </c>
    </row>
    <row r="3914" spans="1:2" x14ac:dyDescent="0.25">
      <c r="A3914" s="879"/>
      <c r="B3914" s="1448" t="s">
        <v>1532</v>
      </c>
    </row>
    <row r="3915" spans="1:2" x14ac:dyDescent="0.25">
      <c r="A3915" s="879"/>
      <c r="B3915" s="1448" t="s">
        <v>1507</v>
      </c>
    </row>
    <row r="3916" spans="1:2" x14ac:dyDescent="0.25">
      <c r="A3916" s="879"/>
      <c r="B3916" s="1448" t="s">
        <v>1728</v>
      </c>
    </row>
    <row r="3917" spans="1:2" x14ac:dyDescent="0.25">
      <c r="A3917" s="879"/>
      <c r="B3917" s="1448" t="s">
        <v>1729</v>
      </c>
    </row>
    <row r="3918" spans="1:2" x14ac:dyDescent="0.25">
      <c r="A3918" s="879"/>
      <c r="B3918" s="1448" t="s">
        <v>2183</v>
      </c>
    </row>
    <row r="3919" spans="1:2" x14ac:dyDescent="0.25">
      <c r="A3919" s="879"/>
      <c r="B3919" s="1448" t="s">
        <v>2184</v>
      </c>
    </row>
    <row r="3920" spans="1:2" x14ac:dyDescent="0.25">
      <c r="A3920" s="879"/>
      <c r="B3920" s="1448" t="s">
        <v>2185</v>
      </c>
    </row>
    <row r="3921" spans="1:2" x14ac:dyDescent="0.25">
      <c r="A3921" s="879"/>
      <c r="B3921" s="1448" t="s">
        <v>1533</v>
      </c>
    </row>
    <row r="3922" spans="1:2" x14ac:dyDescent="0.25">
      <c r="A3922" s="879"/>
      <c r="B3922" s="1448" t="s">
        <v>1730</v>
      </c>
    </row>
    <row r="3923" spans="1:2" x14ac:dyDescent="0.25">
      <c r="A3923" s="879"/>
      <c r="B3923" s="1448" t="s">
        <v>2589</v>
      </c>
    </row>
    <row r="3924" spans="1:2" x14ac:dyDescent="0.25">
      <c r="A3924" s="879"/>
      <c r="B3924" s="1448" t="s">
        <v>2187</v>
      </c>
    </row>
    <row r="3925" spans="1:2" x14ac:dyDescent="0.25">
      <c r="A3925" s="879"/>
      <c r="B3925" s="1448" t="s">
        <v>1380</v>
      </c>
    </row>
    <row r="3926" spans="1:2" x14ac:dyDescent="0.25">
      <c r="A3926" s="879"/>
      <c r="B3926" s="1448" t="s">
        <v>1365</v>
      </c>
    </row>
    <row r="3927" spans="1:2" x14ac:dyDescent="0.25">
      <c r="A3927" s="879"/>
      <c r="B3927" s="1448" t="s">
        <v>1532</v>
      </c>
    </row>
    <row r="3928" spans="1:2" x14ac:dyDescent="0.25">
      <c r="A3928" s="879"/>
      <c r="B3928" s="1448" t="s">
        <v>1535</v>
      </c>
    </row>
    <row r="3929" spans="1:2" x14ac:dyDescent="0.25">
      <c r="A3929" s="879"/>
      <c r="B3929" s="1448" t="s">
        <v>1731</v>
      </c>
    </row>
    <row r="3930" spans="1:2" x14ac:dyDescent="0.25">
      <c r="A3930" s="879"/>
      <c r="B3930" s="1448" t="s">
        <v>1732</v>
      </c>
    </row>
    <row r="3931" spans="1:2" x14ac:dyDescent="0.25">
      <c r="A3931" s="879"/>
      <c r="B3931" s="1448" t="s">
        <v>2590</v>
      </c>
    </row>
    <row r="3932" spans="1:2" x14ac:dyDescent="0.25">
      <c r="A3932" s="879"/>
      <c r="B3932" s="1448" t="s">
        <v>1538</v>
      </c>
    </row>
    <row r="3933" spans="1:2" x14ac:dyDescent="0.25">
      <c r="A3933" s="879"/>
      <c r="B3933" s="1448" t="s">
        <v>1733</v>
      </c>
    </row>
    <row r="3934" spans="1:2" x14ac:dyDescent="0.25">
      <c r="A3934" s="879"/>
      <c r="B3934" s="1448" t="s">
        <v>1734</v>
      </c>
    </row>
    <row r="3935" spans="1:2" x14ac:dyDescent="0.25">
      <c r="A3935" s="879"/>
      <c r="B3935" s="1448" t="s">
        <v>1572</v>
      </c>
    </row>
    <row r="3936" spans="1:2" x14ac:dyDescent="0.25">
      <c r="A3936" s="879"/>
      <c r="B3936" s="1448" t="s">
        <v>1462</v>
      </c>
    </row>
    <row r="3937" spans="1:2" x14ac:dyDescent="0.25">
      <c r="A3937" s="879"/>
      <c r="B3937" s="1448" t="s">
        <v>1463</v>
      </c>
    </row>
    <row r="3938" spans="1:2" x14ac:dyDescent="0.25">
      <c r="A3938" s="879"/>
      <c r="B3938" s="1448" t="s">
        <v>1464</v>
      </c>
    </row>
    <row r="3939" spans="1:2" x14ac:dyDescent="0.25">
      <c r="A3939" s="879"/>
      <c r="B3939" s="1448" t="s">
        <v>1542</v>
      </c>
    </row>
    <row r="3940" spans="1:2" x14ac:dyDescent="0.25">
      <c r="A3940" s="879"/>
      <c r="B3940" s="1448" t="s">
        <v>1466</v>
      </c>
    </row>
    <row r="3941" spans="1:2" x14ac:dyDescent="0.25">
      <c r="A3941" s="879"/>
      <c r="B3941" s="1448" t="s">
        <v>1467</v>
      </c>
    </row>
    <row r="3942" spans="1:2" x14ac:dyDescent="0.25">
      <c r="A3942" s="879"/>
      <c r="B3942" s="1448" t="s">
        <v>1509</v>
      </c>
    </row>
    <row r="3943" spans="1:2" x14ac:dyDescent="0.25">
      <c r="A3943" s="879"/>
      <c r="B3943" s="1448" t="s">
        <v>1543</v>
      </c>
    </row>
    <row r="3944" spans="1:2" x14ac:dyDescent="0.25">
      <c r="A3944" s="879"/>
      <c r="B3944" s="1448" t="s">
        <v>1735</v>
      </c>
    </row>
    <row r="3945" spans="1:2" x14ac:dyDescent="0.25">
      <c r="A3945" s="879"/>
      <c r="B3945" s="1448" t="s">
        <v>2189</v>
      </c>
    </row>
    <row r="3946" spans="1:2" x14ac:dyDescent="0.25">
      <c r="A3946" s="879"/>
      <c r="B3946" s="1448" t="s">
        <v>1545</v>
      </c>
    </row>
    <row r="3947" spans="1:2" x14ac:dyDescent="0.25">
      <c r="A3947" s="879"/>
      <c r="B3947" s="1448" t="s">
        <v>2190</v>
      </c>
    </row>
    <row r="3948" spans="1:2" x14ac:dyDescent="0.25">
      <c r="A3948" s="879"/>
      <c r="B3948" s="1448" t="s">
        <v>1736</v>
      </c>
    </row>
    <row r="3949" spans="1:2" x14ac:dyDescent="0.25">
      <c r="A3949" s="879"/>
      <c r="B3949" s="1448" t="s">
        <v>1546</v>
      </c>
    </row>
    <row r="3950" spans="1:2" x14ac:dyDescent="0.25">
      <c r="A3950" s="879"/>
      <c r="B3950" s="1448" t="s">
        <v>1471</v>
      </c>
    </row>
    <row r="3951" spans="1:2" x14ac:dyDescent="0.25">
      <c r="A3951" s="879"/>
      <c r="B3951" s="1448" t="s">
        <v>1547</v>
      </c>
    </row>
    <row r="3952" spans="1:2" x14ac:dyDescent="0.25">
      <c r="A3952" s="879"/>
      <c r="B3952" s="1448" t="s">
        <v>1548</v>
      </c>
    </row>
    <row r="3953" spans="1:2" x14ac:dyDescent="0.25">
      <c r="A3953" s="879"/>
      <c r="B3953" s="1448" t="s">
        <v>1737</v>
      </c>
    </row>
    <row r="3954" spans="1:2" x14ac:dyDescent="0.25">
      <c r="A3954" s="879"/>
      <c r="B3954" s="1448" t="s">
        <v>1738</v>
      </c>
    </row>
    <row r="3955" spans="1:2" x14ac:dyDescent="0.25">
      <c r="A3955" s="879"/>
      <c r="B3955" s="1448" t="s">
        <v>1551</v>
      </c>
    </row>
    <row r="3956" spans="1:2" x14ac:dyDescent="0.25">
      <c r="A3956" s="879"/>
      <c r="B3956" s="1448" t="s">
        <v>2191</v>
      </c>
    </row>
    <row r="3957" spans="1:2" x14ac:dyDescent="0.25">
      <c r="A3957" s="879"/>
      <c r="B3957" s="1448" t="s">
        <v>1510</v>
      </c>
    </row>
    <row r="3958" spans="1:2" x14ac:dyDescent="0.25">
      <c r="A3958" s="879"/>
      <c r="B3958" s="1448" t="s">
        <v>1552</v>
      </c>
    </row>
    <row r="3959" spans="1:2" x14ac:dyDescent="0.25">
      <c r="A3959" s="879"/>
      <c r="B3959" s="1448" t="s">
        <v>1739</v>
      </c>
    </row>
    <row r="3960" spans="1:2" x14ac:dyDescent="0.25">
      <c r="A3960" s="879"/>
      <c r="B3960" s="1448" t="s">
        <v>1511</v>
      </c>
    </row>
    <row r="3961" spans="1:2" x14ac:dyDescent="0.25">
      <c r="A3961" s="879"/>
      <c r="B3961" s="1448" t="s">
        <v>1740</v>
      </c>
    </row>
    <row r="3962" spans="1:2" x14ac:dyDescent="0.25">
      <c r="A3962" s="879"/>
      <c r="B3962" s="1448" t="s">
        <v>1741</v>
      </c>
    </row>
    <row r="3963" spans="1:2" x14ac:dyDescent="0.25">
      <c r="A3963" s="879"/>
      <c r="B3963" s="1448" t="s">
        <v>1742</v>
      </c>
    </row>
    <row r="3964" spans="1:2" x14ac:dyDescent="0.25">
      <c r="A3964" s="879"/>
      <c r="B3964" s="1448" t="s">
        <v>1573</v>
      </c>
    </row>
    <row r="3965" spans="1:2" x14ac:dyDescent="0.25">
      <c r="A3965" s="879"/>
      <c r="B3965" s="1448" t="s">
        <v>1574</v>
      </c>
    </row>
    <row r="3966" spans="1:2" x14ac:dyDescent="0.25">
      <c r="A3966" s="879"/>
      <c r="B3966" s="1448" t="s">
        <v>1743</v>
      </c>
    </row>
    <row r="3967" spans="1:2" x14ac:dyDescent="0.25">
      <c r="A3967" s="879"/>
      <c r="B3967" s="1448" t="s">
        <v>1744</v>
      </c>
    </row>
    <row r="3968" spans="1:2" x14ac:dyDescent="0.25">
      <c r="A3968" s="879"/>
      <c r="B3968" s="1448" t="s">
        <v>1512</v>
      </c>
    </row>
    <row r="3969" spans="1:2" x14ac:dyDescent="0.25">
      <c r="A3969" s="879"/>
      <c r="B3969" s="1448" t="s">
        <v>1513</v>
      </c>
    </row>
    <row r="3970" spans="1:2" x14ac:dyDescent="0.25">
      <c r="A3970" s="879"/>
      <c r="B3970" s="1448" t="s">
        <v>1514</v>
      </c>
    </row>
    <row r="3971" spans="1:2" x14ac:dyDescent="0.25">
      <c r="A3971" s="879"/>
      <c r="B3971" s="1448" t="s">
        <v>1479</v>
      </c>
    </row>
    <row r="3972" spans="1:2" x14ac:dyDescent="0.25">
      <c r="A3972" s="879"/>
      <c r="B3972" s="1448" t="s">
        <v>1560</v>
      </c>
    </row>
    <row r="3973" spans="1:2" x14ac:dyDescent="0.25">
      <c r="A3973" s="879"/>
      <c r="B3973" s="1448" t="s">
        <v>2192</v>
      </c>
    </row>
    <row r="3974" spans="1:2" x14ac:dyDescent="0.25">
      <c r="A3974" s="879"/>
      <c r="B3974" s="1448" t="s">
        <v>1482</v>
      </c>
    </row>
    <row r="3975" spans="1:2" x14ac:dyDescent="0.25">
      <c r="A3975" s="879"/>
      <c r="B3975" s="1448" t="s">
        <v>1428</v>
      </c>
    </row>
    <row r="3976" spans="1:2" x14ac:dyDescent="0.25">
      <c r="A3976" s="879"/>
      <c r="B3976" s="1448" t="s">
        <v>1365</v>
      </c>
    </row>
    <row r="3977" spans="1:2" x14ac:dyDescent="0.25">
      <c r="A3977" s="879"/>
      <c r="B3977" s="1448" t="s">
        <v>1502</v>
      </c>
    </row>
    <row r="3978" spans="1:2" x14ac:dyDescent="0.25">
      <c r="A3978" s="879"/>
      <c r="B3978" s="1448" t="s">
        <v>1365</v>
      </c>
    </row>
    <row r="3979" spans="1:2" x14ac:dyDescent="0.25">
      <c r="A3979" s="879"/>
      <c r="B3979" s="1448" t="s">
        <v>1448</v>
      </c>
    </row>
    <row r="3980" spans="1:2" x14ac:dyDescent="0.25">
      <c r="A3980" s="879"/>
      <c r="B3980" s="1448" t="s">
        <v>1449</v>
      </c>
    </row>
    <row r="3981" spans="1:2" x14ac:dyDescent="0.25">
      <c r="A3981" s="879"/>
      <c r="B3981" s="1448" t="s">
        <v>1450</v>
      </c>
    </row>
    <row r="3982" spans="1:2" x14ac:dyDescent="0.25">
      <c r="A3982" s="879"/>
      <c r="B3982" s="1448" t="s">
        <v>1650</v>
      </c>
    </row>
    <row r="3983" spans="1:2" x14ac:dyDescent="0.25">
      <c r="A3983" s="879"/>
      <c r="B3983" s="1448" t="s">
        <v>1651</v>
      </c>
    </row>
    <row r="3984" spans="1:2" x14ac:dyDescent="0.25">
      <c r="A3984" s="879"/>
      <c r="B3984" s="1448" t="s">
        <v>1515</v>
      </c>
    </row>
    <row r="3985" spans="1:2" x14ac:dyDescent="0.25">
      <c r="A3985" s="879"/>
      <c r="B3985" s="1448" t="s">
        <v>1652</v>
      </c>
    </row>
    <row r="3986" spans="1:2" x14ac:dyDescent="0.25">
      <c r="A3986" s="879"/>
      <c r="B3986" s="1448" t="s">
        <v>1451</v>
      </c>
    </row>
    <row r="3987" spans="1:2" x14ac:dyDescent="0.25">
      <c r="A3987" s="879"/>
      <c r="B3987" s="1448" t="s">
        <v>2193</v>
      </c>
    </row>
    <row r="3988" spans="1:2" x14ac:dyDescent="0.25">
      <c r="A3988" s="879"/>
      <c r="B3988" s="1448" t="s">
        <v>1653</v>
      </c>
    </row>
    <row r="3989" spans="1:2" x14ac:dyDescent="0.25">
      <c r="A3989" s="879"/>
      <c r="B3989" s="1448" t="s">
        <v>1654</v>
      </c>
    </row>
    <row r="3990" spans="1:2" x14ac:dyDescent="0.25">
      <c r="A3990" s="879"/>
      <c r="B3990" s="1448" t="s">
        <v>1452</v>
      </c>
    </row>
    <row r="3991" spans="1:2" x14ac:dyDescent="0.25">
      <c r="A3991" s="879"/>
      <c r="B3991" s="1448" t="s">
        <v>1484</v>
      </c>
    </row>
    <row r="3992" spans="1:2" x14ac:dyDescent="0.25">
      <c r="A3992" s="879"/>
      <c r="B3992" s="1448" t="s">
        <v>1453</v>
      </c>
    </row>
    <row r="3993" spans="1:2" x14ac:dyDescent="0.25">
      <c r="A3993" s="879"/>
      <c r="B3993" s="1448" t="s">
        <v>1516</v>
      </c>
    </row>
    <row r="3994" spans="1:2" x14ac:dyDescent="0.25">
      <c r="A3994" s="879"/>
      <c r="B3994" s="1448" t="s">
        <v>1655</v>
      </c>
    </row>
    <row r="3995" spans="1:2" x14ac:dyDescent="0.25">
      <c r="A3995" s="879"/>
      <c r="B3995" s="1448" t="s">
        <v>2194</v>
      </c>
    </row>
    <row r="3996" spans="1:2" x14ac:dyDescent="0.25">
      <c r="A3996" s="879"/>
      <c r="B3996" s="1448" t="s">
        <v>1531</v>
      </c>
    </row>
    <row r="3997" spans="1:2" x14ac:dyDescent="0.25">
      <c r="A3997" s="879"/>
      <c r="B3997" s="1448" t="s">
        <v>1365</v>
      </c>
    </row>
    <row r="3998" spans="1:2" x14ac:dyDescent="0.25">
      <c r="A3998" s="879"/>
      <c r="B3998" s="1448" t="s">
        <v>1448</v>
      </c>
    </row>
    <row r="3999" spans="1:2" x14ac:dyDescent="0.25">
      <c r="A3999" s="879"/>
      <c r="B3999" s="1448" t="s">
        <v>1449</v>
      </c>
    </row>
    <row r="4000" spans="1:2" x14ac:dyDescent="0.25">
      <c r="A4000" s="879"/>
      <c r="B4000" s="1448" t="s">
        <v>1450</v>
      </c>
    </row>
    <row r="4001" spans="1:2" x14ac:dyDescent="0.25">
      <c r="A4001" s="879"/>
      <c r="B4001" s="1448" t="s">
        <v>1650</v>
      </c>
    </row>
    <row r="4002" spans="1:2" x14ac:dyDescent="0.25">
      <c r="A4002" s="879"/>
      <c r="B4002" s="1448" t="s">
        <v>1651</v>
      </c>
    </row>
    <row r="4003" spans="1:2" x14ac:dyDescent="0.25">
      <c r="A4003" s="879"/>
      <c r="B4003" s="1448" t="s">
        <v>1515</v>
      </c>
    </row>
    <row r="4004" spans="1:2" x14ac:dyDescent="0.25">
      <c r="A4004" s="879"/>
      <c r="B4004" s="1448" t="s">
        <v>1652</v>
      </c>
    </row>
    <row r="4005" spans="1:2" x14ac:dyDescent="0.25">
      <c r="A4005" s="879"/>
      <c r="B4005" s="1448" t="s">
        <v>1451</v>
      </c>
    </row>
    <row r="4006" spans="1:2" x14ac:dyDescent="0.25">
      <c r="A4006" s="879"/>
      <c r="B4006" s="1448" t="s">
        <v>2193</v>
      </c>
    </row>
    <row r="4007" spans="1:2" x14ac:dyDescent="0.25">
      <c r="A4007" s="879"/>
      <c r="B4007" s="1448" t="s">
        <v>1653</v>
      </c>
    </row>
    <row r="4008" spans="1:2" x14ac:dyDescent="0.25">
      <c r="A4008" s="879"/>
      <c r="B4008" s="1448" t="s">
        <v>1654</v>
      </c>
    </row>
    <row r="4009" spans="1:2" x14ac:dyDescent="0.25">
      <c r="A4009" s="879"/>
      <c r="B4009" s="1448" t="s">
        <v>1452</v>
      </c>
    </row>
    <row r="4010" spans="1:2" x14ac:dyDescent="0.25">
      <c r="A4010" s="879"/>
      <c r="B4010" s="1448" t="s">
        <v>1484</v>
      </c>
    </row>
    <row r="4011" spans="1:2" x14ac:dyDescent="0.25">
      <c r="A4011" s="879"/>
      <c r="B4011" s="1448" t="s">
        <v>1453</v>
      </c>
    </row>
    <row r="4012" spans="1:2" x14ac:dyDescent="0.25">
      <c r="A4012" s="879"/>
      <c r="B4012" s="1448" t="s">
        <v>1516</v>
      </c>
    </row>
    <row r="4013" spans="1:2" x14ac:dyDescent="0.25">
      <c r="A4013" s="879"/>
      <c r="B4013" s="1448" t="s">
        <v>1655</v>
      </c>
    </row>
    <row r="4014" spans="1:2" x14ac:dyDescent="0.25">
      <c r="A4014" s="879"/>
      <c r="B4014" s="1448" t="s">
        <v>2194</v>
      </c>
    </row>
    <row r="4015" spans="1:2" x14ac:dyDescent="0.25">
      <c r="A4015" s="879"/>
      <c r="B4015" s="1448" t="s">
        <v>1656</v>
      </c>
    </row>
    <row r="4016" spans="1:2" x14ac:dyDescent="0.25">
      <c r="A4016" s="879"/>
      <c r="B4016" s="1448" t="s">
        <v>1365</v>
      </c>
    </row>
    <row r="4017" spans="1:2" x14ac:dyDescent="0.25">
      <c r="A4017" s="879"/>
      <c r="B4017" s="1448" t="s">
        <v>1657</v>
      </c>
    </row>
    <row r="4018" spans="1:2" x14ac:dyDescent="0.25">
      <c r="A4018" s="879"/>
      <c r="B4018" s="1448" t="s">
        <v>1658</v>
      </c>
    </row>
    <row r="4019" spans="1:2" x14ac:dyDescent="0.25">
      <c r="A4019" s="879"/>
      <c r="B4019" s="1448" t="s">
        <v>1659</v>
      </c>
    </row>
    <row r="4020" spans="1:2" x14ac:dyDescent="0.25">
      <c r="A4020" s="879"/>
      <c r="B4020" s="1448" t="s">
        <v>1660</v>
      </c>
    </row>
    <row r="4021" spans="1:2" x14ac:dyDescent="0.25">
      <c r="A4021" s="879"/>
      <c r="B4021" s="1448" t="s">
        <v>1661</v>
      </c>
    </row>
    <row r="4022" spans="1:2" x14ac:dyDescent="0.25">
      <c r="A4022" s="879"/>
      <c r="B4022" s="1448" t="s">
        <v>1662</v>
      </c>
    </row>
    <row r="4023" spans="1:2" x14ac:dyDescent="0.25">
      <c r="A4023" s="879"/>
      <c r="B4023" s="1448" t="s">
        <v>1663</v>
      </c>
    </row>
    <row r="4024" spans="1:2" x14ac:dyDescent="0.25">
      <c r="A4024" s="879"/>
      <c r="B4024" s="1448" t="s">
        <v>1706</v>
      </c>
    </row>
    <row r="4025" spans="1:2" x14ac:dyDescent="0.25">
      <c r="A4025" s="879"/>
      <c r="B4025" s="1448" t="s">
        <v>1665</v>
      </c>
    </row>
    <row r="4026" spans="1:2" x14ac:dyDescent="0.25">
      <c r="A4026" s="879"/>
      <c r="B4026" s="1448" t="s">
        <v>1666</v>
      </c>
    </row>
    <row r="4027" spans="1:2" x14ac:dyDescent="0.25">
      <c r="A4027" s="879"/>
      <c r="B4027" s="1448" t="s">
        <v>1667</v>
      </c>
    </row>
    <row r="4028" spans="1:2" x14ac:dyDescent="0.25">
      <c r="A4028" s="879"/>
      <c r="B4028" s="1448" t="s">
        <v>1668</v>
      </c>
    </row>
    <row r="4029" spans="1:2" x14ac:dyDescent="0.25">
      <c r="A4029" s="879"/>
      <c r="B4029" s="1448" t="s">
        <v>1669</v>
      </c>
    </row>
    <row r="4030" spans="1:2" x14ac:dyDescent="0.25">
      <c r="A4030" s="879"/>
      <c r="B4030" s="1448" t="s">
        <v>1670</v>
      </c>
    </row>
    <row r="4031" spans="1:2" x14ac:dyDescent="0.25">
      <c r="A4031" s="879"/>
      <c r="B4031" s="1448" t="s">
        <v>1671</v>
      </c>
    </row>
    <row r="4032" spans="1:2" x14ac:dyDescent="0.25">
      <c r="A4032" s="879"/>
      <c r="B4032" s="1448" t="s">
        <v>1769</v>
      </c>
    </row>
    <row r="4033" spans="1:2" x14ac:dyDescent="0.25">
      <c r="A4033" s="879"/>
      <c r="B4033" s="1448" t="s">
        <v>1365</v>
      </c>
    </row>
    <row r="4034" spans="1:2" x14ac:dyDescent="0.25">
      <c r="A4034" s="879"/>
      <c r="B4034" s="1448" t="s">
        <v>1770</v>
      </c>
    </row>
    <row r="4035" spans="1:2" x14ac:dyDescent="0.25">
      <c r="A4035" s="879"/>
      <c r="B4035" s="1448" t="s">
        <v>2591</v>
      </c>
    </row>
    <row r="4036" spans="1:2" x14ac:dyDescent="0.25">
      <c r="A4036" s="879"/>
      <c r="B4036" s="1448" t="s">
        <v>1772</v>
      </c>
    </row>
    <row r="4037" spans="1:2" x14ac:dyDescent="0.25">
      <c r="A4037" s="879"/>
      <c r="B4037" s="1448" t="s">
        <v>1365</v>
      </c>
    </row>
    <row r="4038" spans="1:2" x14ac:dyDescent="0.25">
      <c r="A4038" s="879"/>
      <c r="B4038" s="1448" t="s">
        <v>1773</v>
      </c>
    </row>
    <row r="4039" spans="1:2" x14ac:dyDescent="0.25">
      <c r="A4039" s="879"/>
      <c r="B4039" s="1448"/>
    </row>
    <row r="4040" spans="1:2" x14ac:dyDescent="0.25">
      <c r="A4040" s="879"/>
      <c r="B4040" s="1448"/>
    </row>
    <row r="4041" spans="1:2" x14ac:dyDescent="0.25">
      <c r="A4041" s="879"/>
      <c r="B4041" s="1448" t="s">
        <v>1366</v>
      </c>
    </row>
    <row r="4042" spans="1:2" x14ac:dyDescent="0.25">
      <c r="A4042" s="879"/>
      <c r="B4042" s="1448" t="s">
        <v>2592</v>
      </c>
    </row>
    <row r="4043" spans="1:2" x14ac:dyDescent="0.25">
      <c r="A4043" s="879"/>
      <c r="B4043" s="1448" t="s">
        <v>1366</v>
      </c>
    </row>
    <row r="4044" spans="1:2" x14ac:dyDescent="0.25">
      <c r="A4044" s="879"/>
      <c r="B4044" s="1448" t="s">
        <v>2593</v>
      </c>
    </row>
    <row r="4045" spans="1:2" x14ac:dyDescent="0.25">
      <c r="A4045" s="879"/>
      <c r="B4045" s="1448" t="s">
        <v>1365</v>
      </c>
    </row>
    <row r="4046" spans="1:2" x14ac:dyDescent="0.25">
      <c r="A4046" s="879"/>
      <c r="B4046" s="1448" t="s">
        <v>1367</v>
      </c>
    </row>
    <row r="4047" spans="1:2" x14ac:dyDescent="0.25">
      <c r="A4047" s="879"/>
      <c r="B4047" s="1448" t="s">
        <v>1368</v>
      </c>
    </row>
    <row r="4048" spans="1:2" x14ac:dyDescent="0.25">
      <c r="A4048" s="879"/>
      <c r="B4048" s="1448" t="s">
        <v>1365</v>
      </c>
    </row>
    <row r="4049" spans="1:2" x14ac:dyDescent="0.25">
      <c r="A4049" s="879"/>
      <c r="B4049" s="1448" t="s">
        <v>1458</v>
      </c>
    </row>
    <row r="4050" spans="1:2" x14ac:dyDescent="0.25">
      <c r="A4050" s="879"/>
      <c r="B4050" s="1448" t="s">
        <v>1459</v>
      </c>
    </row>
    <row r="4051" spans="1:2" x14ac:dyDescent="0.25">
      <c r="A4051" s="879"/>
      <c r="B4051" s="1448" t="s">
        <v>2453</v>
      </c>
    </row>
    <row r="4052" spans="1:2" x14ac:dyDescent="0.25">
      <c r="A4052" s="879"/>
      <c r="B4052" s="1448" t="s">
        <v>2394</v>
      </c>
    </row>
    <row r="4053" spans="1:2" x14ac:dyDescent="0.25">
      <c r="A4053" s="879"/>
      <c r="B4053" s="1448" t="s">
        <v>2183</v>
      </c>
    </row>
    <row r="4054" spans="1:2" x14ac:dyDescent="0.25">
      <c r="A4054" s="879"/>
      <c r="B4054" s="1448" t="s">
        <v>2184</v>
      </c>
    </row>
    <row r="4055" spans="1:2" x14ac:dyDescent="0.25">
      <c r="A4055" s="879"/>
      <c r="B4055" s="1448" t="s">
        <v>2185</v>
      </c>
    </row>
    <row r="4056" spans="1:2" x14ac:dyDescent="0.25">
      <c r="A4056" s="879"/>
      <c r="B4056" s="1448" t="s">
        <v>2454</v>
      </c>
    </row>
    <row r="4057" spans="1:2" x14ac:dyDescent="0.25">
      <c r="A4057" s="879"/>
      <c r="B4057" s="1448" t="s">
        <v>2455</v>
      </c>
    </row>
    <row r="4058" spans="1:2" x14ac:dyDescent="0.25">
      <c r="A4058" s="879"/>
      <c r="B4058" s="1448" t="s">
        <v>2456</v>
      </c>
    </row>
    <row r="4059" spans="1:2" x14ac:dyDescent="0.25">
      <c r="A4059" s="879"/>
      <c r="B4059" s="1448" t="s">
        <v>2187</v>
      </c>
    </row>
    <row r="4060" spans="1:2" x14ac:dyDescent="0.25">
      <c r="A4060" s="879"/>
      <c r="B4060" s="1448" t="s">
        <v>1380</v>
      </c>
    </row>
    <row r="4061" spans="1:2" x14ac:dyDescent="0.25">
      <c r="A4061" s="879"/>
      <c r="B4061" s="1448" t="s">
        <v>1365</v>
      </c>
    </row>
    <row r="4062" spans="1:2" x14ac:dyDescent="0.25">
      <c r="A4062" s="879"/>
      <c r="B4062" s="1448" t="s">
        <v>1458</v>
      </c>
    </row>
    <row r="4063" spans="1:2" x14ac:dyDescent="0.25">
      <c r="A4063" s="879"/>
      <c r="B4063" s="1448" t="s">
        <v>1535</v>
      </c>
    </row>
    <row r="4064" spans="1:2" x14ac:dyDescent="0.25">
      <c r="A4064" s="879"/>
      <c r="B4064" s="1448" t="s">
        <v>2457</v>
      </c>
    </row>
    <row r="4065" spans="1:2" x14ac:dyDescent="0.25">
      <c r="A4065" s="879"/>
      <c r="B4065" s="1448" t="s">
        <v>2458</v>
      </c>
    </row>
    <row r="4066" spans="1:2" x14ac:dyDescent="0.25">
      <c r="A4066" s="879"/>
      <c r="B4066" s="1448" t="s">
        <v>2459</v>
      </c>
    </row>
    <row r="4067" spans="1:2" x14ac:dyDescent="0.25">
      <c r="A4067" s="879"/>
      <c r="B4067" s="1448" t="s">
        <v>2460</v>
      </c>
    </row>
    <row r="4068" spans="1:2" x14ac:dyDescent="0.25">
      <c r="A4068" s="879"/>
      <c r="B4068" s="1448" t="s">
        <v>2461</v>
      </c>
    </row>
    <row r="4069" spans="1:2" x14ac:dyDescent="0.25">
      <c r="A4069" s="879"/>
      <c r="B4069" s="1448" t="s">
        <v>2462</v>
      </c>
    </row>
    <row r="4070" spans="1:2" x14ac:dyDescent="0.25">
      <c r="A4070" s="879"/>
      <c r="B4070" s="1448" t="s">
        <v>2463</v>
      </c>
    </row>
    <row r="4071" spans="1:2" x14ac:dyDescent="0.25">
      <c r="A4071" s="879"/>
      <c r="B4071" s="1448" t="s">
        <v>1462</v>
      </c>
    </row>
    <row r="4072" spans="1:2" x14ac:dyDescent="0.25">
      <c r="A4072" s="879"/>
      <c r="B4072" s="1448" t="s">
        <v>1463</v>
      </c>
    </row>
    <row r="4073" spans="1:2" x14ac:dyDescent="0.25">
      <c r="A4073" s="879"/>
      <c r="B4073" s="1448" t="s">
        <v>1464</v>
      </c>
    </row>
    <row r="4074" spans="1:2" x14ac:dyDescent="0.25">
      <c r="A4074" s="879"/>
      <c r="B4074" s="1448" t="s">
        <v>1465</v>
      </c>
    </row>
    <row r="4075" spans="1:2" x14ac:dyDescent="0.25">
      <c r="A4075" s="879"/>
      <c r="B4075" s="1448" t="s">
        <v>1466</v>
      </c>
    </row>
    <row r="4076" spans="1:2" x14ac:dyDescent="0.25">
      <c r="A4076" s="879"/>
      <c r="B4076" s="1448" t="s">
        <v>1467</v>
      </c>
    </row>
    <row r="4077" spans="1:2" x14ac:dyDescent="0.25">
      <c r="A4077" s="879"/>
      <c r="B4077" s="1448" t="s">
        <v>2464</v>
      </c>
    </row>
    <row r="4078" spans="1:2" x14ac:dyDescent="0.25">
      <c r="A4078" s="879"/>
      <c r="B4078" s="1448" t="s">
        <v>1543</v>
      </c>
    </row>
    <row r="4079" spans="1:2" x14ac:dyDescent="0.25">
      <c r="A4079" s="879"/>
      <c r="B4079" s="1448" t="s">
        <v>2465</v>
      </c>
    </row>
    <row r="4080" spans="1:2" x14ac:dyDescent="0.25">
      <c r="A4080" s="879"/>
      <c r="B4080" s="1448" t="s">
        <v>2189</v>
      </c>
    </row>
    <row r="4081" spans="1:2" x14ac:dyDescent="0.25">
      <c r="A4081" s="879"/>
      <c r="B4081" s="1448" t="s">
        <v>1545</v>
      </c>
    </row>
    <row r="4082" spans="1:2" x14ac:dyDescent="0.25">
      <c r="A4082" s="879"/>
      <c r="B4082" s="1448" t="s">
        <v>1469</v>
      </c>
    </row>
    <row r="4083" spans="1:2" x14ac:dyDescent="0.25">
      <c r="A4083" s="879"/>
      <c r="B4083" s="1448" t="s">
        <v>2466</v>
      </c>
    </row>
    <row r="4084" spans="1:2" x14ac:dyDescent="0.25">
      <c r="A4084" s="879"/>
      <c r="B4084" s="1448" t="s">
        <v>1546</v>
      </c>
    </row>
    <row r="4085" spans="1:2" x14ac:dyDescent="0.25">
      <c r="A4085" s="879"/>
      <c r="B4085" s="1448" t="s">
        <v>1471</v>
      </c>
    </row>
    <row r="4086" spans="1:2" x14ac:dyDescent="0.25">
      <c r="A4086" s="879"/>
      <c r="B4086" s="1448" t="s">
        <v>2467</v>
      </c>
    </row>
    <row r="4087" spans="1:2" x14ac:dyDescent="0.25">
      <c r="A4087" s="879"/>
      <c r="B4087" s="1448" t="s">
        <v>2468</v>
      </c>
    </row>
    <row r="4088" spans="1:2" x14ac:dyDescent="0.25">
      <c r="A4088" s="879"/>
      <c r="B4088" s="1448" t="s">
        <v>1737</v>
      </c>
    </row>
    <row r="4089" spans="1:2" x14ac:dyDescent="0.25">
      <c r="A4089" s="879"/>
      <c r="B4089" s="1448" t="s">
        <v>2469</v>
      </c>
    </row>
    <row r="4090" spans="1:2" x14ac:dyDescent="0.25">
      <c r="A4090" s="879"/>
      <c r="B4090" s="1448" t="s">
        <v>1551</v>
      </c>
    </row>
    <row r="4091" spans="1:2" x14ac:dyDescent="0.25">
      <c r="A4091" s="879"/>
      <c r="B4091" s="1448" t="s">
        <v>2191</v>
      </c>
    </row>
    <row r="4092" spans="1:2" x14ac:dyDescent="0.25">
      <c r="A4092" s="879"/>
      <c r="B4092" s="1448" t="s">
        <v>1476</v>
      </c>
    </row>
    <row r="4093" spans="1:2" x14ac:dyDescent="0.25">
      <c r="A4093" s="879"/>
      <c r="B4093" s="1448" t="s">
        <v>2470</v>
      </c>
    </row>
    <row r="4094" spans="1:2" x14ac:dyDescent="0.25">
      <c r="A4094" s="879"/>
      <c r="B4094" s="1448" t="s">
        <v>1672</v>
      </c>
    </row>
    <row r="4095" spans="1:2" x14ac:dyDescent="0.25">
      <c r="A4095" s="879"/>
      <c r="B4095" s="1448" t="s">
        <v>1477</v>
      </c>
    </row>
    <row r="4096" spans="1:2" x14ac:dyDescent="0.25">
      <c r="A4096" s="879"/>
      <c r="B4096" s="1448" t="s">
        <v>1478</v>
      </c>
    </row>
    <row r="4097" spans="1:2" x14ac:dyDescent="0.25">
      <c r="A4097" s="879"/>
      <c r="B4097" s="1448" t="s">
        <v>2471</v>
      </c>
    </row>
    <row r="4098" spans="1:2" x14ac:dyDescent="0.25">
      <c r="A4098" s="879"/>
      <c r="B4098" s="1448" t="s">
        <v>2472</v>
      </c>
    </row>
    <row r="4099" spans="1:2" x14ac:dyDescent="0.25">
      <c r="A4099" s="879"/>
      <c r="B4099" s="1448" t="s">
        <v>2473</v>
      </c>
    </row>
    <row r="4100" spans="1:2" x14ac:dyDescent="0.25">
      <c r="A4100" s="879"/>
      <c r="B4100" s="1448" t="s">
        <v>2474</v>
      </c>
    </row>
    <row r="4101" spans="1:2" x14ac:dyDescent="0.25">
      <c r="A4101" s="879"/>
      <c r="B4101" s="1448" t="s">
        <v>2475</v>
      </c>
    </row>
    <row r="4102" spans="1:2" x14ac:dyDescent="0.25">
      <c r="A4102" s="879"/>
      <c r="B4102" s="1448" t="s">
        <v>2476</v>
      </c>
    </row>
    <row r="4103" spans="1:2" x14ac:dyDescent="0.25">
      <c r="A4103" s="879"/>
      <c r="B4103" s="1448" t="s">
        <v>2477</v>
      </c>
    </row>
    <row r="4104" spans="1:2" x14ac:dyDescent="0.25">
      <c r="A4104" s="879"/>
      <c r="B4104" s="1448" t="s">
        <v>2478</v>
      </c>
    </row>
    <row r="4105" spans="1:2" x14ac:dyDescent="0.25">
      <c r="A4105" s="879"/>
      <c r="B4105" s="1448" t="s">
        <v>2479</v>
      </c>
    </row>
    <row r="4106" spans="1:2" x14ac:dyDescent="0.25">
      <c r="A4106" s="879"/>
      <c r="B4106" s="1448" t="s">
        <v>1479</v>
      </c>
    </row>
    <row r="4107" spans="1:2" x14ac:dyDescent="0.25">
      <c r="A4107" s="879"/>
      <c r="B4107" s="1448" t="s">
        <v>1560</v>
      </c>
    </row>
    <row r="4108" spans="1:2" x14ac:dyDescent="0.25">
      <c r="A4108" s="879"/>
      <c r="B4108" s="1448" t="s">
        <v>2192</v>
      </c>
    </row>
    <row r="4109" spans="1:2" x14ac:dyDescent="0.25">
      <c r="A4109" s="879"/>
      <c r="B4109" s="1448" t="s">
        <v>1482</v>
      </c>
    </row>
    <row r="4110" spans="1:2" x14ac:dyDescent="0.25">
      <c r="A4110" s="879"/>
      <c r="B4110" s="1448" t="s">
        <v>1428</v>
      </c>
    </row>
    <row r="4111" spans="1:2" x14ac:dyDescent="0.25">
      <c r="A4111" s="879"/>
      <c r="B4111" s="1448" t="s">
        <v>1365</v>
      </c>
    </row>
    <row r="4112" spans="1:2" x14ac:dyDescent="0.25">
      <c r="A4112" s="879"/>
      <c r="B4112" s="1448" t="s">
        <v>1447</v>
      </c>
    </row>
    <row r="4113" spans="1:2" x14ac:dyDescent="0.25">
      <c r="A4113" s="879"/>
      <c r="B4113" s="1448" t="s">
        <v>1365</v>
      </c>
    </row>
    <row r="4114" spans="1:2" x14ac:dyDescent="0.25">
      <c r="A4114" s="879"/>
      <c r="B4114" s="1448" t="s">
        <v>1448</v>
      </c>
    </row>
    <row r="4115" spans="1:2" x14ac:dyDescent="0.25">
      <c r="A4115" s="879"/>
      <c r="B4115" s="1448" t="s">
        <v>1449</v>
      </c>
    </row>
    <row r="4116" spans="1:2" x14ac:dyDescent="0.25">
      <c r="A4116" s="879"/>
      <c r="B4116" s="1448" t="s">
        <v>1450</v>
      </c>
    </row>
    <row r="4117" spans="1:2" x14ac:dyDescent="0.25">
      <c r="A4117" s="879"/>
      <c r="B4117" s="1448" t="s">
        <v>1650</v>
      </c>
    </row>
    <row r="4118" spans="1:2" x14ac:dyDescent="0.25">
      <c r="A4118" s="879"/>
      <c r="B4118" s="1448" t="s">
        <v>1651</v>
      </c>
    </row>
    <row r="4119" spans="1:2" x14ac:dyDescent="0.25">
      <c r="A4119" s="879"/>
      <c r="B4119" s="1448" t="s">
        <v>1515</v>
      </c>
    </row>
    <row r="4120" spans="1:2" x14ac:dyDescent="0.25">
      <c r="A4120" s="879"/>
      <c r="B4120" s="1448" t="s">
        <v>1652</v>
      </c>
    </row>
    <row r="4121" spans="1:2" x14ac:dyDescent="0.25">
      <c r="A4121" s="879"/>
      <c r="B4121" s="1448" t="s">
        <v>1451</v>
      </c>
    </row>
    <row r="4122" spans="1:2" x14ac:dyDescent="0.25">
      <c r="A4122" s="879"/>
      <c r="B4122" s="1448" t="s">
        <v>2193</v>
      </c>
    </row>
    <row r="4123" spans="1:2" x14ac:dyDescent="0.25">
      <c r="A4123" s="879"/>
      <c r="B4123" s="1448" t="s">
        <v>1653</v>
      </c>
    </row>
    <row r="4124" spans="1:2" x14ac:dyDescent="0.25">
      <c r="A4124" s="879"/>
      <c r="B4124" s="1448" t="s">
        <v>1654</v>
      </c>
    </row>
    <row r="4125" spans="1:2" x14ac:dyDescent="0.25">
      <c r="A4125" s="879"/>
      <c r="B4125" s="1448" t="s">
        <v>1452</v>
      </c>
    </row>
    <row r="4126" spans="1:2" x14ac:dyDescent="0.25">
      <c r="A4126" s="879"/>
      <c r="B4126" s="1448" t="s">
        <v>1484</v>
      </c>
    </row>
    <row r="4127" spans="1:2" x14ac:dyDescent="0.25">
      <c r="A4127" s="879"/>
      <c r="B4127" s="1448" t="s">
        <v>1453</v>
      </c>
    </row>
    <row r="4128" spans="1:2" x14ac:dyDescent="0.25">
      <c r="A4128" s="879"/>
      <c r="B4128" s="1448" t="s">
        <v>1516</v>
      </c>
    </row>
    <row r="4129" spans="1:2" x14ac:dyDescent="0.25">
      <c r="A4129" s="879"/>
      <c r="B4129" s="1448" t="s">
        <v>1655</v>
      </c>
    </row>
    <row r="4130" spans="1:2" x14ac:dyDescent="0.25">
      <c r="A4130" s="879"/>
      <c r="B4130" s="1448" t="s">
        <v>2194</v>
      </c>
    </row>
    <row r="4131" spans="1:2" x14ac:dyDescent="0.25">
      <c r="A4131" s="879"/>
      <c r="B4131" s="1448" t="s">
        <v>1454</v>
      </c>
    </row>
    <row r="4132" spans="1:2" x14ac:dyDescent="0.25">
      <c r="A4132" s="879"/>
      <c r="B4132" s="1448" t="s">
        <v>1365</v>
      </c>
    </row>
    <row r="4133" spans="1:2" x14ac:dyDescent="0.25">
      <c r="A4133" s="879"/>
      <c r="B4133" s="1448" t="s">
        <v>1448</v>
      </c>
    </row>
    <row r="4134" spans="1:2" x14ac:dyDescent="0.25">
      <c r="A4134" s="879"/>
      <c r="B4134" s="1448" t="s">
        <v>1449</v>
      </c>
    </row>
    <row r="4135" spans="1:2" x14ac:dyDescent="0.25">
      <c r="A4135" s="879"/>
      <c r="B4135" s="1448" t="s">
        <v>1450</v>
      </c>
    </row>
    <row r="4136" spans="1:2" x14ac:dyDescent="0.25">
      <c r="A4136" s="879"/>
      <c r="B4136" s="1448" t="s">
        <v>1650</v>
      </c>
    </row>
    <row r="4137" spans="1:2" x14ac:dyDescent="0.25">
      <c r="A4137" s="879"/>
      <c r="B4137" s="1448" t="s">
        <v>1651</v>
      </c>
    </row>
    <row r="4138" spans="1:2" x14ac:dyDescent="0.25">
      <c r="A4138" s="879"/>
      <c r="B4138" s="1448" t="s">
        <v>1515</v>
      </c>
    </row>
    <row r="4139" spans="1:2" x14ac:dyDescent="0.25">
      <c r="A4139" s="879"/>
      <c r="B4139" s="1448" t="s">
        <v>1652</v>
      </c>
    </row>
    <row r="4140" spans="1:2" x14ac:dyDescent="0.25">
      <c r="A4140" s="879"/>
      <c r="B4140" s="1448" t="s">
        <v>1451</v>
      </c>
    </row>
    <row r="4141" spans="1:2" x14ac:dyDescent="0.25">
      <c r="A4141" s="879"/>
      <c r="B4141" s="1448" t="s">
        <v>2193</v>
      </c>
    </row>
    <row r="4142" spans="1:2" x14ac:dyDescent="0.25">
      <c r="A4142" s="879"/>
      <c r="B4142" s="1448" t="s">
        <v>1653</v>
      </c>
    </row>
    <row r="4143" spans="1:2" x14ac:dyDescent="0.25">
      <c r="A4143" s="879"/>
      <c r="B4143" s="1448" t="s">
        <v>1654</v>
      </c>
    </row>
    <row r="4144" spans="1:2" x14ac:dyDescent="0.25">
      <c r="A4144" s="879"/>
      <c r="B4144" s="1448" t="s">
        <v>1452</v>
      </c>
    </row>
    <row r="4145" spans="1:2" x14ac:dyDescent="0.25">
      <c r="A4145" s="879"/>
      <c r="B4145" s="1448" t="s">
        <v>1484</v>
      </c>
    </row>
    <row r="4146" spans="1:2" x14ac:dyDescent="0.25">
      <c r="A4146" s="879"/>
      <c r="B4146" s="1448" t="s">
        <v>1453</v>
      </c>
    </row>
    <row r="4147" spans="1:2" x14ac:dyDescent="0.25">
      <c r="A4147" s="879"/>
      <c r="B4147" s="1448" t="s">
        <v>1516</v>
      </c>
    </row>
    <row r="4148" spans="1:2" x14ac:dyDescent="0.25">
      <c r="A4148" s="879"/>
      <c r="B4148" s="1448" t="s">
        <v>1655</v>
      </c>
    </row>
    <row r="4149" spans="1:2" x14ac:dyDescent="0.25">
      <c r="A4149" s="879"/>
      <c r="B4149" s="1448" t="s">
        <v>2194</v>
      </c>
    </row>
    <row r="4150" spans="1:2" x14ac:dyDescent="0.25">
      <c r="A4150" s="879"/>
      <c r="B4150" s="1448" t="s">
        <v>1656</v>
      </c>
    </row>
    <row r="4151" spans="1:2" x14ac:dyDescent="0.25">
      <c r="A4151" s="879"/>
      <c r="B4151" s="1448" t="s">
        <v>1365</v>
      </c>
    </row>
    <row r="4152" spans="1:2" x14ac:dyDescent="0.25">
      <c r="A4152" s="879"/>
      <c r="B4152" s="1448" t="s">
        <v>1657</v>
      </c>
    </row>
    <row r="4153" spans="1:2" x14ac:dyDescent="0.25">
      <c r="A4153" s="879"/>
      <c r="B4153" s="1448" t="s">
        <v>1658</v>
      </c>
    </row>
    <row r="4154" spans="1:2" x14ac:dyDescent="0.25">
      <c r="A4154" s="879"/>
      <c r="B4154" s="1448" t="s">
        <v>1659</v>
      </c>
    </row>
    <row r="4155" spans="1:2" x14ac:dyDescent="0.25">
      <c r="A4155" s="879"/>
      <c r="B4155" s="1448" t="s">
        <v>1660</v>
      </c>
    </row>
    <row r="4156" spans="1:2" x14ac:dyDescent="0.25">
      <c r="A4156" s="879"/>
      <c r="B4156" s="1448" t="s">
        <v>1661</v>
      </c>
    </row>
    <row r="4157" spans="1:2" x14ac:dyDescent="0.25">
      <c r="A4157" s="879"/>
      <c r="B4157" s="1448" t="s">
        <v>1662</v>
      </c>
    </row>
    <row r="4158" spans="1:2" x14ac:dyDescent="0.25">
      <c r="A4158" s="879"/>
      <c r="B4158" s="1448" t="s">
        <v>1663</v>
      </c>
    </row>
    <row r="4159" spans="1:2" x14ac:dyDescent="0.25">
      <c r="A4159" s="879"/>
      <c r="B4159" s="1448" t="s">
        <v>1664</v>
      </c>
    </row>
    <row r="4160" spans="1:2" x14ac:dyDescent="0.25">
      <c r="A4160" s="879"/>
      <c r="B4160" s="1448" t="s">
        <v>1665</v>
      </c>
    </row>
    <row r="4161" spans="1:2" x14ac:dyDescent="0.25">
      <c r="A4161" s="879"/>
      <c r="B4161" s="1448" t="s">
        <v>1666</v>
      </c>
    </row>
    <row r="4162" spans="1:2" x14ac:dyDescent="0.25">
      <c r="A4162" s="879"/>
      <c r="B4162" s="1448" t="s">
        <v>1667</v>
      </c>
    </row>
    <row r="4163" spans="1:2" x14ac:dyDescent="0.25">
      <c r="A4163" s="879"/>
      <c r="B4163" s="1448" t="s">
        <v>1668</v>
      </c>
    </row>
    <row r="4164" spans="1:2" x14ac:dyDescent="0.25">
      <c r="A4164" s="879"/>
      <c r="B4164" s="1448" t="s">
        <v>1669</v>
      </c>
    </row>
    <row r="4165" spans="1:2" x14ac:dyDescent="0.25">
      <c r="A4165" s="879"/>
      <c r="B4165" s="1448" t="s">
        <v>1670</v>
      </c>
    </row>
    <row r="4166" spans="1:2" x14ac:dyDescent="0.25">
      <c r="A4166" s="879"/>
      <c r="B4166" s="1448" t="s">
        <v>1671</v>
      </c>
    </row>
    <row r="4167" spans="1:2" x14ac:dyDescent="0.25">
      <c r="A4167" s="879"/>
      <c r="B4167" s="1448" t="s">
        <v>1769</v>
      </c>
    </row>
    <row r="4168" spans="1:2" x14ac:dyDescent="0.25">
      <c r="A4168" s="879"/>
      <c r="B4168" s="1448" t="s">
        <v>1365</v>
      </c>
    </row>
    <row r="4169" spans="1:2" x14ac:dyDescent="0.25">
      <c r="A4169" s="879"/>
      <c r="B4169" s="1448" t="s">
        <v>1770</v>
      </c>
    </row>
    <row r="4170" spans="1:2" x14ac:dyDescent="0.25">
      <c r="A4170" s="879"/>
      <c r="B4170" s="1448" t="s">
        <v>2594</v>
      </c>
    </row>
    <row r="4171" spans="1:2" x14ac:dyDescent="0.25">
      <c r="A4171" s="879"/>
      <c r="B4171" s="1448" t="s">
        <v>1772</v>
      </c>
    </row>
    <row r="4172" spans="1:2" x14ac:dyDescent="0.25">
      <c r="A4172" s="879"/>
      <c r="B4172" s="1448" t="s">
        <v>1365</v>
      </c>
    </row>
    <row r="4173" spans="1:2" x14ac:dyDescent="0.25">
      <c r="A4173" s="879"/>
      <c r="B4173" s="1448" t="s">
        <v>1773</v>
      </c>
    </row>
    <row r="4174" spans="1:2" x14ac:dyDescent="0.25">
      <c r="A4174" s="879"/>
      <c r="B4174" s="1448"/>
    </row>
    <row r="4175" spans="1:2" x14ac:dyDescent="0.25">
      <c r="A4175" s="879"/>
      <c r="B4175" s="1448"/>
    </row>
    <row r="4176" spans="1:2" x14ac:dyDescent="0.25">
      <c r="A4176" s="879"/>
      <c r="B4176" s="1448" t="s">
        <v>1366</v>
      </c>
    </row>
    <row r="4177" spans="1:2" x14ac:dyDescent="0.25">
      <c r="A4177" s="879"/>
      <c r="B4177" s="1448" t="s">
        <v>1600</v>
      </c>
    </row>
  </sheetData>
  <phoneticPr fontId="0" type="noConversion"/>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3"/>
  <sheetViews>
    <sheetView tabSelected="1" zoomScaleNormal="100" workbookViewId="0">
      <pane xSplit="1" ySplit="7" topLeftCell="B8" activePane="bottomRight" state="frozen"/>
      <selection pane="topRight" activeCell="B1" sqref="B1"/>
      <selection pane="bottomLeft" activeCell="A8" sqref="A8"/>
      <selection pane="bottomRight" activeCell="B8" sqref="B8"/>
    </sheetView>
  </sheetViews>
  <sheetFormatPr defaultColWidth="9.33203125" defaultRowHeight="13.2" x14ac:dyDescent="0.25"/>
  <cols>
    <col min="1" max="1" width="4.44140625" style="435" customWidth="1"/>
    <col min="2" max="2" width="62.6640625" style="29" customWidth="1"/>
    <col min="3" max="3" width="21.33203125" style="29" customWidth="1"/>
    <col min="4" max="4" width="20.33203125" style="29" customWidth="1"/>
    <col min="5" max="5" width="24.33203125" style="29" customWidth="1"/>
    <col min="6" max="7" width="25.6640625" style="29" customWidth="1"/>
    <col min="8" max="8" width="33.6640625" style="29" customWidth="1"/>
    <col min="9" max="9" width="38" style="29" bestFit="1" customWidth="1"/>
    <col min="10" max="10" width="47.33203125" style="29" customWidth="1"/>
    <col min="11" max="11" width="18.44140625" style="29" customWidth="1"/>
    <col min="12" max="12" width="9.33203125" style="29"/>
    <col min="13" max="13" width="9.6640625" style="29" bestFit="1" customWidth="1"/>
    <col min="14" max="16384" width="9.33203125" style="29"/>
  </cols>
  <sheetData>
    <row r="1" spans="1:8" ht="8.6999999999999993" customHeight="1" thickBot="1" x14ac:dyDescent="0.3">
      <c r="A1" s="1350"/>
      <c r="B1" s="1038"/>
      <c r="C1" s="1038"/>
      <c r="D1" s="1038"/>
      <c r="E1" s="1038"/>
      <c r="F1" s="1038"/>
      <c r="G1" s="1038"/>
      <c r="H1" s="1038"/>
    </row>
    <row r="2" spans="1:8" ht="27" customHeight="1" thickBot="1" x14ac:dyDescent="0.3">
      <c r="A2" s="1436"/>
      <c r="B2" s="1550" t="s">
        <v>1256</v>
      </c>
      <c r="C2" s="1551"/>
      <c r="D2" s="1551"/>
      <c r="E2" s="1552"/>
      <c r="F2" s="1552"/>
      <c r="G2" s="1553"/>
      <c r="H2" s="1038"/>
    </row>
    <row r="3" spans="1:8" ht="32.4" customHeight="1" thickBot="1" x14ac:dyDescent="0.3">
      <c r="A3" s="1436" t="s">
        <v>1024</v>
      </c>
      <c r="B3" s="1554" t="s">
        <v>2595</v>
      </c>
      <c r="C3" s="1555"/>
      <c r="D3" s="1556"/>
      <c r="E3" s="312"/>
      <c r="F3" s="1202"/>
      <c r="G3" s="1235"/>
      <c r="H3" s="1038"/>
    </row>
    <row r="4" spans="1:8" ht="6.6" customHeight="1" thickBot="1" x14ac:dyDescent="0.3">
      <c r="A4" s="1436"/>
      <c r="B4" s="1351"/>
      <c r="C4" s="312"/>
      <c r="D4" s="1557"/>
      <c r="E4" s="1557"/>
      <c r="F4" s="1202"/>
      <c r="G4" s="1235"/>
      <c r="H4" s="1038"/>
    </row>
    <row r="5" spans="1:8" ht="21.6" thickTop="1" x14ac:dyDescent="0.25">
      <c r="A5" s="1436"/>
      <c r="B5" s="1352" t="s">
        <v>1049</v>
      </c>
      <c r="C5" s="1353"/>
      <c r="D5" s="1354"/>
      <c r="E5" s="1354"/>
      <c r="F5" s="1189"/>
      <c r="G5" s="1190"/>
      <c r="H5" s="1038"/>
    </row>
    <row r="6" spans="1:8" ht="21" customHeight="1" x14ac:dyDescent="0.25">
      <c r="A6" s="1436"/>
      <c r="B6" s="1355" t="s">
        <v>202</v>
      </c>
      <c r="C6" s="312"/>
      <c r="D6" s="1356"/>
      <c r="E6" s="1356"/>
      <c r="F6" s="1202"/>
      <c r="G6" s="1235"/>
      <c r="H6" s="1038"/>
    </row>
    <row r="7" spans="1:8" ht="21" x14ac:dyDescent="0.25">
      <c r="A7" s="1436"/>
      <c r="B7" s="1357"/>
      <c r="C7" s="312"/>
      <c r="D7" s="1258"/>
      <c r="E7" s="1258"/>
      <c r="F7" s="1202"/>
      <c r="G7" s="1235"/>
      <c r="H7" s="1038"/>
    </row>
    <row r="8" spans="1:8" ht="29.25" customHeight="1" x14ac:dyDescent="0.25">
      <c r="A8" s="1436"/>
      <c r="B8" s="1355" t="s">
        <v>197</v>
      </c>
      <c r="C8" s="312"/>
      <c r="D8" s="1258"/>
      <c r="E8" s="1258"/>
      <c r="F8" s="1202"/>
      <c r="G8" s="1235"/>
      <c r="H8" s="1038"/>
    </row>
    <row r="9" spans="1:8" ht="21" x14ac:dyDescent="0.25">
      <c r="A9" s="1436"/>
      <c r="B9" s="1357"/>
      <c r="C9" s="312"/>
      <c r="D9" s="312"/>
      <c r="E9" s="312"/>
      <c r="F9" s="1202"/>
      <c r="G9" s="1235"/>
      <c r="H9" s="1038"/>
    </row>
    <row r="10" spans="1:8" ht="21" x14ac:dyDescent="0.25">
      <c r="A10" s="1436"/>
      <c r="B10" s="1355" t="s">
        <v>196</v>
      </c>
      <c r="C10" s="312"/>
      <c r="D10" s="312"/>
      <c r="E10" s="312"/>
      <c r="F10" s="1202"/>
      <c r="G10" s="1235"/>
      <c r="H10" s="1038"/>
    </row>
    <row r="11" spans="1:8" ht="21" x14ac:dyDescent="0.25">
      <c r="A11" s="1436"/>
      <c r="B11" s="1351"/>
      <c r="C11" s="312"/>
      <c r="D11" s="312"/>
      <c r="E11" s="312"/>
      <c r="F11" s="1202"/>
      <c r="G11" s="1235"/>
      <c r="H11" s="1038"/>
    </row>
    <row r="12" spans="1:8" ht="21" x14ac:dyDescent="0.25">
      <c r="A12" s="1436"/>
      <c r="B12" s="1351"/>
      <c r="C12" s="312"/>
      <c r="D12" s="312"/>
      <c r="E12" s="312"/>
      <c r="F12" s="1202"/>
      <c r="G12" s="1235"/>
      <c r="H12" s="1038"/>
    </row>
    <row r="13" spans="1:8" ht="21" x14ac:dyDescent="0.25">
      <c r="A13" s="1436"/>
      <c r="B13" s="1351"/>
      <c r="C13" s="312"/>
      <c r="D13" s="312"/>
      <c r="E13" s="312"/>
      <c r="F13" s="1202"/>
      <c r="G13" s="1235"/>
      <c r="H13" s="1038"/>
    </row>
    <row r="14" spans="1:8" ht="21" x14ac:dyDescent="0.25">
      <c r="A14" s="1436"/>
      <c r="B14" s="1358" t="s">
        <v>321</v>
      </c>
      <c r="C14" s="312"/>
      <c r="D14" s="312"/>
      <c r="E14" s="312"/>
      <c r="F14" s="312"/>
      <c r="G14" s="1235"/>
      <c r="H14" s="1038"/>
    </row>
    <row r="15" spans="1:8" ht="21" x14ac:dyDescent="0.25">
      <c r="A15" s="1436"/>
      <c r="B15" s="1358" t="s">
        <v>369</v>
      </c>
      <c r="C15" s="312"/>
      <c r="D15" s="312"/>
      <c r="E15" s="312"/>
      <c r="F15" s="312"/>
      <c r="G15" s="1235"/>
      <c r="H15" s="1038"/>
    </row>
    <row r="16" spans="1:8" ht="21" x14ac:dyDescent="0.25">
      <c r="A16" s="1436"/>
      <c r="B16" s="1358" t="s">
        <v>142</v>
      </c>
      <c r="C16" s="312"/>
      <c r="D16" s="312"/>
      <c r="E16" s="312"/>
      <c r="F16" s="312"/>
      <c r="G16" s="1235"/>
      <c r="H16" s="1372" t="s">
        <v>1158</v>
      </c>
    </row>
    <row r="17" spans="1:8" ht="21" x14ac:dyDescent="0.25">
      <c r="A17" s="1436"/>
      <c r="B17" s="1358" t="s">
        <v>938</v>
      </c>
      <c r="C17" s="312"/>
      <c r="D17" s="312"/>
      <c r="E17" s="312"/>
      <c r="F17" s="312"/>
      <c r="G17" s="1235"/>
      <c r="H17" s="1373">
        <f ca="1">+NPV</f>
        <v>2.5123249858155253E-9</v>
      </c>
    </row>
    <row r="18" spans="1:8" ht="21" x14ac:dyDescent="0.25">
      <c r="A18" s="1436"/>
      <c r="B18" s="1358" t="s">
        <v>351</v>
      </c>
      <c r="C18" s="312"/>
      <c r="D18" s="312"/>
      <c r="E18" s="312"/>
      <c r="F18" s="312"/>
      <c r="G18" s="1235"/>
      <c r="H18" s="1038"/>
    </row>
    <row r="19" spans="1:8" ht="21" x14ac:dyDescent="0.25">
      <c r="A19" s="1436"/>
      <c r="B19" s="1358" t="s">
        <v>939</v>
      </c>
      <c r="C19" s="312"/>
      <c r="D19" s="312"/>
      <c r="E19" s="312"/>
      <c r="F19" s="312"/>
      <c r="G19" s="1235"/>
      <c r="H19" s="1038"/>
    </row>
    <row r="20" spans="1:8" ht="21" x14ac:dyDescent="0.25">
      <c r="A20" s="1436"/>
      <c r="B20" s="1358" t="s">
        <v>940</v>
      </c>
      <c r="C20" s="312"/>
      <c r="D20" s="312"/>
      <c r="E20" s="312"/>
      <c r="F20" s="312"/>
      <c r="G20" s="1235"/>
      <c r="H20" s="1038"/>
    </row>
    <row r="21" spans="1:8" ht="5.7" customHeight="1" x14ac:dyDescent="0.25">
      <c r="A21" s="1436"/>
      <c r="B21" s="1359"/>
      <c r="C21" s="312"/>
      <c r="D21" s="1258"/>
      <c r="E21" s="1258"/>
      <c r="F21" s="1202"/>
      <c r="G21" s="1235"/>
      <c r="H21" s="1038"/>
    </row>
    <row r="22" spans="1:8" ht="5.7" customHeight="1" x14ac:dyDescent="0.25">
      <c r="A22" s="1436"/>
      <c r="B22" s="1038"/>
      <c r="C22" s="1038"/>
      <c r="D22" s="1038"/>
      <c r="E22" s="1258"/>
      <c r="F22" s="1202"/>
      <c r="G22" s="1235"/>
      <c r="H22" s="1038"/>
    </row>
    <row r="23" spans="1:8" ht="5.7" customHeight="1" thickBot="1" x14ac:dyDescent="0.3">
      <c r="A23" s="1436"/>
      <c r="B23" s="1351"/>
      <c r="C23" s="312"/>
      <c r="D23" s="1258"/>
      <c r="E23" s="1258"/>
      <c r="F23" s="1202"/>
      <c r="G23" s="1235"/>
      <c r="H23" s="1038"/>
    </row>
    <row r="24" spans="1:8" ht="31.5" customHeight="1" thickTop="1" thickBot="1" x14ac:dyDescent="0.3">
      <c r="A24" s="1436"/>
      <c r="B24" s="1360" t="s">
        <v>321</v>
      </c>
      <c r="C24" s="1184"/>
      <c r="D24" s="1184"/>
      <c r="E24" s="1560" t="s">
        <v>431</v>
      </c>
      <c r="F24" s="1560"/>
      <c r="G24" s="1561"/>
      <c r="H24" s="1038"/>
    </row>
    <row r="25" spans="1:8" ht="17.100000000000001" customHeight="1" thickBot="1" x14ac:dyDescent="0.3">
      <c r="A25" s="1436" t="s">
        <v>7</v>
      </c>
      <c r="B25" s="313" t="s">
        <v>333</v>
      </c>
      <c r="C25" s="1469">
        <f ca="1">0.86*sensitivity_01</f>
        <v>0.86</v>
      </c>
      <c r="D25" s="1182"/>
      <c r="E25" s="1558"/>
      <c r="F25" s="1558"/>
      <c r="G25" s="1529"/>
      <c r="H25" s="1038"/>
    </row>
    <row r="26" spans="1:8" ht="17.100000000000001" customHeight="1" thickBot="1" x14ac:dyDescent="0.3">
      <c r="A26" s="1436" t="s">
        <v>25</v>
      </c>
      <c r="B26" s="313" t="s">
        <v>334</v>
      </c>
      <c r="C26" s="1470">
        <f ca="1">1500*sensitivity_02</f>
        <v>1500</v>
      </c>
      <c r="D26" s="1182"/>
      <c r="E26" s="1558"/>
      <c r="F26" s="1558"/>
      <c r="G26" s="1529"/>
      <c r="H26" s="1038"/>
    </row>
    <row r="27" spans="1:8" ht="17.100000000000001" customHeight="1" thickBot="1" x14ac:dyDescent="0.3">
      <c r="A27" s="1436"/>
      <c r="B27" s="313" t="s">
        <v>420</v>
      </c>
      <c r="C27" s="1181">
        <f ca="1">design_cap*cap_factor</f>
        <v>1290</v>
      </c>
      <c r="D27" s="1182"/>
      <c r="E27" s="1306"/>
      <c r="F27" s="1306"/>
      <c r="G27" s="1303"/>
      <c r="H27" s="1038"/>
    </row>
    <row r="28" spans="1:8" ht="17.100000000000001" customHeight="1" thickBot="1" x14ac:dyDescent="0.3">
      <c r="A28" s="1436" t="s">
        <v>991</v>
      </c>
      <c r="B28" s="313" t="s">
        <v>19</v>
      </c>
      <c r="C28" s="1183">
        <f ca="1">output_kgpday*365</f>
        <v>470850</v>
      </c>
      <c r="D28" s="1182"/>
      <c r="E28" s="1562"/>
      <c r="F28" s="1558"/>
      <c r="G28" s="1529"/>
      <c r="H28" s="1038"/>
    </row>
    <row r="29" spans="1:8" ht="20.100000000000001" customHeight="1" thickTop="1" thickBot="1" x14ac:dyDescent="0.3">
      <c r="A29" s="1436"/>
      <c r="B29" s="1360" t="s">
        <v>369</v>
      </c>
      <c r="C29" s="1184"/>
      <c r="D29" s="1185"/>
      <c r="E29" s="1560" t="s">
        <v>1080</v>
      </c>
      <c r="F29" s="1560"/>
      <c r="G29" s="1561"/>
      <c r="H29" s="1038"/>
    </row>
    <row r="30" spans="1:8" ht="17.100000000000001" customHeight="1" thickBot="1" x14ac:dyDescent="0.3">
      <c r="A30" s="1436" t="s">
        <v>1007</v>
      </c>
      <c r="B30" s="313" t="s">
        <v>1008</v>
      </c>
      <c r="C30" s="1471">
        <v>2016</v>
      </c>
      <c r="D30" s="1149"/>
      <c r="E30" s="1558"/>
      <c r="F30" s="1558"/>
      <c r="G30" s="1529"/>
      <c r="H30" s="1038"/>
    </row>
    <row r="31" spans="1:8" ht="17.100000000000001" customHeight="1" thickBot="1" x14ac:dyDescent="0.3">
      <c r="A31" s="1436" t="s">
        <v>181</v>
      </c>
      <c r="B31" s="313" t="s">
        <v>370</v>
      </c>
      <c r="C31" s="1471">
        <v>2040</v>
      </c>
      <c r="D31" s="1182"/>
      <c r="E31" s="1558"/>
      <c r="F31" s="1558"/>
      <c r="G31" s="1529"/>
      <c r="H31" s="1038"/>
    </row>
    <row r="32" spans="1:8" ht="17.100000000000001" customHeight="1" thickBot="1" x14ac:dyDescent="0.3">
      <c r="A32" s="1436"/>
      <c r="B32" s="313" t="s">
        <v>828</v>
      </c>
      <c r="C32" s="1471">
        <v>2005</v>
      </c>
      <c r="D32" s="1559" t="s">
        <v>1079</v>
      </c>
      <c r="E32" s="1306"/>
      <c r="F32" s="1306"/>
      <c r="G32" s="1303"/>
      <c r="H32" s="1038"/>
    </row>
    <row r="33" spans="1:8" ht="17.100000000000001" customHeight="1" thickBot="1" x14ac:dyDescent="0.3">
      <c r="A33" s="1436" t="s">
        <v>9</v>
      </c>
      <c r="B33" s="313" t="s">
        <v>371</v>
      </c>
      <c r="C33" s="1471">
        <v>1</v>
      </c>
      <c r="D33" s="1559"/>
      <c r="E33" s="1558"/>
      <c r="F33" s="1558"/>
      <c r="G33" s="1529"/>
      <c r="H33" s="1038"/>
    </row>
    <row r="34" spans="1:8" ht="17.100000000000001" customHeight="1" thickBot="1" x14ac:dyDescent="0.3">
      <c r="A34" s="1436" t="s">
        <v>160</v>
      </c>
      <c r="B34" s="313" t="s">
        <v>932</v>
      </c>
      <c r="C34" s="1472">
        <v>1</v>
      </c>
      <c r="D34" s="1186"/>
      <c r="E34" s="1558"/>
      <c r="F34" s="1558"/>
      <c r="G34" s="1529"/>
      <c r="H34" s="1038"/>
    </row>
    <row r="35" spans="1:8" ht="17.100000000000001" customHeight="1" thickBot="1" x14ac:dyDescent="0.3">
      <c r="A35" s="1436" t="s">
        <v>161</v>
      </c>
      <c r="B35" s="313" t="s">
        <v>372</v>
      </c>
      <c r="C35" s="1472">
        <v>0</v>
      </c>
      <c r="D35" s="1186"/>
      <c r="E35" s="1558"/>
      <c r="F35" s="1558"/>
      <c r="G35" s="1529"/>
      <c r="H35" s="1038"/>
    </row>
    <row r="36" spans="1:8" ht="17.100000000000001" customHeight="1" thickBot="1" x14ac:dyDescent="0.3">
      <c r="A36" s="1436" t="s">
        <v>162</v>
      </c>
      <c r="B36" s="313" t="s">
        <v>373</v>
      </c>
      <c r="C36" s="1472">
        <v>0</v>
      </c>
      <c r="D36" s="1186"/>
      <c r="E36" s="1558"/>
      <c r="F36" s="1558"/>
      <c r="G36" s="1529"/>
      <c r="H36" s="1038"/>
    </row>
    <row r="37" spans="1:8" ht="17.100000000000001" customHeight="1" thickBot="1" x14ac:dyDescent="0.3">
      <c r="A37" s="1436" t="s">
        <v>163</v>
      </c>
      <c r="B37" s="313" t="s">
        <v>322</v>
      </c>
      <c r="C37" s="1472"/>
      <c r="D37" s="1182"/>
      <c r="E37" s="1558"/>
      <c r="F37" s="1558"/>
      <c r="G37" s="1529"/>
      <c r="H37" s="1038"/>
    </row>
    <row r="38" spans="1:8" ht="17.100000000000001" customHeight="1" thickBot="1" x14ac:dyDescent="0.3">
      <c r="A38" s="1436" t="s">
        <v>180</v>
      </c>
      <c r="B38" s="313" t="s">
        <v>375</v>
      </c>
      <c r="C38" s="1478">
        <v>0.5</v>
      </c>
      <c r="D38" s="1182"/>
      <c r="E38" s="1558"/>
      <c r="F38" s="1558"/>
      <c r="G38" s="1529"/>
      <c r="H38" s="1038"/>
    </row>
    <row r="39" spans="1:8" ht="17.100000000000001" customHeight="1" thickBot="1" x14ac:dyDescent="0.3">
      <c r="A39" s="1436" t="s">
        <v>169</v>
      </c>
      <c r="B39" s="313" t="s">
        <v>376</v>
      </c>
      <c r="C39" s="1471">
        <v>20</v>
      </c>
      <c r="D39" s="1182"/>
      <c r="E39" s="1558"/>
      <c r="F39" s="1558"/>
      <c r="G39" s="1529"/>
      <c r="H39" s="1038"/>
    </row>
    <row r="40" spans="1:8" ht="17.100000000000001" customHeight="1" thickBot="1" x14ac:dyDescent="0.3">
      <c r="A40" s="1436" t="s">
        <v>6</v>
      </c>
      <c r="B40" s="313" t="s">
        <v>377</v>
      </c>
      <c r="C40" s="1471">
        <v>20</v>
      </c>
      <c r="D40" s="1182"/>
      <c r="E40" s="1558"/>
      <c r="F40" s="1558"/>
      <c r="G40" s="1529"/>
      <c r="H40" s="1038"/>
    </row>
    <row r="41" spans="1:8" ht="17.100000000000001" customHeight="1" thickBot="1" x14ac:dyDescent="0.3">
      <c r="A41" s="1436" t="s">
        <v>23</v>
      </c>
      <c r="B41" s="313" t="s">
        <v>378</v>
      </c>
      <c r="C41" s="1471">
        <v>7</v>
      </c>
      <c r="D41" s="1182"/>
      <c r="E41" s="1558"/>
      <c r="F41" s="1558"/>
      <c r="G41" s="1529"/>
      <c r="H41" s="1038"/>
    </row>
    <row r="42" spans="1:8" ht="17.100000000000001" customHeight="1" thickBot="1" x14ac:dyDescent="0.3">
      <c r="A42" s="1436" t="s">
        <v>24</v>
      </c>
      <c r="B42" s="313" t="s">
        <v>386</v>
      </c>
      <c r="C42" s="1473" t="s">
        <v>428</v>
      </c>
      <c r="D42" s="1182"/>
      <c r="E42" s="1558"/>
      <c r="F42" s="1558"/>
      <c r="G42" s="1529"/>
      <c r="H42" s="1038"/>
    </row>
    <row r="43" spans="1:8" ht="17.100000000000001" customHeight="1" thickBot="1" x14ac:dyDescent="0.3">
      <c r="A43" s="1436" t="s">
        <v>246</v>
      </c>
      <c r="B43" s="313" t="s">
        <v>18</v>
      </c>
      <c r="C43" s="1474">
        <v>0.4</v>
      </c>
      <c r="D43" s="1182"/>
      <c r="E43" s="1558"/>
      <c r="F43" s="1558"/>
      <c r="G43" s="1529"/>
      <c r="H43" s="1038"/>
    </row>
    <row r="44" spans="1:8" ht="17.100000000000001" customHeight="1" thickBot="1" x14ac:dyDescent="0.3">
      <c r="A44" s="1436" t="s">
        <v>12</v>
      </c>
      <c r="B44" s="313" t="s">
        <v>385</v>
      </c>
      <c r="C44" s="1475">
        <v>3.6999999999999998E-2</v>
      </c>
      <c r="D44" s="1182"/>
      <c r="E44" s="1558"/>
      <c r="F44" s="1558"/>
      <c r="G44" s="1529"/>
      <c r="H44" s="1038"/>
    </row>
    <row r="45" spans="1:8" ht="17.100000000000001" customHeight="1" thickBot="1" x14ac:dyDescent="0.3">
      <c r="A45" s="1436" t="s">
        <v>13</v>
      </c>
      <c r="B45" s="313" t="s">
        <v>379</v>
      </c>
      <c r="C45" s="1476">
        <v>0</v>
      </c>
      <c r="D45" s="1182"/>
      <c r="E45" s="1558" t="s">
        <v>1255</v>
      </c>
      <c r="F45" s="1558"/>
      <c r="G45" s="1529"/>
      <c r="H45" s="1038"/>
    </row>
    <row r="46" spans="1:8" ht="17.100000000000001" customHeight="1" thickBot="1" x14ac:dyDescent="0.3">
      <c r="A46" s="1436" t="s">
        <v>164</v>
      </c>
      <c r="B46" s="313" t="s">
        <v>380</v>
      </c>
      <c r="C46" s="1472">
        <v>0.75</v>
      </c>
      <c r="D46" s="1182"/>
      <c r="E46" s="1558"/>
      <c r="F46" s="1558"/>
      <c r="G46" s="1529"/>
      <c r="H46" s="1038"/>
    </row>
    <row r="47" spans="1:8" ht="17.100000000000001" customHeight="1" thickBot="1" x14ac:dyDescent="0.3">
      <c r="A47" s="1436" t="s">
        <v>166</v>
      </c>
      <c r="B47" s="313" t="s">
        <v>381</v>
      </c>
      <c r="C47" s="1472">
        <v>0.5</v>
      </c>
      <c r="D47" s="1182"/>
      <c r="E47" s="1558"/>
      <c r="F47" s="1558"/>
      <c r="G47" s="1529"/>
      <c r="H47" s="1038"/>
    </row>
    <row r="48" spans="1:8" ht="17.100000000000001" customHeight="1" thickBot="1" x14ac:dyDescent="0.3">
      <c r="A48" s="1436" t="s">
        <v>167</v>
      </c>
      <c r="B48" s="313" t="s">
        <v>382</v>
      </c>
      <c r="C48" s="1472">
        <v>0.5</v>
      </c>
      <c r="D48" s="1182"/>
      <c r="E48" s="1558"/>
      <c r="F48" s="1558"/>
      <c r="G48" s="1529"/>
      <c r="H48" s="1038"/>
    </row>
    <row r="49" spans="1:8" ht="17.100000000000001" customHeight="1" thickBot="1" x14ac:dyDescent="0.3">
      <c r="A49" s="1436" t="s">
        <v>17</v>
      </c>
      <c r="B49" s="313" t="s">
        <v>383</v>
      </c>
      <c r="C49" s="1472">
        <v>0.1</v>
      </c>
      <c r="D49" s="1182"/>
      <c r="E49" s="1558"/>
      <c r="F49" s="1558"/>
      <c r="G49" s="1529"/>
      <c r="H49" s="1038"/>
    </row>
    <row r="50" spans="1:8" ht="17.100000000000001" customHeight="1" thickBot="1" x14ac:dyDescent="0.3">
      <c r="A50" s="1436" t="s">
        <v>177</v>
      </c>
      <c r="B50" s="313" t="s">
        <v>384</v>
      </c>
      <c r="C50" s="1472">
        <v>0.1</v>
      </c>
      <c r="D50" s="1182"/>
      <c r="E50" s="1558"/>
      <c r="F50" s="1558"/>
      <c r="G50" s="1529"/>
      <c r="H50" s="1038"/>
    </row>
    <row r="51" spans="1:8" ht="17.100000000000001" customHeight="1" thickBot="1" x14ac:dyDescent="0.3">
      <c r="A51" s="1436" t="s">
        <v>29</v>
      </c>
      <c r="B51" s="313" t="s">
        <v>961</v>
      </c>
      <c r="C51" s="1469">
        <v>1.9E-2</v>
      </c>
      <c r="D51" s="1182"/>
      <c r="E51" s="1558"/>
      <c r="F51" s="1558"/>
      <c r="G51" s="1529"/>
      <c r="H51" s="1038"/>
    </row>
    <row r="52" spans="1:8" ht="17.100000000000001" customHeight="1" thickBot="1" x14ac:dyDescent="0.3">
      <c r="A52" s="1436" t="s">
        <v>173</v>
      </c>
      <c r="B52" s="313" t="s">
        <v>1002</v>
      </c>
      <c r="C52" s="1469">
        <f ca="1">0.08*sensitivity_03</f>
        <v>0.08</v>
      </c>
      <c r="D52" s="1182"/>
      <c r="E52" s="1558"/>
      <c r="F52" s="1558"/>
      <c r="G52" s="1529"/>
      <c r="H52" s="1038"/>
    </row>
    <row r="53" spans="1:8" ht="17.100000000000001" customHeight="1" thickBot="1" x14ac:dyDescent="0.3">
      <c r="A53" s="1436" t="s">
        <v>183</v>
      </c>
      <c r="B53" s="313" t="s">
        <v>1003</v>
      </c>
      <c r="C53" s="1469">
        <v>0.06</v>
      </c>
      <c r="D53" s="1182"/>
      <c r="E53" s="1558"/>
      <c r="F53" s="1558"/>
      <c r="G53" s="1529"/>
      <c r="H53" s="1038"/>
    </row>
    <row r="54" spans="1:8" ht="17.100000000000001" customHeight="1" thickBot="1" x14ac:dyDescent="0.3">
      <c r="A54" s="1436" t="s">
        <v>27</v>
      </c>
      <c r="B54" s="313" t="s">
        <v>960</v>
      </c>
      <c r="C54" s="1477">
        <v>0.21</v>
      </c>
      <c r="D54" s="1182"/>
      <c r="E54" s="1558"/>
      <c r="F54" s="1558"/>
      <c r="G54" s="1529"/>
      <c r="H54" s="1038"/>
    </row>
    <row r="55" spans="1:8" ht="17.100000000000001" customHeight="1" thickBot="1" x14ac:dyDescent="0.3">
      <c r="A55" s="1436" t="s">
        <v>999</v>
      </c>
      <c r="B55" s="313" t="s">
        <v>20</v>
      </c>
      <c r="C55" s="1180">
        <f>fed_tax_rate+state_tax_rate*(1-fed_tax_rate)</f>
        <v>0.25739999999999996</v>
      </c>
      <c r="D55" s="1187"/>
      <c r="E55" s="1562"/>
      <c r="F55" s="1558"/>
      <c r="G55" s="1529"/>
      <c r="H55" s="1038"/>
    </row>
    <row r="56" spans="1:8" ht="17.100000000000001" customHeight="1" thickBot="1" x14ac:dyDescent="0.3">
      <c r="A56" s="1436" t="s">
        <v>188</v>
      </c>
      <c r="B56" s="313" t="s">
        <v>368</v>
      </c>
      <c r="C56" s="1176">
        <v>0.15</v>
      </c>
      <c r="D56" s="1182"/>
      <c r="E56" s="1558"/>
      <c r="F56" s="1558"/>
      <c r="G56" s="1529"/>
      <c r="H56" s="1038"/>
    </row>
    <row r="57" spans="1:8" ht="18.75" customHeight="1" thickTop="1" x14ac:dyDescent="0.25">
      <c r="A57" s="1436"/>
      <c r="B57" s="1361" t="s">
        <v>1025</v>
      </c>
      <c r="C57" s="1188"/>
      <c r="D57" s="1189"/>
      <c r="E57" s="1189"/>
      <c r="F57" s="1189"/>
      <c r="G57" s="1190"/>
      <c r="H57" s="1038"/>
    </row>
    <row r="58" spans="1:8" ht="21" customHeight="1" thickBot="1" x14ac:dyDescent="0.3">
      <c r="A58" s="1436"/>
      <c r="B58" s="412" t="s">
        <v>274</v>
      </c>
      <c r="C58" s="444"/>
      <c r="D58" s="1191"/>
      <c r="E58" s="1191"/>
      <c r="F58" s="1191"/>
      <c r="G58" s="1192"/>
      <c r="H58" s="1038"/>
    </row>
    <row r="59" spans="1:8" ht="23.25" customHeight="1" thickBot="1" x14ac:dyDescent="0.3">
      <c r="A59" s="1436"/>
      <c r="B59" s="978" t="s">
        <v>1196</v>
      </c>
      <c r="C59" s="444"/>
      <c r="D59" s="1191"/>
      <c r="E59" s="1191"/>
      <c r="F59" s="1563" t="s">
        <v>703</v>
      </c>
      <c r="G59" s="1192"/>
      <c r="H59" s="1038"/>
    </row>
    <row r="60" spans="1:8" ht="18.75" customHeight="1" thickBot="1" x14ac:dyDescent="0.3">
      <c r="A60" s="1436"/>
      <c r="B60" s="412" t="s">
        <v>685</v>
      </c>
      <c r="C60" s="1191"/>
      <c r="D60" s="1191"/>
      <c r="E60" s="1191"/>
      <c r="F60" s="1563"/>
      <c r="G60" s="1192"/>
      <c r="H60" s="1038"/>
    </row>
    <row r="61" spans="1:8" ht="17.100000000000001" customHeight="1" thickBot="1" x14ac:dyDescent="0.3">
      <c r="A61" s="1436"/>
      <c r="B61" s="978" t="s">
        <v>820</v>
      </c>
      <c r="C61" s="414" t="str">
        <f>IF(OR(TMP_FeedType="Feedstock",TMP_FeedType = "Utility")," Enter usage in","Enter production in")</f>
        <v xml:space="preserve"> Enter usage in</v>
      </c>
      <c r="D61" s="414" t="str">
        <f ca="1">VLOOKUP(TMP_FeedName,INDIRECT(TMP_PriceTable),4,FALSE)</f>
        <v>kWh</v>
      </c>
      <c r="E61" s="1191"/>
      <c r="F61" s="1563"/>
      <c r="G61" s="1192"/>
      <c r="H61" s="1038"/>
    </row>
    <row r="62" spans="1:8" ht="17.100000000000001" customHeight="1" thickBot="1" x14ac:dyDescent="0.3">
      <c r="A62" s="1436"/>
      <c r="B62" s="412" t="s">
        <v>686</v>
      </c>
      <c r="C62" s="414"/>
      <c r="D62" s="414"/>
      <c r="E62" s="1191"/>
      <c r="F62" s="1563"/>
      <c r="G62" s="1192"/>
      <c r="H62" s="1038"/>
    </row>
    <row r="63" spans="1:8" ht="17.100000000000001" customHeight="1" thickBot="1" x14ac:dyDescent="0.3">
      <c r="A63" s="1436"/>
      <c r="B63" s="978" t="s">
        <v>672</v>
      </c>
      <c r="C63" s="1191"/>
      <c r="D63" s="1191"/>
      <c r="E63" s="1191"/>
      <c r="F63" s="1563"/>
      <c r="G63" s="1192"/>
      <c r="H63" s="1038"/>
    </row>
    <row r="64" spans="1:8" ht="17.100000000000001" customHeight="1" thickBot="1" x14ac:dyDescent="0.3">
      <c r="A64" s="1436"/>
      <c r="B64" s="1362"/>
      <c r="C64" s="1191"/>
      <c r="D64" s="1191"/>
      <c r="E64" s="1191"/>
      <c r="F64" s="1563"/>
      <c r="G64" s="1192"/>
      <c r="H64" s="1038"/>
    </row>
    <row r="65" spans="1:8" ht="37.5" customHeight="1" thickBot="1" x14ac:dyDescent="0.3">
      <c r="A65" s="1436"/>
      <c r="B65" s="420" t="str">
        <f>SELECTED_FEED</f>
        <v>feedstock</v>
      </c>
      <c r="C65" s="474" t="str">
        <f>TMP_FeedName</f>
        <v>Commercial Electricity</v>
      </c>
      <c r="D65" s="475"/>
      <c r="E65" s="1193"/>
      <c r="F65" s="1563"/>
      <c r="G65" s="1192"/>
      <c r="H65" s="1038"/>
    </row>
    <row r="66" spans="1:8" ht="19.2" customHeight="1" thickBot="1" x14ac:dyDescent="0.3">
      <c r="A66" s="1436"/>
      <c r="B66" s="421" t="str">
        <f ca="1">"Price Conversion Factor (GJ/"&amp;TMP_Units&amp;")"</f>
        <v>Price Conversion Factor (GJ/kWh)</v>
      </c>
      <c r="C66" s="428">
        <f ca="1">VLOOKUP(TMP_FeedName,MASTER_PROPERTY_TABLE,9,FALSE)</f>
        <v>3.5999999999999995E-3</v>
      </c>
      <c r="D66" s="1193"/>
      <c r="E66" s="1193"/>
      <c r="F66" s="1563"/>
      <c r="G66" s="1192"/>
      <c r="H66" s="1038"/>
    </row>
    <row r="67" spans="1:8" ht="19.2" customHeight="1" thickBot="1" x14ac:dyDescent="0.3">
      <c r="A67" s="1436"/>
      <c r="B67" s="699" t="str">
        <f ca="1">"Price in Startup Year ($" &amp; ref_year &amp; ")/" &amp; TMP_Units</f>
        <v>Price in Startup Year ($2016)/kWh</v>
      </c>
      <c r="C67" s="1035">
        <f ca="1">HLOOKUP(startup_year,INDIRECT(TMP_PriceTable),MATCH(TMP_FeedName,INDIRECT(Energy_Feed_List),0),FALSE)*TMP_Conversion</f>
        <v>0.11514886906477</v>
      </c>
      <c r="D67" s="1194"/>
      <c r="E67" s="416"/>
      <c r="F67" s="1563"/>
      <c r="G67" s="1192"/>
      <c r="H67" s="1038"/>
    </row>
    <row r="68" spans="1:8" ht="19.2" customHeight="1" thickBot="1" x14ac:dyDescent="0.3">
      <c r="A68" s="1436"/>
      <c r="B68" s="421" t="str">
        <f ca="1">IF(OR(TMP_FeedType="Feedstock",TMP_FeedType = "Utility"),"Usage ("&amp;TMP_Units&amp;"/kg H2)","Production ("&amp;TMP_Units&amp;"/kg H2)")</f>
        <v>Usage (kWh/kg H2)</v>
      </c>
      <c r="C68" s="1284">
        <v>1.1100000000000001</v>
      </c>
      <c r="D68" s="416"/>
      <c r="E68" s="1193"/>
      <c r="F68" s="1563"/>
      <c r="G68" s="1192"/>
      <c r="H68" s="1038"/>
    </row>
    <row r="69" spans="1:8" ht="19.2" customHeight="1" thickBot="1" x14ac:dyDescent="0.3">
      <c r="A69" s="1436"/>
      <c r="B69" s="422" t="str">
        <f>IF(OR(TMP_FeedType = "Feedstock",TMP_FeedType = "Utility"), "Cost in Startup Year","Income in Startup Year")</f>
        <v>Cost in Startup Year</v>
      </c>
      <c r="C69" s="433">
        <f ca="1">design_cap*365*cap_factor*TMP_Usage*TMP_StartPrice</f>
        <v>60181.807949053124</v>
      </c>
      <c r="D69" s="1193"/>
      <c r="E69" s="1193"/>
      <c r="F69" s="1191"/>
      <c r="G69" s="1192"/>
      <c r="H69" s="1038"/>
    </row>
    <row r="70" spans="1:8" ht="19.2" customHeight="1" thickBot="1" x14ac:dyDescent="0.3">
      <c r="A70" s="1436"/>
      <c r="B70" s="421" t="s">
        <v>261</v>
      </c>
      <c r="C70" s="427" t="s">
        <v>700</v>
      </c>
      <c r="D70" s="1193"/>
      <c r="E70" s="1193"/>
      <c r="F70" s="1191"/>
      <c r="G70" s="1192"/>
      <c r="H70" s="1038"/>
    </row>
    <row r="71" spans="1:8" s="413" customFormat="1" ht="19.2" customHeight="1" x14ac:dyDescent="0.25">
      <c r="A71" s="1437"/>
      <c r="B71" s="751"/>
      <c r="C71" s="752"/>
      <c r="D71" s="1193"/>
      <c r="E71" s="1193"/>
      <c r="F71" s="1191"/>
      <c r="G71" s="1192"/>
      <c r="H71" s="1038"/>
    </row>
    <row r="72" spans="1:8" ht="27" customHeight="1" thickBot="1" x14ac:dyDescent="0.3">
      <c r="A72" s="1438"/>
      <c r="B72" s="1363" t="s">
        <v>704</v>
      </c>
      <c r="C72" s="1195"/>
      <c r="D72" s="1195"/>
      <c r="E72" s="1195"/>
      <c r="F72" s="1195"/>
      <c r="G72" s="1196"/>
      <c r="H72" s="1038"/>
    </row>
    <row r="73" spans="1:8" ht="28.2" customHeight="1" x14ac:dyDescent="0.25">
      <c r="A73" s="1438" t="s">
        <v>14</v>
      </c>
      <c r="B73" s="429"/>
      <c r="C73" s="430"/>
      <c r="D73" s="430"/>
      <c r="E73" s="430"/>
      <c r="F73" s="431"/>
      <c r="G73" s="432"/>
      <c r="H73" s="1038"/>
    </row>
    <row r="74" spans="1:8" ht="28.2" customHeight="1" x14ac:dyDescent="0.25">
      <c r="A74" s="1438"/>
      <c r="B74" s="429" t="s">
        <v>820</v>
      </c>
      <c r="C74" s="430" t="s">
        <v>1745</v>
      </c>
      <c r="D74" s="430" t="s">
        <v>1746</v>
      </c>
      <c r="E74" s="430" t="s">
        <v>1747</v>
      </c>
      <c r="F74" s="431" t="s">
        <v>821</v>
      </c>
      <c r="G74" s="432" t="s">
        <v>261</v>
      </c>
      <c r="H74" s="1038"/>
    </row>
    <row r="75" spans="1:8" ht="28.2" customHeight="1" x14ac:dyDescent="0.25">
      <c r="A75" s="1438"/>
      <c r="B75" s="429" t="s">
        <v>282</v>
      </c>
      <c r="C75" s="430">
        <v>1.0549999999999999</v>
      </c>
      <c r="D75" s="430">
        <v>3.7336748144174337</v>
      </c>
      <c r="E75" s="430">
        <f ca="1">0.145799343*sensitivity_04</f>
        <v>0.145799343</v>
      </c>
      <c r="F75" s="431">
        <f ca="1">+output_kgyear*feedstockIndustrial_Natural_Gas_Price*feedstockIndustrial_Natural_Gas_Usage</f>
        <v>256315.35964600314</v>
      </c>
      <c r="G75" s="432" t="s">
        <v>700</v>
      </c>
      <c r="H75" s="1038"/>
    </row>
    <row r="76" spans="1:8" ht="28.2" customHeight="1" x14ac:dyDescent="0.25">
      <c r="A76" s="1438"/>
      <c r="B76" s="429" t="s">
        <v>820</v>
      </c>
      <c r="C76" s="430" t="s">
        <v>1252</v>
      </c>
      <c r="D76" s="430" t="s">
        <v>1253</v>
      </c>
      <c r="E76" s="430" t="s">
        <v>1254</v>
      </c>
      <c r="F76" s="431" t="s">
        <v>821</v>
      </c>
      <c r="G76" s="432" t="s">
        <v>261</v>
      </c>
      <c r="H76" s="1038"/>
    </row>
    <row r="77" spans="1:8" ht="28.2" customHeight="1" x14ac:dyDescent="0.25">
      <c r="A77" s="1438"/>
      <c r="B77" s="429" t="s">
        <v>672</v>
      </c>
      <c r="C77" s="430">
        <v>3.5999999999999995E-3</v>
      </c>
      <c r="D77" s="430">
        <v>0.10775596291985907</v>
      </c>
      <c r="E77" s="430">
        <f ca="1">2.268*sensitivity_04</f>
        <v>2.2679999999999998</v>
      </c>
      <c r="F77" s="431">
        <f ca="1">+output_kgyear*feedstockCommercial_Electricity_Price*feedstockCommercial_Electricity_Usage</f>
        <v>115071.27817936987</v>
      </c>
      <c r="G77" s="432" t="s">
        <v>700</v>
      </c>
      <c r="H77" s="1038"/>
    </row>
    <row r="78" spans="1:8" ht="28.2" customHeight="1" x14ac:dyDescent="0.25">
      <c r="A78" s="1438" t="s">
        <v>14</v>
      </c>
      <c r="B78" s="429"/>
      <c r="C78" s="430"/>
      <c r="D78" s="430"/>
      <c r="E78" s="430"/>
      <c r="F78" s="431"/>
      <c r="G78" s="432"/>
      <c r="H78" s="1038"/>
    </row>
    <row r="79" spans="1:8" ht="28.2" customHeight="1" x14ac:dyDescent="0.25">
      <c r="A79" s="1436" t="s">
        <v>272</v>
      </c>
      <c r="B79" s="429"/>
      <c r="C79" s="430"/>
      <c r="D79" s="430"/>
      <c r="E79" s="430"/>
      <c r="F79" s="431"/>
      <c r="G79" s="432"/>
      <c r="H79" s="1038"/>
    </row>
    <row r="80" spans="1:8" ht="28.2" customHeight="1" x14ac:dyDescent="0.25">
      <c r="A80" s="1439" t="s">
        <v>273</v>
      </c>
      <c r="B80" s="430"/>
      <c r="C80" s="430"/>
      <c r="D80" s="430"/>
      <c r="E80" s="430"/>
      <c r="F80" s="431"/>
      <c r="G80" s="432"/>
      <c r="H80" s="1038"/>
    </row>
    <row r="81" spans="1:8" ht="17.100000000000001" customHeight="1" thickBot="1" x14ac:dyDescent="0.3">
      <c r="A81" s="1439"/>
      <c r="B81" s="1197"/>
      <c r="C81" s="1197"/>
      <c r="D81" s="1198"/>
      <c r="E81" s="1198"/>
      <c r="F81" s="1199" t="s">
        <v>57</v>
      </c>
      <c r="G81" s="1200"/>
      <c r="H81" s="1038"/>
    </row>
    <row r="82" spans="1:8" ht="17.100000000000001" customHeight="1" thickBot="1" x14ac:dyDescent="0.3">
      <c r="A82" s="1436" t="s">
        <v>250</v>
      </c>
      <c r="B82" s="316" t="s">
        <v>276</v>
      </c>
      <c r="C82" s="1199"/>
      <c r="D82" s="1198"/>
      <c r="E82" s="1198"/>
      <c r="F82" s="1201">
        <f ca="1">SUM(Dynamic_Feed_Total)</f>
        <v>371386.63782537298</v>
      </c>
      <c r="G82" s="1200"/>
      <c r="H82" s="1038"/>
    </row>
    <row r="83" spans="1:8" ht="17.100000000000001" customHeight="1" thickBot="1" x14ac:dyDescent="0.3">
      <c r="A83" s="1436" t="s">
        <v>251</v>
      </c>
      <c r="B83" s="316" t="s">
        <v>277</v>
      </c>
      <c r="C83" s="1199"/>
      <c r="D83" s="1198"/>
      <c r="E83" s="1198"/>
      <c r="F83" s="1201">
        <f>SUM(Dynamic_Utilities_Total)</f>
        <v>0</v>
      </c>
      <c r="G83" s="1200"/>
      <c r="H83" s="1038"/>
    </row>
    <row r="84" spans="1:8" ht="17.100000000000001" customHeight="1" thickBot="1" x14ac:dyDescent="0.3">
      <c r="A84" s="1436" t="s">
        <v>255</v>
      </c>
      <c r="B84" s="314" t="s">
        <v>275</v>
      </c>
      <c r="C84" s="1199"/>
      <c r="D84" s="1198"/>
      <c r="E84" s="1198"/>
      <c r="F84" s="1201">
        <f>SUM(Dynamic_Byproduct_Total)</f>
        <v>0</v>
      </c>
      <c r="G84" s="1200"/>
      <c r="H84" s="1038"/>
    </row>
    <row r="85" spans="1:8" ht="38.25" customHeight="1" x14ac:dyDescent="0.25">
      <c r="A85" s="1436"/>
      <c r="B85" s="314"/>
      <c r="C85" s="1202"/>
      <c r="D85" s="1203" t="s">
        <v>316</v>
      </c>
      <c r="E85" s="1558"/>
      <c r="F85" s="1558"/>
      <c r="G85" s="1529"/>
      <c r="H85" s="1038"/>
    </row>
    <row r="86" spans="1:8" ht="28.5" customHeight="1" thickBot="1" x14ac:dyDescent="0.3">
      <c r="A86" s="1436"/>
      <c r="B86" s="314"/>
      <c r="C86" s="1202"/>
      <c r="D86" s="1191"/>
      <c r="E86" s="1564"/>
      <c r="F86" s="1564"/>
      <c r="G86" s="1565"/>
      <c r="H86" s="1038"/>
    </row>
    <row r="87" spans="1:8" ht="17.100000000000001" customHeight="1" thickTop="1" thickBot="1" x14ac:dyDescent="0.3">
      <c r="A87" s="1436"/>
      <c r="B87" s="1360" t="s">
        <v>82</v>
      </c>
      <c r="C87" s="1189"/>
      <c r="D87" s="1189"/>
      <c r="E87" s="1560" t="s">
        <v>431</v>
      </c>
      <c r="F87" s="1560"/>
      <c r="G87" s="1561"/>
      <c r="H87" s="1038"/>
    </row>
    <row r="88" spans="1:8" ht="20.100000000000001" customHeight="1" thickBot="1" x14ac:dyDescent="0.3">
      <c r="A88" s="1436" t="s">
        <v>245</v>
      </c>
      <c r="B88" s="315" t="s">
        <v>335</v>
      </c>
      <c r="C88" s="1204">
        <f ca="1">Det_scaled_cap</f>
        <v>930267.3525444204</v>
      </c>
      <c r="D88" s="1182"/>
      <c r="E88" s="1537" t="s">
        <v>521</v>
      </c>
      <c r="F88" s="1537"/>
      <c r="G88" s="1538"/>
      <c r="H88" s="1038"/>
    </row>
    <row r="89" spans="1:8" ht="28.95" customHeight="1" thickBot="1" x14ac:dyDescent="0.3">
      <c r="A89" s="1436"/>
      <c r="B89" s="315" t="s">
        <v>985</v>
      </c>
      <c r="C89" s="1481"/>
      <c r="D89" s="1182"/>
      <c r="E89" s="1537" t="s">
        <v>830</v>
      </c>
      <c r="F89" s="1537"/>
      <c r="G89" s="1538"/>
      <c r="H89" s="1038"/>
    </row>
    <row r="90" spans="1:8" ht="21.75" customHeight="1" x14ac:dyDescent="0.25">
      <c r="A90" s="1436"/>
      <c r="B90" s="315"/>
      <c r="C90" s="299"/>
      <c r="D90" s="299"/>
      <c r="E90" s="299"/>
      <c r="F90" s="299"/>
      <c r="G90" s="1205"/>
      <c r="H90" s="1038"/>
    </row>
    <row r="91" spans="1:8" ht="45.75" customHeight="1" thickBot="1" x14ac:dyDescent="0.3">
      <c r="A91" s="1436"/>
      <c r="B91" s="315" t="s">
        <v>336</v>
      </c>
      <c r="C91" s="818" t="str">
        <f>"Enter values in basis year (" &amp; BasisYear &amp; ") dollars"</f>
        <v>Enter values in basis year (2005) dollars</v>
      </c>
      <c r="D91" s="818" t="s">
        <v>831</v>
      </c>
      <c r="E91" s="818" t="str">
        <f xml:space="preserve"> "Reference Year ("&amp; ref_year &amp; ") Dollars"</f>
        <v>Reference Year (2016) Dollars</v>
      </c>
      <c r="F91" s="299"/>
      <c r="G91" s="1205"/>
      <c r="H91" s="1038"/>
    </row>
    <row r="92" spans="1:8" ht="66" customHeight="1" x14ac:dyDescent="0.25">
      <c r="A92" s="1436" t="s">
        <v>178</v>
      </c>
      <c r="B92" s="313" t="s">
        <v>701</v>
      </c>
      <c r="C92" s="1174">
        <f ca="1">0.1885*direct_cap/(CPIinflator*CEPCIinflator)</f>
        <v>135560.10101346127</v>
      </c>
      <c r="D92" s="1206">
        <f t="shared" ref="D92:D98" si="0">CEPCIinflator*CPIinflator</f>
        <v>1.2935620041859532</v>
      </c>
      <c r="E92" s="1207">
        <f ca="1">C92*D92</f>
        <v>175355.39595462324</v>
      </c>
      <c r="F92" s="1544" t="s">
        <v>1750</v>
      </c>
      <c r="G92" s="1545"/>
      <c r="H92" s="1038"/>
    </row>
    <row r="93" spans="1:8" ht="29.25" customHeight="1" x14ac:dyDescent="0.25">
      <c r="A93" s="1436" t="s">
        <v>26</v>
      </c>
      <c r="B93" s="313" t="s">
        <v>337</v>
      </c>
      <c r="C93" s="1211">
        <f>50000</f>
        <v>50000</v>
      </c>
      <c r="D93" s="1208">
        <f t="shared" si="0"/>
        <v>1.2935620041859532</v>
      </c>
      <c r="E93" s="1209">
        <f t="shared" ref="E93:E98" si="1">C93*D93</f>
        <v>64678.100209297663</v>
      </c>
      <c r="F93" s="1546"/>
      <c r="G93" s="1547"/>
      <c r="H93" s="1038"/>
    </row>
    <row r="94" spans="1:8" ht="30.6" customHeight="1" x14ac:dyDescent="0.25">
      <c r="A94" s="1436" t="s">
        <v>170</v>
      </c>
      <c r="B94" s="313" t="s">
        <v>1269</v>
      </c>
      <c r="C94" s="1211">
        <v>0</v>
      </c>
      <c r="D94" s="1208">
        <f t="shared" si="0"/>
        <v>1.2935620041859532</v>
      </c>
      <c r="E94" s="1209">
        <f t="shared" si="1"/>
        <v>0</v>
      </c>
      <c r="F94" s="1302"/>
      <c r="G94" s="1233"/>
      <c r="H94" s="1038"/>
    </row>
    <row r="95" spans="1:8" ht="30.6" customHeight="1" x14ac:dyDescent="0.25">
      <c r="A95" s="1436" t="s">
        <v>172</v>
      </c>
      <c r="B95" s="313" t="s">
        <v>1268</v>
      </c>
      <c r="C95" s="1211">
        <f ca="1">0.15*(direct_cap)/(CEPCIinflator*CPIinflator)</f>
        <v>107872.75942715751</v>
      </c>
      <c r="D95" s="1208">
        <f t="shared" si="0"/>
        <v>1.2935620041859532</v>
      </c>
      <c r="E95" s="1209">
        <f t="shared" ca="1" si="1"/>
        <v>139540.10288166304</v>
      </c>
      <c r="F95" s="1302"/>
      <c r="G95" s="1233"/>
      <c r="H95" s="1038"/>
    </row>
    <row r="96" spans="1:8" ht="31.5" customHeight="1" x14ac:dyDescent="0.25">
      <c r="A96" s="1436" t="s">
        <v>158</v>
      </c>
      <c r="B96" s="313" t="s">
        <v>347</v>
      </c>
      <c r="C96" s="1211">
        <v>0</v>
      </c>
      <c r="D96" s="1208">
        <f t="shared" si="0"/>
        <v>1.2935620041859532</v>
      </c>
      <c r="E96" s="1209">
        <f t="shared" si="1"/>
        <v>0</v>
      </c>
      <c r="F96" s="1307"/>
      <c r="G96" s="1305"/>
      <c r="H96" s="1038"/>
    </row>
    <row r="97" spans="1:8" ht="17.100000000000001" customHeight="1" x14ac:dyDescent="0.25">
      <c r="A97" s="1436" t="s">
        <v>28</v>
      </c>
      <c r="B97" s="313" t="s">
        <v>346</v>
      </c>
      <c r="C97" s="1211"/>
      <c r="D97" s="1208">
        <f t="shared" si="0"/>
        <v>1.2935620041859532</v>
      </c>
      <c r="E97" s="1209">
        <f t="shared" si="1"/>
        <v>0</v>
      </c>
      <c r="F97" s="1307"/>
      <c r="G97" s="1305"/>
      <c r="H97" s="1038"/>
    </row>
    <row r="98" spans="1:8" ht="21.75" customHeight="1" thickBot="1" x14ac:dyDescent="0.3">
      <c r="A98" s="1436" t="s">
        <v>168</v>
      </c>
      <c r="B98" s="313" t="s">
        <v>702</v>
      </c>
      <c r="C98" s="1435">
        <v>30000</v>
      </c>
      <c r="D98" s="1212">
        <f t="shared" si="0"/>
        <v>1.2935620041859532</v>
      </c>
      <c r="E98" s="1213">
        <f t="shared" si="1"/>
        <v>38806.860125578598</v>
      </c>
      <c r="F98" s="1549" t="s">
        <v>1751</v>
      </c>
      <c r="G98" s="1545"/>
      <c r="H98" s="1038"/>
    </row>
    <row r="99" spans="1:8" ht="20.100000000000001" customHeight="1" thickBot="1" x14ac:dyDescent="0.3">
      <c r="A99" s="1436" t="s">
        <v>992</v>
      </c>
      <c r="B99" s="315" t="s">
        <v>962</v>
      </c>
      <c r="C99" s="299"/>
      <c r="D99" s="1038"/>
      <c r="E99" s="1214">
        <f ca="1">direct_cap+CO2_seq+SUM($E$92:$E$98)</f>
        <v>1348647.8117155829</v>
      </c>
      <c r="F99" s="1549"/>
      <c r="G99" s="1545"/>
      <c r="H99" s="1038"/>
    </row>
    <row r="100" spans="1:8" x14ac:dyDescent="0.25">
      <c r="A100" s="1436"/>
      <c r="B100" s="313"/>
      <c r="C100" s="1202"/>
      <c r="D100" s="1535" t="s">
        <v>831</v>
      </c>
      <c r="E100" s="299"/>
      <c r="F100" s="1171"/>
      <c r="G100" s="1217"/>
      <c r="H100" s="1038"/>
    </row>
    <row r="101" spans="1:8" ht="30.75" customHeight="1" thickBot="1" x14ac:dyDescent="0.3">
      <c r="A101" s="1436"/>
      <c r="B101" s="315" t="s">
        <v>348</v>
      </c>
      <c r="C101" s="818" t="str">
        <f>"Enter values in basis year (" &amp; BasisYear &amp; ") dollars"</f>
        <v>Enter values in basis year (2005) dollars</v>
      </c>
      <c r="D101" s="1536"/>
      <c r="E101" s="818" t="str">
        <f xml:space="preserve"> "Reference Year ("&amp; ref_year &amp; ") Dollars"</f>
        <v>Reference Year (2016) Dollars</v>
      </c>
      <c r="F101" s="1171"/>
      <c r="G101" s="1217"/>
      <c r="H101" s="1038"/>
    </row>
    <row r="102" spans="1:8" ht="27.75" customHeight="1" thickBot="1" x14ac:dyDescent="0.3">
      <c r="A102" s="1436" t="s">
        <v>1075</v>
      </c>
      <c r="B102" s="313" t="s">
        <v>349</v>
      </c>
      <c r="C102" s="1364">
        <v>0</v>
      </c>
      <c r="D102" s="1206">
        <f>CPIinflator</f>
        <v>1.0995746738559611</v>
      </c>
      <c r="E102" s="1218">
        <f>C102*D102</f>
        <v>0</v>
      </c>
      <c r="F102" s="1171"/>
      <c r="G102" s="1217"/>
      <c r="H102" s="1038"/>
    </row>
    <row r="103" spans="1:8" ht="25.5" customHeight="1" thickBot="1" x14ac:dyDescent="0.3">
      <c r="A103" s="1436" t="s">
        <v>1076</v>
      </c>
      <c r="B103" s="313" t="s">
        <v>350</v>
      </c>
      <c r="C103" s="1365">
        <v>0</v>
      </c>
      <c r="D103" s="1219">
        <f ca="1">Scale_Factor *1</f>
        <v>1</v>
      </c>
      <c r="E103" s="1220">
        <f ca="1">C103*D103</f>
        <v>0</v>
      </c>
      <c r="F103" s="1546" t="s">
        <v>1263</v>
      </c>
      <c r="G103" s="1547"/>
      <c r="H103" s="1038"/>
    </row>
    <row r="104" spans="1:8" ht="27" customHeight="1" thickBot="1" x14ac:dyDescent="0.3">
      <c r="A104" s="1436" t="s">
        <v>993</v>
      </c>
      <c r="B104" s="313" t="s">
        <v>963</v>
      </c>
      <c r="C104" s="1221"/>
      <c r="D104" s="1221"/>
      <c r="E104" s="1214">
        <f ca="1">acre_cost*acres</f>
        <v>0</v>
      </c>
      <c r="F104" s="1171"/>
      <c r="G104" s="1217"/>
      <c r="H104" s="1038"/>
    </row>
    <row r="105" spans="1:8" ht="17.100000000000001" customHeight="1" thickBot="1" x14ac:dyDescent="0.3">
      <c r="A105" s="1436"/>
      <c r="B105" s="313" t="s">
        <v>994</v>
      </c>
      <c r="C105" s="1174"/>
      <c r="D105" s="1206">
        <f>CPIinflator</f>
        <v>1.0995746738559611</v>
      </c>
      <c r="E105" s="1214">
        <f>C105*D105</f>
        <v>0</v>
      </c>
      <c r="F105" s="1215"/>
      <c r="G105" s="1216"/>
      <c r="H105" s="1038"/>
    </row>
    <row r="106" spans="1:8" ht="20.100000000000001" customHeight="1" thickBot="1" x14ac:dyDescent="0.3">
      <c r="A106" s="1436" t="s">
        <v>1000</v>
      </c>
      <c r="B106" s="315" t="s">
        <v>964</v>
      </c>
      <c r="C106" s="1221"/>
      <c r="D106" s="1221"/>
      <c r="E106" s="1222">
        <f ca="1">land_cost+$E$105</f>
        <v>0</v>
      </c>
      <c r="F106" s="1171"/>
      <c r="G106" s="1217"/>
      <c r="H106" s="1038"/>
    </row>
    <row r="107" spans="1:8" ht="13.8" thickBot="1" x14ac:dyDescent="0.3">
      <c r="A107" s="1436"/>
      <c r="B107" s="313"/>
      <c r="C107" s="1202"/>
      <c r="D107" s="1221"/>
      <c r="E107" s="1171"/>
      <c r="F107" s="1171"/>
      <c r="G107" s="1217"/>
      <c r="H107" s="1038"/>
    </row>
    <row r="108" spans="1:8" ht="20.100000000000001" customHeight="1" thickBot="1" x14ac:dyDescent="0.3">
      <c r="A108" s="1436" t="s">
        <v>1001</v>
      </c>
      <c r="B108" s="315" t="s">
        <v>978</v>
      </c>
      <c r="C108" s="1204">
        <f ca="1">(depr_cap+non_dep_cap)*sensitivity_06</f>
        <v>1348647.8117155829</v>
      </c>
      <c r="D108" s="1221"/>
      <c r="E108" s="1223"/>
      <c r="F108" s="1171"/>
      <c r="G108" s="1217"/>
      <c r="H108" s="1038"/>
    </row>
    <row r="109" spans="1:8" ht="13.8" thickBot="1" x14ac:dyDescent="0.3">
      <c r="A109" s="1436"/>
      <c r="B109" s="313"/>
      <c r="C109" s="1202"/>
      <c r="D109" s="1221"/>
      <c r="E109" s="1171"/>
      <c r="F109" s="1171"/>
      <c r="G109" s="1217"/>
      <c r="H109" s="1038"/>
    </row>
    <row r="110" spans="1:8" ht="44.25" customHeight="1" thickTop="1" thickBot="1" x14ac:dyDescent="0.3">
      <c r="A110" s="1436"/>
      <c r="B110" s="1360" t="s">
        <v>351</v>
      </c>
      <c r="C110" s="824" t="str">
        <f>"Enter values in basis year (" &amp; BasisYear &amp; ") dollars"</f>
        <v>Enter values in basis year (2005) dollars</v>
      </c>
      <c r="D110" s="824" t="s">
        <v>831</v>
      </c>
      <c r="E110" s="824" t="str">
        <f xml:space="preserve"> "Reference Year ("&amp; ref_year &amp; ") Dollars"</f>
        <v>Reference Year (2016) Dollars</v>
      </c>
      <c r="F110" s="1189"/>
      <c r="G110" s="1190"/>
      <c r="H110" s="1038"/>
    </row>
    <row r="111" spans="1:8" s="33" customFormat="1" ht="29.25" customHeight="1" thickBot="1" x14ac:dyDescent="0.3">
      <c r="A111" s="1436" t="s">
        <v>1004</v>
      </c>
      <c r="B111" s="313" t="s">
        <v>352</v>
      </c>
      <c r="C111" s="1366">
        <v>0</v>
      </c>
      <c r="D111" s="1224">
        <f ca="1">Scale_Ratio^0.25</f>
        <v>1</v>
      </c>
      <c r="E111" s="1225">
        <f ca="1">C111*D111</f>
        <v>0</v>
      </c>
      <c r="F111" s="1171"/>
      <c r="G111" s="1217"/>
      <c r="H111" s="1038"/>
    </row>
    <row r="112" spans="1:8" s="33" customFormat="1" ht="17.25" customHeight="1" thickBot="1" x14ac:dyDescent="0.3">
      <c r="A112" s="1436" t="s">
        <v>1005</v>
      </c>
      <c r="B112" s="313" t="s">
        <v>353</v>
      </c>
      <c r="C112" s="1174">
        <v>50</v>
      </c>
      <c r="D112" s="1206">
        <f>VLOOKUP(ref_year,Tbl_labor_indexes,2,FALSE)/VLOOKUP(BasisYear,Tbl_labor_indexes,2,FALSE)</f>
        <v>1.1548042704626329</v>
      </c>
      <c r="E112" s="1226">
        <f>C112*D112</f>
        <v>57.740213523131644</v>
      </c>
      <c r="F112" s="1171" t="s">
        <v>1264</v>
      </c>
      <c r="G112" s="1217"/>
      <c r="H112" s="1038"/>
    </row>
    <row r="113" spans="1:8" s="33" customFormat="1" ht="17.100000000000001" customHeight="1" thickBot="1" x14ac:dyDescent="0.3">
      <c r="A113" s="1436" t="s">
        <v>995</v>
      </c>
      <c r="B113" s="313" t="s">
        <v>979</v>
      </c>
      <c r="C113" s="1221"/>
      <c r="D113" s="1221"/>
      <c r="E113" s="1227">
        <f ca="1">FTEs*2080*FTE_cost</f>
        <v>0</v>
      </c>
      <c r="F113" s="1171"/>
      <c r="G113" s="1217"/>
      <c r="H113" s="1038"/>
    </row>
    <row r="114" spans="1:8" s="33" customFormat="1" ht="17.100000000000001" customHeight="1" thickBot="1" x14ac:dyDescent="0.3">
      <c r="A114" s="1436" t="s">
        <v>159</v>
      </c>
      <c r="B114" s="313" t="s">
        <v>354</v>
      </c>
      <c r="C114" s="1176">
        <v>0.2</v>
      </c>
      <c r="D114" s="1221"/>
      <c r="E114" s="1038"/>
      <c r="F114" s="1171" t="s">
        <v>1264</v>
      </c>
      <c r="G114" s="1217"/>
      <c r="H114" s="1038"/>
    </row>
    <row r="115" spans="1:8" s="33" customFormat="1" ht="17.100000000000001" customHeight="1" thickBot="1" x14ac:dyDescent="0.3">
      <c r="A115" s="1436" t="s">
        <v>998</v>
      </c>
      <c r="B115" s="313" t="s">
        <v>972</v>
      </c>
      <c r="C115" s="1221"/>
      <c r="D115" s="1221"/>
      <c r="E115" s="1228">
        <f ca="1">labor_cost*overhead_rate</f>
        <v>0</v>
      </c>
      <c r="F115" s="1171"/>
      <c r="G115" s="1217"/>
      <c r="H115" s="1038"/>
    </row>
    <row r="116" spans="1:8" s="33" customFormat="1" ht="17.100000000000001" customHeight="1" thickBot="1" x14ac:dyDescent="0.3">
      <c r="A116" s="1436" t="s">
        <v>30</v>
      </c>
      <c r="B116" s="313" t="s">
        <v>355</v>
      </c>
      <c r="C116" s="1174">
        <v>1000</v>
      </c>
      <c r="D116" s="1206">
        <f ca="1">Scale_Factor *CEPCIinflator*CPIinflator</f>
        <v>1.2935620041859532</v>
      </c>
      <c r="E116" s="1222">
        <f ca="1">C116*D116</f>
        <v>1293.5620041859531</v>
      </c>
      <c r="F116" s="1171"/>
      <c r="G116" s="1217"/>
      <c r="H116" s="1038"/>
    </row>
    <row r="117" spans="1:8" s="33" customFormat="1" ht="26.25" customHeight="1" thickBot="1" x14ac:dyDescent="0.3">
      <c r="A117" s="1436" t="s">
        <v>185</v>
      </c>
      <c r="B117" s="313" t="s">
        <v>1078</v>
      </c>
      <c r="C117" s="1175">
        <v>0.02</v>
      </c>
      <c r="D117" s="1229"/>
      <c r="E117" s="1038"/>
      <c r="F117" s="1171"/>
      <c r="G117" s="1217"/>
      <c r="H117" s="1038"/>
    </row>
    <row r="118" spans="1:8" s="33" customFormat="1" ht="17.100000000000001" customHeight="1" thickBot="1" x14ac:dyDescent="0.3">
      <c r="A118" s="1436" t="s">
        <v>996</v>
      </c>
      <c r="B118" s="313" t="s">
        <v>977</v>
      </c>
      <c r="C118" s="1221"/>
      <c r="D118" s="1229"/>
      <c r="E118" s="1230">
        <f ca="1">tax_ins_rate*total_cap</f>
        <v>26972.956234311656</v>
      </c>
      <c r="F118" s="1171"/>
      <c r="G118" s="1217"/>
      <c r="H118" s="1038"/>
    </row>
    <row r="119" spans="1:8" s="33" customFormat="1" ht="17.100000000000001" customHeight="1" thickBot="1" x14ac:dyDescent="0.3">
      <c r="A119" s="1436" t="s">
        <v>174</v>
      </c>
      <c r="B119" s="313" t="s">
        <v>356</v>
      </c>
      <c r="C119" s="1174">
        <v>3370</v>
      </c>
      <c r="D119" s="1206">
        <f ca="1">Scale_Factor *CPIinflator</f>
        <v>1.0995746738559611</v>
      </c>
      <c r="E119" s="1218">
        <f ca="1">C119*D119</f>
        <v>3705.5666508945887</v>
      </c>
      <c r="F119" s="1171"/>
      <c r="G119" s="1217"/>
      <c r="H119" s="1038"/>
    </row>
    <row r="120" spans="1:8" s="33" customFormat="1" ht="27" customHeight="1" thickBot="1" x14ac:dyDescent="0.3">
      <c r="A120" s="1436" t="s">
        <v>1006</v>
      </c>
      <c r="B120" s="313" t="s">
        <v>357</v>
      </c>
      <c r="C120" s="1174">
        <v>0</v>
      </c>
      <c r="D120" s="1206">
        <f ca="1">Scale_Factor *CEPCIinflator*CPIinflator</f>
        <v>1.2935620041859532</v>
      </c>
      <c r="E120" s="1231">
        <f ca="1">C120*D120</f>
        <v>0</v>
      </c>
      <c r="F120" s="1171"/>
      <c r="G120" s="1217"/>
      <c r="H120" s="1232"/>
    </row>
    <row r="121" spans="1:8" s="33" customFormat="1" ht="17.100000000000001" customHeight="1" thickBot="1" x14ac:dyDescent="0.3">
      <c r="A121" s="1436" t="s">
        <v>171</v>
      </c>
      <c r="B121" s="313" t="s">
        <v>358</v>
      </c>
      <c r="C121" s="1174">
        <f ca="1">0.05*direct_cap/(CPIinflator*CEPCIinflator)</f>
        <v>35957.586475719174</v>
      </c>
      <c r="D121" s="1206">
        <f ca="1">Scale_Factor *CEPCIinflator*CPIinflator</f>
        <v>1.2935620041859532</v>
      </c>
      <c r="E121" s="1218">
        <f ca="1">C121*D121</f>
        <v>46513.367627221021</v>
      </c>
      <c r="F121" s="1171" t="s">
        <v>1270</v>
      </c>
      <c r="G121" s="1217"/>
      <c r="H121" s="1038"/>
    </row>
    <row r="122" spans="1:8" s="33" customFormat="1" ht="17.100000000000001" customHeight="1" thickBot="1" x14ac:dyDescent="0.3">
      <c r="A122" s="1436" t="s">
        <v>156</v>
      </c>
      <c r="B122" s="313" t="s">
        <v>359</v>
      </c>
      <c r="C122" s="1174"/>
      <c r="D122" s="1206">
        <f ca="1">Scale_Ratio * CEPCIinflator*CPIinflator</f>
        <v>1.2935620041859532</v>
      </c>
      <c r="E122" s="1231">
        <f ca="1">C122*D122</f>
        <v>0</v>
      </c>
      <c r="F122" s="1171" t="s">
        <v>1265</v>
      </c>
      <c r="G122" s="1217"/>
      <c r="H122" s="1038"/>
    </row>
    <row r="123" spans="1:8" s="33" customFormat="1" ht="17.100000000000001" customHeight="1" thickBot="1" x14ac:dyDescent="0.3">
      <c r="A123" s="1436" t="s">
        <v>157</v>
      </c>
      <c r="B123" s="313" t="s">
        <v>360</v>
      </c>
      <c r="C123" s="1174"/>
      <c r="D123" s="1206">
        <f ca="1">Scale_Factor *CEPCIinflator*CPIinflator</f>
        <v>1.2935620041859532</v>
      </c>
      <c r="E123" s="1222">
        <f ca="1">C123*D123</f>
        <v>0</v>
      </c>
      <c r="F123" s="1171"/>
      <c r="G123" s="1217"/>
      <c r="H123" s="1038"/>
    </row>
    <row r="124" spans="1:8" s="33" customFormat="1" ht="24" customHeight="1" thickBot="1" x14ac:dyDescent="0.3">
      <c r="A124" s="1436" t="s">
        <v>997</v>
      </c>
      <c r="B124" s="315" t="s">
        <v>980</v>
      </c>
      <c r="C124" s="1221"/>
      <c r="D124" s="1221"/>
      <c r="E124" s="1214">
        <f ca="1">(labor_cost+overhead_GA+tax_insurance+licensing+SUM(E119:E123))*sensitivity_07</f>
        <v>78485.452516613223</v>
      </c>
      <c r="F124" s="1223"/>
      <c r="G124" s="1233"/>
      <c r="H124" s="1038"/>
    </row>
    <row r="125" spans="1:8" s="33" customFormat="1" ht="13.8" thickBot="1" x14ac:dyDescent="0.3">
      <c r="A125" s="1436"/>
      <c r="B125" s="313"/>
      <c r="C125" s="1202"/>
      <c r="D125" s="1234"/>
      <c r="E125" s="1202"/>
      <c r="F125" s="1202"/>
      <c r="G125" s="1235"/>
      <c r="H125" s="1038"/>
    </row>
    <row r="126" spans="1:8" s="33" customFormat="1" ht="26.25" customHeight="1" thickTop="1" thickBot="1" x14ac:dyDescent="0.3">
      <c r="A126" s="1436"/>
      <c r="B126" s="1367" t="s">
        <v>935</v>
      </c>
      <c r="C126" s="1236"/>
      <c r="D126" s="1237"/>
      <c r="E126" s="1238"/>
      <c r="F126" s="1237"/>
      <c r="G126" s="1239"/>
      <c r="H126" s="1038"/>
    </row>
    <row r="127" spans="1:8" customFormat="1" ht="15" customHeight="1" thickTop="1" x14ac:dyDescent="0.25">
      <c r="A127" s="1436"/>
      <c r="B127" s="1361" t="s">
        <v>1026</v>
      </c>
      <c r="C127" s="1240"/>
      <c r="D127" s="1240"/>
      <c r="E127" s="1240"/>
      <c r="F127" s="1240"/>
      <c r="G127" s="1241"/>
      <c r="H127" s="299"/>
    </row>
    <row r="128" spans="1:8" customFormat="1" ht="15" customHeight="1" x14ac:dyDescent="0.25">
      <c r="A128" s="1436"/>
      <c r="B128" s="1368"/>
      <c r="C128" s="1242"/>
      <c r="D128" s="1242"/>
      <c r="E128" s="1242"/>
      <c r="F128" s="1242"/>
      <c r="G128" s="1205"/>
      <c r="H128" s="299"/>
    </row>
    <row r="129" spans="1:8" customFormat="1" ht="24" customHeight="1" thickBot="1" x14ac:dyDescent="0.3">
      <c r="A129" s="1436"/>
      <c r="B129" s="412" t="s">
        <v>1033</v>
      </c>
      <c r="C129" s="1242"/>
      <c r="D129" s="1242"/>
      <c r="E129" s="1242"/>
      <c r="F129" s="1242"/>
      <c r="G129" s="1205"/>
      <c r="H129" s="299"/>
    </row>
    <row r="130" spans="1:8" customFormat="1" ht="24" customHeight="1" thickBot="1" x14ac:dyDescent="0.3">
      <c r="A130" s="1436"/>
      <c r="B130" s="978" t="s">
        <v>1029</v>
      </c>
      <c r="C130" s="1242"/>
      <c r="D130" s="1242"/>
      <c r="E130" s="1242"/>
      <c r="F130" s="1242"/>
      <c r="G130" s="1205"/>
      <c r="H130" s="299"/>
    </row>
    <row r="131" spans="1:8" customFormat="1" ht="24" customHeight="1" thickBot="1" x14ac:dyDescent="0.3">
      <c r="A131" s="1436"/>
      <c r="B131" s="1369" t="s">
        <v>1054</v>
      </c>
      <c r="C131" s="1531" t="str">
        <f>B130</f>
        <v>Process Water</v>
      </c>
      <c r="D131" s="1532"/>
      <c r="E131" s="1242"/>
      <c r="F131" s="1242"/>
      <c r="G131" s="1205"/>
      <c r="H131" s="299"/>
    </row>
    <row r="132" spans="1:8" customFormat="1" ht="18.75" customHeight="1" thickBot="1" x14ac:dyDescent="0.3">
      <c r="A132" s="1436"/>
      <c r="B132" s="415" t="str">
        <f ca="1">"$(" &amp; ref_year &amp; ")/ " &amp; VLOOKUP(TMP_NonE_Feed,Tbl_Other_Inputs_and_Byproducts,2,FALSE)</f>
        <v>$(2016)/ gal</v>
      </c>
      <c r="C132" s="437">
        <f ca="1">HLOOKUP(startup_year,Tbl_Other_Inputs_and_Byproducts,MATCH(TMP_NonE_Feed,Other_Inputs_List,0),FALSE)</f>
        <v>2.374951094500801E-3</v>
      </c>
      <c r="D132" s="1242"/>
      <c r="E132" s="1242"/>
      <c r="F132" s="1242"/>
      <c r="G132" s="1205"/>
      <c r="H132" s="299"/>
    </row>
    <row r="133" spans="1:8" customFormat="1" ht="18" customHeight="1" thickBot="1" x14ac:dyDescent="0.3">
      <c r="A133" s="1436"/>
      <c r="B133" s="417" t="str">
        <f>IF(TMP_NonE_Type="Feed or utility","Usage per kg H2","Production per kg H2")</f>
        <v>Usage per kg H2</v>
      </c>
      <c r="C133" s="1285"/>
      <c r="D133" s="1242"/>
      <c r="E133" s="1242"/>
      <c r="F133" s="1242"/>
      <c r="G133" s="1205"/>
      <c r="H133" s="299"/>
    </row>
    <row r="134" spans="1:8" customFormat="1" ht="19.5" customHeight="1" thickBot="1" x14ac:dyDescent="0.3">
      <c r="A134" s="1436"/>
      <c r="B134" s="417" t="str">
        <f>IF(TMP_NonE_Type = "Feed or utility", "Cost in Startup Year","Income in Startup Year")</f>
        <v>Cost in Startup Year</v>
      </c>
      <c r="C134" s="425">
        <f ca="1">design_cap*365*cap_factor*TMP_NonE_Usage*TMP_NonE_StartPrice</f>
        <v>0</v>
      </c>
      <c r="D134" s="1242"/>
      <c r="E134" s="1242"/>
      <c r="F134" s="1242"/>
      <c r="G134" s="1205"/>
      <c r="H134" s="299"/>
    </row>
    <row r="135" spans="1:8" customFormat="1" ht="24" customHeight="1" thickBot="1" x14ac:dyDescent="0.3">
      <c r="A135" s="1436"/>
      <c r="B135" s="424" t="s">
        <v>261</v>
      </c>
      <c r="C135" s="426" t="s">
        <v>22</v>
      </c>
      <c r="D135" s="1243"/>
      <c r="E135" s="1243"/>
      <c r="F135" s="1243"/>
      <c r="G135" s="1196"/>
      <c r="H135" s="299"/>
    </row>
    <row r="136" spans="1:8" customFormat="1" ht="24" customHeight="1" x14ac:dyDescent="0.25">
      <c r="A136" s="1440" t="s">
        <v>1035</v>
      </c>
      <c r="B136" s="1370"/>
      <c r="C136" s="1199"/>
      <c r="D136" s="1199"/>
      <c r="E136" s="1244"/>
      <c r="F136" s="1199"/>
      <c r="G136" s="1200"/>
      <c r="H136" s="299"/>
    </row>
    <row r="137" spans="1:8" customFormat="1" ht="24" customHeight="1" x14ac:dyDescent="0.25">
      <c r="A137" s="1440"/>
      <c r="B137" s="1370" t="s">
        <v>1054</v>
      </c>
      <c r="C137" s="1199" t="s">
        <v>1206</v>
      </c>
      <c r="D137" s="1199" t="s">
        <v>824</v>
      </c>
      <c r="E137" s="1244" t="s">
        <v>821</v>
      </c>
      <c r="F137" s="1199" t="s">
        <v>261</v>
      </c>
      <c r="G137" s="1200"/>
      <c r="H137" s="299"/>
    </row>
    <row r="138" spans="1:8" customFormat="1" ht="24" customHeight="1" x14ac:dyDescent="0.25">
      <c r="A138" s="1440"/>
      <c r="B138" s="1370" t="s">
        <v>1029</v>
      </c>
      <c r="C138" s="1199">
        <v>2.374951094500801E-3</v>
      </c>
      <c r="D138" s="1199">
        <v>4.38</v>
      </c>
      <c r="E138" s="1244">
        <f ca="1">+D138*output_kgyear*C138</f>
        <v>4897.916266064175</v>
      </c>
      <c r="F138" s="1199" t="s">
        <v>22</v>
      </c>
      <c r="G138" s="1200"/>
      <c r="H138" s="299"/>
    </row>
    <row r="139" spans="1:8" customFormat="1" ht="16.2" customHeight="1" x14ac:dyDescent="0.25">
      <c r="A139" s="1436" t="s">
        <v>1036</v>
      </c>
      <c r="B139" s="1370"/>
      <c r="C139" s="1245"/>
      <c r="D139" s="1245"/>
      <c r="E139" s="1246"/>
      <c r="F139" s="1245"/>
      <c r="G139" s="1200"/>
      <c r="H139" s="299"/>
    </row>
    <row r="140" spans="1:8" customFormat="1" ht="16.2" customHeight="1" thickBot="1" x14ac:dyDescent="0.3">
      <c r="A140" s="1436" t="s">
        <v>1037</v>
      </c>
      <c r="B140" s="1370"/>
      <c r="C140" s="1199"/>
      <c r="D140" s="1199"/>
      <c r="E140" s="1246"/>
      <c r="F140" s="1199"/>
      <c r="G140" s="1200"/>
      <c r="H140" s="299"/>
    </row>
    <row r="141" spans="1:8" customFormat="1" ht="17.100000000000001" customHeight="1" thickBot="1" x14ac:dyDescent="0.3">
      <c r="A141" s="1436"/>
      <c r="B141" s="316" t="s">
        <v>849</v>
      </c>
      <c r="C141" s="1201">
        <f ca="1">SUM(Dynamic_NonE_Feed_Total)</f>
        <v>4897.916266064175</v>
      </c>
      <c r="D141" s="1187"/>
      <c r="E141" s="1539"/>
      <c r="F141" s="1539"/>
      <c r="G141" s="1529"/>
      <c r="H141" s="299"/>
    </row>
    <row r="142" spans="1:8" customFormat="1" ht="17.100000000000001" customHeight="1" thickBot="1" x14ac:dyDescent="0.3">
      <c r="A142" s="1436" t="s">
        <v>256</v>
      </c>
      <c r="B142" s="316" t="s">
        <v>278</v>
      </c>
      <c r="C142" s="1201">
        <f>SUM(Dynamic_NonE_Byprod_Total)</f>
        <v>0</v>
      </c>
      <c r="D142" s="1187"/>
      <c r="E142" s="1539"/>
      <c r="F142" s="1539"/>
      <c r="G142" s="1529"/>
      <c r="H142" s="299"/>
    </row>
    <row r="143" spans="1:8" customFormat="1" ht="26.7" customHeight="1" thickBot="1" x14ac:dyDescent="0.3">
      <c r="A143" s="1436"/>
      <c r="B143" s="316"/>
      <c r="C143" s="1199"/>
      <c r="D143" s="1247"/>
      <c r="E143" s="1539"/>
      <c r="F143" s="1539"/>
      <c r="G143" s="1529"/>
      <c r="H143" s="299"/>
    </row>
    <row r="144" spans="1:8" customFormat="1" ht="17.100000000000001" customHeight="1" thickBot="1" x14ac:dyDescent="0.3">
      <c r="A144" s="1436" t="s">
        <v>249</v>
      </c>
      <c r="B144" s="315" t="s">
        <v>252</v>
      </c>
      <c r="C144" s="1204">
        <f ca="1">Total_Energy_Feed_Cost</f>
        <v>371386.63782537298</v>
      </c>
      <c r="D144" s="1187"/>
      <c r="E144" s="1533"/>
      <c r="F144" s="1533"/>
      <c r="G144" s="1534"/>
      <c r="H144" s="299"/>
    </row>
    <row r="145" spans="1:8" customFormat="1" ht="17.100000000000001" customHeight="1" thickBot="1" x14ac:dyDescent="0.3">
      <c r="A145" s="1436" t="s">
        <v>653</v>
      </c>
      <c r="B145" s="315" t="s">
        <v>253</v>
      </c>
      <c r="C145" s="1204">
        <f ca="1">Total_Energy_Utilities_Cost+Total_Non_Energy_Feed_Cost</f>
        <v>4897.916266064175</v>
      </c>
      <c r="D145" s="1187"/>
      <c r="E145" s="1533"/>
      <c r="F145" s="1533"/>
      <c r="G145" s="1534"/>
      <c r="H145" s="299"/>
    </row>
    <row r="146" spans="1:8" customFormat="1" ht="31.5" customHeight="1" thickBot="1" x14ac:dyDescent="0.3">
      <c r="A146" s="1436" t="s">
        <v>654</v>
      </c>
      <c r="B146" s="315" t="s">
        <v>254</v>
      </c>
      <c r="C146" s="1231">
        <f>Total_Energy_Byproduct_Credit+total_non_energy_byproduct_credit</f>
        <v>0</v>
      </c>
      <c r="D146" s="1187"/>
      <c r="E146" s="1542"/>
      <c r="F146" s="1542"/>
      <c r="G146" s="1543"/>
      <c r="H146" s="299"/>
    </row>
    <row r="147" spans="1:8" customFormat="1" ht="45.75" customHeight="1" thickTop="1" thickBot="1" x14ac:dyDescent="0.3">
      <c r="A147" s="1436"/>
      <c r="B147" s="1361" t="s">
        <v>805</v>
      </c>
      <c r="C147" s="824" t="str">
        <f>"Enter values in basis year (" &amp; BasisYear &amp; ") dollars"</f>
        <v>Enter values in basis year (2005) dollars</v>
      </c>
      <c r="D147" s="824" t="s">
        <v>831</v>
      </c>
      <c r="E147" s="824" t="str">
        <f xml:space="preserve"> "Reference Year ("&amp; ref_year &amp; ") Dollars"</f>
        <v>Reference Year (2016) Dollars</v>
      </c>
      <c r="F147" s="1240"/>
      <c r="G147" s="1248"/>
      <c r="H147" s="299"/>
    </row>
    <row r="148" spans="1:8" s="33" customFormat="1" ht="39" customHeight="1" thickBot="1" x14ac:dyDescent="0.3">
      <c r="A148" s="1436" t="s">
        <v>186</v>
      </c>
      <c r="B148" s="313" t="s">
        <v>361</v>
      </c>
      <c r="C148" s="1174">
        <v>1800</v>
      </c>
      <c r="D148" s="1206">
        <f ca="1">Scale_Ratio * VLOOKUP(ref_year,Chemical_price_indexes,2,FALSE)/VLOOKUP(BasisYear,Chemical_price_indexes,2,FALSE)</f>
        <v>1.4260544580886279</v>
      </c>
      <c r="E148" s="1231">
        <f ca="1">C148*D148</f>
        <v>2566.8980245595303</v>
      </c>
      <c r="F148" s="1548" t="s">
        <v>1618</v>
      </c>
      <c r="G148" s="1529"/>
      <c r="H148" s="1038"/>
    </row>
    <row r="149" spans="1:8" s="33" customFormat="1" ht="38.25" customHeight="1" thickBot="1" x14ac:dyDescent="0.3">
      <c r="A149" s="1436" t="s">
        <v>279</v>
      </c>
      <c r="B149" s="1371" t="s">
        <v>916</v>
      </c>
      <c r="C149" s="1174"/>
      <c r="D149" s="1206">
        <f ca="1">Scale_Ratio * VLOOKUP(ref_year,Chemical_price_indexes,2,FALSE)/VLOOKUP(BasisYear,Chemical_price_indexes,2,FALSE)</f>
        <v>1.4260544580886279</v>
      </c>
      <c r="E149" s="1231">
        <f ca="1">C149*D149</f>
        <v>0</v>
      </c>
      <c r="F149" s="1548"/>
      <c r="G149" s="1529"/>
      <c r="H149" s="1038"/>
    </row>
    <row r="150" spans="1:8" s="33" customFormat="1" ht="17.100000000000001" customHeight="1" thickBot="1" x14ac:dyDescent="0.3">
      <c r="A150" s="1436" t="s">
        <v>187</v>
      </c>
      <c r="B150" s="313" t="s">
        <v>362</v>
      </c>
      <c r="C150" s="1174"/>
      <c r="D150" s="1206">
        <f ca="1">Scale_Ratio * VLOOKUP(ref_year,Chemical_price_indexes,2,FALSE)/VLOOKUP(BasisYear,Chemical_price_indexes,2,FALSE)</f>
        <v>1.4260544580886279</v>
      </c>
      <c r="E150" s="1231">
        <f ca="1">C150*D150</f>
        <v>0</v>
      </c>
      <c r="F150" s="1548"/>
      <c r="G150" s="1529"/>
      <c r="H150" s="1038"/>
    </row>
    <row r="151" spans="1:8" s="33" customFormat="1" ht="26.4" customHeight="1" thickBot="1" x14ac:dyDescent="0.3">
      <c r="A151" s="1436" t="s">
        <v>179</v>
      </c>
      <c r="B151" s="313" t="s">
        <v>363</v>
      </c>
      <c r="C151" s="1174"/>
      <c r="D151" s="1206">
        <f ca="1">Scale_Ratio * VLOOKUP(ref_year,Chemical_price_indexes,2,FALSE)/VLOOKUP(BasisYear,Chemical_price_indexes,2,FALSE)</f>
        <v>1.4260544580886279</v>
      </c>
      <c r="E151" s="1231">
        <f ca="1">C151*D151</f>
        <v>0</v>
      </c>
      <c r="F151" s="1548"/>
      <c r="G151" s="1529"/>
      <c r="H151" s="1038"/>
    </row>
    <row r="152" spans="1:8" s="33" customFormat="1" ht="28.5" customHeight="1" thickBot="1" x14ac:dyDescent="0.3">
      <c r="A152" s="1436" t="s">
        <v>175</v>
      </c>
      <c r="B152" s="313" t="s">
        <v>364</v>
      </c>
      <c r="C152" s="1249">
        <v>0</v>
      </c>
      <c r="D152" s="299"/>
      <c r="E152" s="1540"/>
      <c r="F152" s="1540"/>
      <c r="G152" s="1541"/>
      <c r="H152" s="1038"/>
    </row>
    <row r="153" spans="1:8" s="33" customFormat="1" ht="17.100000000000001" customHeight="1" thickBot="1" x14ac:dyDescent="0.3">
      <c r="A153" s="1436" t="s">
        <v>176</v>
      </c>
      <c r="B153" s="313" t="s">
        <v>365</v>
      </c>
      <c r="C153" s="1174">
        <v>0</v>
      </c>
      <c r="D153" s="1206">
        <f ca="1">Scale_Ratio * CPIinflator</f>
        <v>1.0995746738559611</v>
      </c>
      <c r="E153" s="1231">
        <v>0</v>
      </c>
      <c r="F153" s="1171"/>
      <c r="G153" s="1217"/>
      <c r="H153" s="1038"/>
    </row>
    <row r="154" spans="1:8" s="33" customFormat="1" ht="17.100000000000001" customHeight="1" thickBot="1" x14ac:dyDescent="0.3">
      <c r="A154" s="1436" t="s">
        <v>155</v>
      </c>
      <c r="B154" s="313" t="s">
        <v>366</v>
      </c>
      <c r="C154" s="1174">
        <v>0</v>
      </c>
      <c r="D154" s="1206">
        <f ca="1">Scale_Ratio * CPIinflator</f>
        <v>1.0995746738559611</v>
      </c>
      <c r="E154" s="1231">
        <v>0</v>
      </c>
      <c r="F154" s="1171"/>
      <c r="G154" s="1217"/>
      <c r="H154" s="1038"/>
    </row>
    <row r="155" spans="1:8" s="33" customFormat="1" ht="17.100000000000001" customHeight="1" thickBot="1" x14ac:dyDescent="0.3">
      <c r="A155" s="1436" t="s">
        <v>184</v>
      </c>
      <c r="B155" s="313" t="s">
        <v>367</v>
      </c>
      <c r="C155" s="1174">
        <v>0</v>
      </c>
      <c r="D155" s="1206">
        <f ca="1">Scale_Ratio * CPIinflator</f>
        <v>1.0995746738559611</v>
      </c>
      <c r="E155" s="1231">
        <v>0</v>
      </c>
      <c r="F155" s="822"/>
      <c r="G155" s="823"/>
      <c r="H155" s="1038"/>
    </row>
    <row r="156" spans="1:8" s="33" customFormat="1" ht="17.100000000000001" customHeight="1" thickBot="1" x14ac:dyDescent="0.3">
      <c r="A156" s="1436" t="s">
        <v>8</v>
      </c>
      <c r="B156" s="313" t="s">
        <v>945</v>
      </c>
      <c r="C156" s="299"/>
      <c r="D156" s="1250"/>
      <c r="E156" s="1482"/>
      <c r="F156" s="822"/>
      <c r="G156" s="1529"/>
      <c r="H156" s="1038"/>
    </row>
    <row r="157" spans="1:8" s="33" customFormat="1" ht="17.100000000000001" customHeight="1" thickBot="1" x14ac:dyDescent="0.3">
      <c r="A157" s="1436"/>
      <c r="B157" s="313" t="s">
        <v>942</v>
      </c>
      <c r="C157" s="1174">
        <v>0</v>
      </c>
      <c r="D157" s="1206">
        <f>CPIinflator</f>
        <v>1.0995746738559611</v>
      </c>
      <c r="E157" s="1231">
        <v>0</v>
      </c>
      <c r="F157" s="822"/>
      <c r="G157" s="1529"/>
      <c r="H157" s="1038"/>
    </row>
    <row r="158" spans="1:8" s="33" customFormat="1" ht="17.100000000000001" customHeight="1" thickBot="1" x14ac:dyDescent="0.3">
      <c r="A158" s="1436"/>
      <c r="B158" s="313" t="s">
        <v>941</v>
      </c>
      <c r="C158" s="299"/>
      <c r="D158" s="1250"/>
      <c r="E158" s="1251">
        <f ca="1">ROUND(Proc_CO2_tax*12/44*Proc_CO2_MTpY,-2)</f>
        <v>0</v>
      </c>
      <c r="F158" s="822"/>
      <c r="G158" s="1529"/>
      <c r="H158" s="1038"/>
    </row>
    <row r="159" spans="1:8" s="33" customFormat="1" ht="17.100000000000001" customHeight="1" thickBot="1" x14ac:dyDescent="0.3">
      <c r="A159" s="1436"/>
      <c r="B159" s="313" t="s">
        <v>943</v>
      </c>
      <c r="C159" s="1174">
        <v>0</v>
      </c>
      <c r="D159" s="1206">
        <f>CPIinflator</f>
        <v>1.0995746738559611</v>
      </c>
      <c r="E159" s="1251">
        <v>0</v>
      </c>
      <c r="F159" s="822"/>
      <c r="G159" s="1529"/>
      <c r="H159" s="1038"/>
    </row>
    <row r="160" spans="1:8" s="33" customFormat="1" ht="17.100000000000001" customHeight="1" thickBot="1" x14ac:dyDescent="0.3">
      <c r="A160" s="1436"/>
      <c r="B160" s="313" t="s">
        <v>944</v>
      </c>
      <c r="C160" s="1252"/>
      <c r="D160" s="1253"/>
      <c r="E160" s="1251">
        <f ca="1">ROUND(Upstream_CO2_tax/1000*Upstream_GHG_total*output_kgyear,2)</f>
        <v>0</v>
      </c>
      <c r="F160" s="1304"/>
      <c r="G160" s="1529"/>
      <c r="H160" s="1038"/>
    </row>
    <row r="161" spans="1:8" s="33" customFormat="1" ht="23.25" customHeight="1" thickBot="1" x14ac:dyDescent="0.3">
      <c r="A161" s="1436" t="s">
        <v>259</v>
      </c>
      <c r="B161" s="317" t="s">
        <v>257</v>
      </c>
      <c r="C161" s="1254"/>
      <c r="D161" s="1255"/>
      <c r="E161" s="1256">
        <f ca="1">ROUND(total_feedstock+total_utilities+total_other_raw-total_byproducts+var_misc+waste_treat+solidwaste_treat+royalties+operator_profit-tax_credit+CO2_OandMcost+Proc_CO2_taxpYear + Upstream_CO2_taxpYear,-2)</f>
        <v>378900</v>
      </c>
      <c r="F161" s="1257"/>
      <c r="G161" s="1530"/>
      <c r="H161" s="1038"/>
    </row>
    <row r="162" spans="1:8" s="33" customFormat="1" x14ac:dyDescent="0.25">
      <c r="A162" s="1210"/>
      <c r="B162" s="1038"/>
      <c r="C162" s="1038"/>
      <c r="D162" s="1038"/>
      <c r="E162" s="1038"/>
      <c r="F162" s="1038"/>
      <c r="G162" s="1038"/>
      <c r="H162" s="1038"/>
    </row>
    <row r="163" spans="1:8" s="33" customFormat="1" x14ac:dyDescent="0.25">
      <c r="A163" s="1210"/>
      <c r="B163" s="1038"/>
      <c r="C163" s="1038"/>
      <c r="D163" s="1038"/>
      <c r="E163" s="1038"/>
      <c r="F163" s="1038"/>
      <c r="G163" s="1038"/>
      <c r="H163" s="1038"/>
    </row>
    <row r="164" spans="1:8" s="33" customFormat="1" x14ac:dyDescent="0.25">
      <c r="A164" s="1210"/>
      <c r="B164" s="1038"/>
      <c r="C164" s="1038"/>
      <c r="D164" s="1038"/>
      <c r="E164" s="1038"/>
      <c r="F164" s="1038"/>
      <c r="G164" s="1038"/>
      <c r="H164" s="1038"/>
    </row>
    <row r="165" spans="1:8" s="33" customFormat="1" x14ac:dyDescent="0.25">
      <c r="A165" s="1210"/>
      <c r="B165" s="1038"/>
      <c r="C165" s="1038"/>
      <c r="D165" s="1038"/>
      <c r="E165" s="1038"/>
      <c r="F165" s="1038"/>
      <c r="G165" s="1038"/>
      <c r="H165" s="1038"/>
    </row>
    <row r="166" spans="1:8" s="33" customFormat="1" x14ac:dyDescent="0.25">
      <c r="A166" s="1210"/>
      <c r="B166" s="1038"/>
      <c r="C166" s="1038"/>
      <c r="D166" s="1038"/>
      <c r="E166" s="1038"/>
      <c r="F166" s="1038"/>
      <c r="G166" s="1038"/>
      <c r="H166" s="1038"/>
    </row>
    <row r="167" spans="1:8" s="33" customFormat="1" x14ac:dyDescent="0.25">
      <c r="A167" s="1210"/>
      <c r="B167" s="1038"/>
      <c r="C167" s="1038"/>
      <c r="D167" s="1038"/>
      <c r="E167" s="1038"/>
      <c r="F167" s="1038"/>
      <c r="G167" s="1038"/>
      <c r="H167" s="1038"/>
    </row>
    <row r="168" spans="1:8" s="33" customFormat="1" x14ac:dyDescent="0.25">
      <c r="A168" s="1210"/>
      <c r="B168" s="1038"/>
      <c r="C168" s="1038"/>
      <c r="D168" s="1038"/>
      <c r="E168" s="1038"/>
      <c r="F168" s="1038"/>
      <c r="G168" s="1038"/>
      <c r="H168" s="1038"/>
    </row>
    <row r="169" spans="1:8" s="33" customFormat="1" x14ac:dyDescent="0.25">
      <c r="A169" s="1210"/>
      <c r="B169" s="1038"/>
      <c r="C169" s="1038"/>
      <c r="D169" s="1038"/>
      <c r="E169" s="1038"/>
      <c r="F169" s="1038"/>
      <c r="G169" s="1038"/>
      <c r="H169" s="1038"/>
    </row>
    <row r="170" spans="1:8" s="33" customFormat="1" x14ac:dyDescent="0.25">
      <c r="A170" s="1210"/>
      <c r="B170" s="1038"/>
      <c r="C170" s="1038"/>
      <c r="D170" s="1038"/>
      <c r="E170" s="1038"/>
      <c r="F170" s="1038"/>
      <c r="G170" s="1038"/>
      <c r="H170" s="1038"/>
    </row>
    <row r="171" spans="1:8" s="33" customFormat="1" x14ac:dyDescent="0.25">
      <c r="A171" s="1210"/>
      <c r="B171" s="1038"/>
      <c r="C171" s="1038"/>
      <c r="D171" s="1038"/>
      <c r="E171" s="1038"/>
      <c r="F171" s="1038"/>
      <c r="G171" s="1038"/>
      <c r="H171" s="1038"/>
    </row>
    <row r="172" spans="1:8" s="33" customFormat="1" x14ac:dyDescent="0.25">
      <c r="A172" s="1210"/>
      <c r="B172" s="1038"/>
      <c r="C172" s="1038"/>
      <c r="D172" s="1038"/>
      <c r="E172" s="1038"/>
      <c r="F172" s="1038"/>
      <c r="G172" s="1038"/>
      <c r="H172" s="1038"/>
    </row>
    <row r="173" spans="1:8" s="33" customFormat="1" x14ac:dyDescent="0.25">
      <c r="A173" s="1210"/>
      <c r="B173" s="1038"/>
      <c r="C173" s="1038"/>
      <c r="D173" s="1038"/>
      <c r="E173" s="1038"/>
      <c r="F173" s="1038"/>
      <c r="G173" s="1038"/>
      <c r="H173" s="1038"/>
    </row>
    <row r="174" spans="1:8" s="33" customFormat="1" x14ac:dyDescent="0.25">
      <c r="A174" s="1210"/>
      <c r="B174" s="1038"/>
      <c r="C174" s="1038"/>
      <c r="D174" s="1038"/>
      <c r="E174" s="1038"/>
      <c r="F174" s="1038"/>
      <c r="G174" s="1038"/>
      <c r="H174" s="1038"/>
    </row>
    <row r="175" spans="1:8" s="33" customFormat="1" x14ac:dyDescent="0.25">
      <c r="A175" s="1210"/>
      <c r="B175" s="1038"/>
      <c r="C175" s="1038"/>
      <c r="D175" s="1038"/>
      <c r="E175" s="1038"/>
      <c r="F175" s="1038"/>
      <c r="G175" s="1038"/>
      <c r="H175" s="1038"/>
    </row>
    <row r="176" spans="1:8" s="33" customFormat="1" x14ac:dyDescent="0.25">
      <c r="A176" s="1210"/>
      <c r="B176" s="1038"/>
      <c r="C176" s="1038"/>
      <c r="D176" s="1038"/>
      <c r="E176" s="1038"/>
      <c r="F176" s="1038"/>
      <c r="G176" s="1038"/>
      <c r="H176" s="1038"/>
    </row>
    <row r="177" spans="1:8" s="33" customFormat="1" x14ac:dyDescent="0.25">
      <c r="A177" s="1210"/>
      <c r="B177" s="1038"/>
      <c r="C177" s="1038"/>
      <c r="D177" s="1038"/>
      <c r="E177" s="1038"/>
      <c r="F177" s="1038"/>
      <c r="G177" s="1038"/>
      <c r="H177" s="1038"/>
    </row>
    <row r="178" spans="1:8" s="33" customFormat="1" x14ac:dyDescent="0.25">
      <c r="A178" s="1210"/>
      <c r="B178" s="1038"/>
      <c r="C178" s="1038"/>
      <c r="D178" s="1038"/>
      <c r="E178" s="1038"/>
      <c r="F178" s="1038"/>
      <c r="G178" s="1038"/>
      <c r="H178" s="1038"/>
    </row>
    <row r="179" spans="1:8" s="33" customFormat="1" x14ac:dyDescent="0.25">
      <c r="A179" s="1210"/>
      <c r="B179" s="1038"/>
      <c r="C179" s="1038"/>
      <c r="D179" s="1038"/>
      <c r="E179" s="1038"/>
      <c r="F179" s="1038"/>
      <c r="G179" s="1038"/>
      <c r="H179" s="1038"/>
    </row>
    <row r="180" spans="1:8" s="33" customFormat="1" x14ac:dyDescent="0.25">
      <c r="A180" s="1210"/>
      <c r="B180" s="1038"/>
      <c r="C180" s="1038"/>
      <c r="D180" s="1038"/>
      <c r="E180" s="1038"/>
      <c r="F180" s="1038"/>
      <c r="G180" s="1038"/>
      <c r="H180" s="1038"/>
    </row>
    <row r="181" spans="1:8" s="33" customFormat="1" x14ac:dyDescent="0.25">
      <c r="A181" s="1210"/>
      <c r="B181" s="1038"/>
      <c r="C181" s="1038"/>
      <c r="D181" s="1038"/>
      <c r="E181" s="1038"/>
      <c r="F181" s="1038"/>
      <c r="G181" s="1038"/>
      <c r="H181" s="1038"/>
    </row>
    <row r="182" spans="1:8" s="33" customFormat="1" x14ac:dyDescent="0.25">
      <c r="A182" s="1210"/>
      <c r="B182" s="1038"/>
      <c r="C182" s="1038"/>
      <c r="D182" s="1038"/>
      <c r="E182" s="1038"/>
      <c r="F182" s="1038"/>
      <c r="G182" s="1038"/>
      <c r="H182" s="1038"/>
    </row>
    <row r="183" spans="1:8" s="33" customFormat="1" x14ac:dyDescent="0.25">
      <c r="A183" s="1210"/>
      <c r="B183" s="1038"/>
      <c r="C183" s="1038"/>
      <c r="D183" s="1038"/>
      <c r="E183" s="1038"/>
      <c r="F183" s="1038"/>
      <c r="G183" s="1038"/>
      <c r="H183" s="1038"/>
    </row>
    <row r="184" spans="1:8" s="33" customFormat="1" x14ac:dyDescent="0.25">
      <c r="A184" s="1210"/>
      <c r="B184" s="1038"/>
      <c r="C184" s="1038"/>
      <c r="D184" s="1038"/>
      <c r="E184" s="1038"/>
      <c r="F184" s="1038"/>
      <c r="G184" s="1038"/>
      <c r="H184" s="1038"/>
    </row>
    <row r="185" spans="1:8" s="33" customFormat="1" x14ac:dyDescent="0.25">
      <c r="A185" s="1210"/>
      <c r="B185" s="1038"/>
      <c r="C185" s="1038"/>
      <c r="D185" s="1038"/>
      <c r="E185" s="1038"/>
      <c r="F185" s="1038"/>
      <c r="G185" s="1038"/>
      <c r="H185" s="1038"/>
    </row>
    <row r="186" spans="1:8" s="33" customFormat="1" x14ac:dyDescent="0.25">
      <c r="A186" s="1210"/>
      <c r="B186" s="1038"/>
      <c r="C186" s="1038"/>
      <c r="D186" s="1038"/>
      <c r="E186" s="1038"/>
      <c r="F186" s="1038"/>
      <c r="G186" s="1038"/>
      <c r="H186" s="1038"/>
    </row>
    <row r="187" spans="1:8" s="33" customFormat="1" x14ac:dyDescent="0.25">
      <c r="A187" s="1210"/>
      <c r="B187" s="1038"/>
      <c r="C187" s="1038"/>
      <c r="D187" s="1038"/>
      <c r="E187" s="1038"/>
      <c r="F187" s="1038"/>
      <c r="G187" s="1038"/>
      <c r="H187" s="1038"/>
    </row>
    <row r="188" spans="1:8" s="33" customFormat="1" x14ac:dyDescent="0.25">
      <c r="A188" s="1210"/>
      <c r="B188" s="1038"/>
      <c r="C188" s="1210"/>
      <c r="D188" s="1038"/>
      <c r="E188" s="1038"/>
      <c r="F188" s="1038"/>
      <c r="G188" s="1038"/>
      <c r="H188" s="1038"/>
    </row>
    <row r="189" spans="1:8" s="33" customFormat="1" x14ac:dyDescent="0.25">
      <c r="A189" s="1210"/>
      <c r="B189" s="1038"/>
      <c r="C189" s="1210"/>
      <c r="D189" s="1038"/>
      <c r="E189" s="1038"/>
      <c r="F189" s="1038"/>
      <c r="G189" s="1038"/>
      <c r="H189" s="1038"/>
    </row>
    <row r="190" spans="1:8" s="33" customFormat="1" x14ac:dyDescent="0.25">
      <c r="A190" s="1210"/>
      <c r="B190" s="1038"/>
      <c r="C190" s="1210"/>
      <c r="D190" s="1038"/>
      <c r="E190" s="1038"/>
      <c r="F190" s="1038"/>
      <c r="G190" s="1038"/>
      <c r="H190" s="1038"/>
    </row>
    <row r="191" spans="1:8" s="33" customFormat="1" x14ac:dyDescent="0.25">
      <c r="A191" s="1210"/>
      <c r="B191" s="1038"/>
      <c r="C191" s="1210"/>
      <c r="D191" s="1038"/>
      <c r="E191" s="1038"/>
      <c r="F191" s="1038"/>
      <c r="G191" s="1038"/>
      <c r="H191" s="1038"/>
    </row>
    <row r="192" spans="1:8" s="33" customFormat="1" x14ac:dyDescent="0.25">
      <c r="A192" s="1210"/>
      <c r="B192" s="1038"/>
      <c r="C192" s="1210"/>
      <c r="D192" s="1038"/>
      <c r="E192" s="1038"/>
      <c r="F192" s="1038"/>
      <c r="G192" s="1038"/>
      <c r="H192" s="1038"/>
    </row>
    <row r="193" spans="1:8" s="33" customFormat="1" x14ac:dyDescent="0.25">
      <c r="A193" s="1210"/>
      <c r="B193" s="1038"/>
      <c r="C193" s="1210"/>
      <c r="D193" s="1038"/>
      <c r="E193" s="1038"/>
      <c r="F193" s="1038"/>
      <c r="G193" s="1038"/>
      <c r="H193" s="1038"/>
    </row>
    <row r="194" spans="1:8" s="33" customFormat="1" x14ac:dyDescent="0.25">
      <c r="A194" s="1210"/>
      <c r="B194" s="1038"/>
      <c r="C194" s="1210"/>
      <c r="D194" s="1038"/>
      <c r="E194" s="1038"/>
      <c r="F194" s="1038"/>
      <c r="G194" s="1038"/>
      <c r="H194" s="1038"/>
    </row>
    <row r="195" spans="1:8" s="33" customFormat="1" x14ac:dyDescent="0.25">
      <c r="A195" s="1210"/>
      <c r="B195" s="1038"/>
      <c r="C195" s="1210"/>
      <c r="D195" s="1038"/>
      <c r="E195" s="1038"/>
      <c r="F195" s="1038"/>
      <c r="G195" s="1038"/>
      <c r="H195" s="1038"/>
    </row>
    <row r="196" spans="1:8" s="33" customFormat="1" x14ac:dyDescent="0.25">
      <c r="A196" s="1210"/>
      <c r="B196" s="1038"/>
      <c r="C196" s="1210"/>
      <c r="D196" s="1038"/>
      <c r="E196" s="1038"/>
      <c r="F196" s="1038"/>
      <c r="G196" s="1038"/>
      <c r="H196" s="1038"/>
    </row>
    <row r="197" spans="1:8" s="33" customFormat="1" x14ac:dyDescent="0.25">
      <c r="A197" s="1210"/>
      <c r="B197" s="1038"/>
      <c r="C197" s="1210"/>
      <c r="D197" s="1038"/>
      <c r="E197" s="1038"/>
      <c r="F197" s="1038"/>
      <c r="G197" s="1038"/>
      <c r="H197" s="1038"/>
    </row>
    <row r="198" spans="1:8" s="33" customFormat="1" x14ac:dyDescent="0.25">
      <c r="A198" s="1210"/>
      <c r="B198" s="1038"/>
      <c r="C198" s="1210"/>
      <c r="D198" s="1038"/>
      <c r="E198" s="1038"/>
      <c r="F198" s="1038"/>
      <c r="G198" s="1038"/>
      <c r="H198" s="1038"/>
    </row>
    <row r="199" spans="1:8" s="33" customFormat="1" x14ac:dyDescent="0.25">
      <c r="A199" s="1210"/>
      <c r="B199" s="1038"/>
      <c r="C199" s="1210"/>
      <c r="D199" s="1038"/>
      <c r="E199" s="1038"/>
      <c r="F199" s="1038"/>
      <c r="G199" s="1038"/>
      <c r="H199" s="1038"/>
    </row>
    <row r="200" spans="1:8" s="33" customFormat="1" x14ac:dyDescent="0.25">
      <c r="A200" s="1210"/>
      <c r="B200" s="1038"/>
      <c r="C200" s="1210"/>
      <c r="D200" s="1038"/>
      <c r="E200" s="1038"/>
      <c r="F200" s="1038"/>
      <c r="G200" s="1038"/>
      <c r="H200" s="1038"/>
    </row>
    <row r="201" spans="1:8" s="33" customFormat="1" x14ac:dyDescent="0.25">
      <c r="A201" s="1210"/>
      <c r="B201" s="1038"/>
      <c r="C201" s="1210"/>
      <c r="D201" s="1038"/>
      <c r="E201" s="1038"/>
      <c r="F201" s="1038"/>
      <c r="G201" s="1038"/>
      <c r="H201" s="1038"/>
    </row>
    <row r="202" spans="1:8" s="33" customFormat="1" x14ac:dyDescent="0.25">
      <c r="A202" s="1210"/>
      <c r="B202" s="1038"/>
      <c r="C202" s="1210"/>
      <c r="D202" s="1038"/>
      <c r="E202" s="1038"/>
      <c r="F202" s="1038"/>
      <c r="G202" s="1038"/>
      <c r="H202" s="1038"/>
    </row>
    <row r="203" spans="1:8" s="33" customFormat="1" x14ac:dyDescent="0.25">
      <c r="A203" s="1210"/>
      <c r="B203" s="1038"/>
      <c r="C203" s="1210"/>
      <c r="D203" s="1038"/>
      <c r="E203" s="1038"/>
      <c r="F203" s="1038"/>
      <c r="G203" s="1038"/>
      <c r="H203" s="1038"/>
    </row>
    <row r="204" spans="1:8" s="33" customFormat="1" x14ac:dyDescent="0.25">
      <c r="A204" s="1210"/>
      <c r="B204" s="1038"/>
      <c r="C204" s="1210"/>
      <c r="D204" s="1038"/>
      <c r="E204" s="1038"/>
      <c r="F204" s="1038"/>
      <c r="G204" s="1038"/>
      <c r="H204" s="1038"/>
    </row>
    <row r="205" spans="1:8" s="33" customFormat="1" x14ac:dyDescent="0.25">
      <c r="A205" s="1210"/>
      <c r="B205" s="1038"/>
      <c r="C205" s="1210"/>
      <c r="D205" s="1038"/>
      <c r="E205" s="1038"/>
      <c r="F205" s="1038"/>
      <c r="G205" s="1038"/>
      <c r="H205" s="1038"/>
    </row>
    <row r="206" spans="1:8" s="33" customFormat="1" x14ac:dyDescent="0.25">
      <c r="A206" s="1210"/>
      <c r="B206" s="1038"/>
      <c r="C206" s="1210"/>
      <c r="D206" s="1038"/>
      <c r="E206" s="1038"/>
      <c r="F206" s="1038"/>
      <c r="G206" s="1038"/>
      <c r="H206" s="1038"/>
    </row>
    <row r="207" spans="1:8" s="33" customFormat="1" x14ac:dyDescent="0.25">
      <c r="A207" s="1210"/>
      <c r="B207" s="1038"/>
      <c r="C207" s="1210"/>
      <c r="D207" s="1038"/>
      <c r="E207" s="1038"/>
      <c r="F207" s="1038"/>
      <c r="G207" s="1038"/>
      <c r="H207" s="1038"/>
    </row>
    <row r="208" spans="1:8" s="33" customFormat="1" x14ac:dyDescent="0.25">
      <c r="A208" s="1210"/>
      <c r="B208" s="1038"/>
      <c r="C208" s="1210"/>
      <c r="D208" s="1038"/>
      <c r="E208" s="1038"/>
      <c r="F208" s="1038"/>
      <c r="G208" s="1038"/>
      <c r="H208" s="1038"/>
    </row>
    <row r="209" spans="1:8" s="33" customFormat="1" x14ac:dyDescent="0.25">
      <c r="A209" s="1210"/>
      <c r="B209" s="1038"/>
      <c r="C209" s="1210"/>
      <c r="D209" s="1038"/>
      <c r="E209" s="1038"/>
      <c r="F209" s="1038"/>
      <c r="G209" s="1038"/>
      <c r="H209" s="1038"/>
    </row>
    <row r="210" spans="1:8" s="33" customFormat="1" x14ac:dyDescent="0.25">
      <c r="A210" s="1210"/>
      <c r="B210" s="1038"/>
      <c r="C210" s="1210"/>
      <c r="D210" s="1038"/>
      <c r="E210" s="1038"/>
      <c r="F210" s="1038"/>
      <c r="G210" s="1038"/>
      <c r="H210" s="1038"/>
    </row>
    <row r="211" spans="1:8" s="33" customFormat="1" x14ac:dyDescent="0.25">
      <c r="A211" s="1210"/>
      <c r="B211" s="1038"/>
      <c r="C211" s="1210"/>
      <c r="D211" s="1038"/>
      <c r="E211" s="1038"/>
      <c r="F211" s="1038"/>
      <c r="G211" s="1038"/>
      <c r="H211" s="1038"/>
    </row>
    <row r="212" spans="1:8" s="33" customFormat="1" x14ac:dyDescent="0.25">
      <c r="A212" s="1210"/>
      <c r="B212" s="1038"/>
      <c r="C212" s="1210"/>
      <c r="D212" s="1038"/>
      <c r="E212" s="1038"/>
      <c r="F212" s="1038"/>
      <c r="G212" s="1038"/>
      <c r="H212" s="1038"/>
    </row>
    <row r="213" spans="1:8" s="33" customFormat="1" x14ac:dyDescent="0.25">
      <c r="A213" s="1210"/>
      <c r="B213" s="1038"/>
      <c r="C213" s="1210"/>
      <c r="D213" s="1038"/>
      <c r="E213" s="1038"/>
      <c r="F213" s="1038"/>
      <c r="G213" s="1038"/>
      <c r="H213" s="1038"/>
    </row>
    <row r="214" spans="1:8" s="33" customFormat="1" x14ac:dyDescent="0.25">
      <c r="A214" s="1210"/>
      <c r="B214" s="1038"/>
      <c r="C214" s="1210"/>
      <c r="D214" s="1038"/>
      <c r="E214" s="1038"/>
      <c r="F214" s="1038"/>
      <c r="G214" s="1038"/>
      <c r="H214" s="1038"/>
    </row>
    <row r="215" spans="1:8" s="33" customFormat="1" x14ac:dyDescent="0.25">
      <c r="A215" s="1210"/>
      <c r="B215" s="1038"/>
      <c r="C215" s="1210"/>
      <c r="D215" s="1038"/>
      <c r="E215" s="1038"/>
      <c r="F215" s="1038"/>
      <c r="G215" s="1038"/>
      <c r="H215" s="1038"/>
    </row>
    <row r="216" spans="1:8" s="33" customFormat="1" x14ac:dyDescent="0.25">
      <c r="A216" s="1210"/>
      <c r="B216" s="1038"/>
      <c r="C216" s="1210"/>
      <c r="D216" s="1038"/>
      <c r="E216" s="1038"/>
      <c r="F216" s="1038"/>
      <c r="G216" s="1038"/>
      <c r="H216" s="1038"/>
    </row>
    <row r="217" spans="1:8" s="33" customFormat="1" x14ac:dyDescent="0.25">
      <c r="A217" s="1210"/>
      <c r="B217" s="1038"/>
      <c r="C217" s="1210"/>
      <c r="D217" s="1038"/>
      <c r="E217" s="1038"/>
      <c r="F217" s="1038"/>
      <c r="G217" s="1038"/>
      <c r="H217" s="1038"/>
    </row>
    <row r="218" spans="1:8" s="33" customFormat="1" x14ac:dyDescent="0.25">
      <c r="A218" s="1210"/>
      <c r="B218" s="1038"/>
      <c r="C218" s="1210"/>
      <c r="D218" s="1038"/>
      <c r="E218" s="1038"/>
      <c r="F218" s="1038"/>
      <c r="G218" s="1038"/>
      <c r="H218" s="1038"/>
    </row>
    <row r="219" spans="1:8" s="33" customFormat="1" x14ac:dyDescent="0.25">
      <c r="A219" s="1210"/>
      <c r="B219" s="1038"/>
      <c r="C219" s="1210"/>
      <c r="D219" s="1038"/>
      <c r="E219" s="1038"/>
      <c r="F219" s="1038"/>
      <c r="G219" s="1038"/>
      <c r="H219" s="1038"/>
    </row>
    <row r="220" spans="1:8" s="33" customFormat="1" x14ac:dyDescent="0.25">
      <c r="A220" s="1210"/>
      <c r="B220" s="1038"/>
      <c r="C220" s="1210"/>
      <c r="D220" s="1038"/>
      <c r="E220" s="1038"/>
      <c r="F220" s="1038"/>
      <c r="G220" s="1038"/>
      <c r="H220" s="1038"/>
    </row>
    <row r="221" spans="1:8" s="33" customFormat="1" x14ac:dyDescent="0.25">
      <c r="A221" s="1210"/>
      <c r="B221" s="1038"/>
      <c r="C221" s="1210"/>
      <c r="D221" s="1038"/>
      <c r="E221" s="1038"/>
      <c r="F221" s="1038"/>
      <c r="G221" s="1038"/>
      <c r="H221" s="1038"/>
    </row>
    <row r="222" spans="1:8" s="33" customFormat="1" x14ac:dyDescent="0.25">
      <c r="A222" s="1210"/>
      <c r="B222" s="1038"/>
      <c r="C222" s="1210"/>
      <c r="D222" s="1038"/>
      <c r="E222" s="1038"/>
      <c r="F222" s="1038"/>
      <c r="G222" s="1038"/>
      <c r="H222" s="1038"/>
    </row>
    <row r="223" spans="1:8" s="33" customFormat="1" x14ac:dyDescent="0.25">
      <c r="A223" s="1210"/>
      <c r="B223" s="1038"/>
      <c r="C223" s="1210"/>
      <c r="D223" s="1038"/>
      <c r="E223" s="1038"/>
      <c r="F223" s="1038"/>
      <c r="G223" s="1038"/>
      <c r="H223" s="1038"/>
    </row>
  </sheetData>
  <mergeCells count="54">
    <mergeCell ref="E48:G48"/>
    <mergeCell ref="E87:G87"/>
    <mergeCell ref="F59:F68"/>
    <mergeCell ref="E56:G56"/>
    <mergeCell ref="E89:G89"/>
    <mergeCell ref="E53:G53"/>
    <mergeCell ref="E52:G52"/>
    <mergeCell ref="E51:G51"/>
    <mergeCell ref="E55:G55"/>
    <mergeCell ref="E85:G85"/>
    <mergeCell ref="E86:G86"/>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6:G161"/>
    <mergeCell ref="C131:D131"/>
    <mergeCell ref="E144:G144"/>
    <mergeCell ref="D100:D101"/>
    <mergeCell ref="E88:G88"/>
    <mergeCell ref="E141:G143"/>
    <mergeCell ref="E152:G152"/>
    <mergeCell ref="E145:G145"/>
    <mergeCell ref="E146:G146"/>
    <mergeCell ref="F92:G92"/>
    <mergeCell ref="F93:G93"/>
    <mergeCell ref="F103:G103"/>
    <mergeCell ref="F148:G151"/>
    <mergeCell ref="F98:G99"/>
  </mergeCells>
  <phoneticPr fontId="3"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9" xr:uid="{00000000-0002-0000-0300-000000000000}"/>
    <dataValidation allowBlank="1" showInputMessage="1" showErrorMessage="1" prompt="Enter specific year replacement costs on Replacement Costs sheet" sqref="C152"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213360</xdr:rowOff>
                  </from>
                  <to>
                    <xdr:col>3</xdr:col>
                    <xdr:colOff>1066800</xdr:colOff>
                    <xdr:row>41</xdr:row>
                    <xdr:rowOff>213360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213360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113</xdr:row>
                    <xdr:rowOff>0</xdr:rowOff>
                  </from>
                  <to>
                    <xdr:col>3</xdr:col>
                    <xdr:colOff>1066800</xdr:colOff>
                    <xdr:row>114</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116</xdr:row>
                    <xdr:rowOff>22860</xdr:rowOff>
                  </from>
                  <to>
                    <xdr:col>3</xdr:col>
                    <xdr:colOff>1066800</xdr:colOff>
                    <xdr:row>116</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85" zoomScaleNormal="85" workbookViewId="0">
      <selection activeCell="K33" sqref="K33"/>
    </sheetView>
  </sheetViews>
  <sheetFormatPr defaultColWidth="9.33203125" defaultRowHeight="13.2" x14ac:dyDescent="0.25"/>
  <cols>
    <col min="1" max="1" width="16.33203125" style="208" customWidth="1"/>
    <col min="2" max="2" width="17.44140625" style="208" customWidth="1"/>
    <col min="3" max="5" width="19.5546875" style="208" customWidth="1"/>
    <col min="6" max="6" width="19.44140625" style="208" customWidth="1"/>
    <col min="7" max="7" width="21.6640625" style="208" customWidth="1"/>
    <col min="8" max="8" width="23.33203125" style="208" customWidth="1"/>
    <col min="9" max="10" width="19.33203125" style="208" customWidth="1"/>
    <col min="11" max="11" width="47.33203125" style="208" customWidth="1"/>
    <col min="12" max="12" width="30.33203125" style="208" customWidth="1"/>
    <col min="13" max="13" width="40.33203125" style="208" customWidth="1"/>
    <col min="14" max="14" width="20" style="208" customWidth="1"/>
    <col min="15" max="16384" width="9.33203125" style="208"/>
  </cols>
  <sheetData>
    <row r="1" spans="1:12" x14ac:dyDescent="0.25">
      <c r="B1" s="36"/>
      <c r="C1" s="36"/>
      <c r="D1" s="36"/>
      <c r="E1" s="36"/>
      <c r="F1" s="36"/>
      <c r="G1" s="36"/>
    </row>
    <row r="2" spans="1:12" ht="21" x14ac:dyDescent="0.5">
      <c r="A2" s="693" t="s">
        <v>1009</v>
      </c>
      <c r="B2" s="36"/>
      <c r="C2" s="36"/>
      <c r="D2" s="36"/>
      <c r="E2" s="36"/>
      <c r="F2" s="36"/>
      <c r="G2" s="36"/>
    </row>
    <row r="3" spans="1:12" x14ac:dyDescent="0.25">
      <c r="B3" s="39"/>
      <c r="C3" s="39"/>
      <c r="D3" s="39"/>
      <c r="E3" s="39"/>
      <c r="F3" s="39"/>
      <c r="G3" s="42"/>
      <c r="H3" s="209"/>
      <c r="I3" s="209"/>
      <c r="J3" s="209"/>
    </row>
    <row r="4" spans="1:12" x14ac:dyDescent="0.25">
      <c r="B4" s="39"/>
      <c r="C4" s="39"/>
      <c r="D4" s="39"/>
      <c r="E4" s="39"/>
      <c r="F4" s="39"/>
      <c r="G4" s="42"/>
      <c r="H4" s="209"/>
      <c r="I4" s="209"/>
      <c r="J4" s="209"/>
    </row>
    <row r="5" spans="1:12" customFormat="1" ht="15.6" x14ac:dyDescent="0.3">
      <c r="C5" s="695" t="s">
        <v>232</v>
      </c>
      <c r="D5" s="695"/>
      <c r="E5" s="695"/>
    </row>
    <row r="6" spans="1:12" customFormat="1" x14ac:dyDescent="0.25"/>
    <row r="7" spans="1:12" customFormat="1" x14ac:dyDescent="0.25"/>
    <row r="8" spans="1:12" customFormat="1" x14ac:dyDescent="0.25"/>
    <row r="9" spans="1:12" customFormat="1" x14ac:dyDescent="0.25">
      <c r="A9" s="694" t="str">
        <f>"NOTE: Enter costs in year "&amp;TEXT(BasisYear,"0")&amp;" $ - Do not inflate"</f>
        <v>NOTE: Enter costs in year 2005 $ - Do not inflate</v>
      </c>
    </row>
    <row r="10" spans="1:12" customFormat="1" x14ac:dyDescent="0.25">
      <c r="A10" s="694" t="s">
        <v>1010</v>
      </c>
    </row>
    <row r="11" spans="1:12" customFormat="1" x14ac:dyDescent="0.25"/>
    <row r="12" spans="1:12" ht="13.8" thickBot="1" x14ac:dyDescent="0.3">
      <c r="A12" s="210"/>
      <c r="B12" s="210"/>
      <c r="C12" s="210"/>
      <c r="D12" s="210"/>
      <c r="E12" s="210"/>
      <c r="F12" s="210"/>
      <c r="G12" s="210"/>
      <c r="H12" s="211"/>
      <c r="I12" s="211"/>
      <c r="J12" s="211"/>
    </row>
    <row r="13" spans="1:12" ht="14.4" thickTop="1" thickBot="1" x14ac:dyDescent="0.3">
      <c r="A13" s="318" t="s">
        <v>1011</v>
      </c>
      <c r="B13" s="319"/>
      <c r="C13" s="320"/>
      <c r="D13" s="320"/>
      <c r="E13" s="320"/>
      <c r="F13" s="321"/>
      <c r="G13" s="322"/>
    </row>
    <row r="14" spans="1:12" ht="14.4" thickTop="1" thickBot="1" x14ac:dyDescent="0.3">
      <c r="A14" s="323"/>
      <c r="B14" s="324"/>
      <c r="C14" s="325" t="s">
        <v>1012</v>
      </c>
      <c r="D14" s="325"/>
      <c r="E14" s="325"/>
      <c r="F14" s="325" t="s">
        <v>1013</v>
      </c>
      <c r="G14" s="326" t="s">
        <v>1014</v>
      </c>
    </row>
    <row r="15" spans="1:12" s="207" customFormat="1" ht="93.6" thickTop="1" thickBot="1" x14ac:dyDescent="0.3">
      <c r="A15" s="327" t="s">
        <v>182</v>
      </c>
      <c r="B15" s="456">
        <f>replace_factor</f>
        <v>0</v>
      </c>
      <c r="C15" s="328"/>
      <c r="D15" s="328"/>
      <c r="E15" s="328"/>
      <c r="F15" s="329"/>
      <c r="G15" s="330" t="s">
        <v>1015</v>
      </c>
      <c r="I15" s="219"/>
      <c r="J15" s="208"/>
      <c r="K15" s="212"/>
    </row>
    <row r="16" spans="1:12" ht="54" thickTop="1" thickBot="1" x14ac:dyDescent="0.3">
      <c r="A16" s="331" t="s">
        <v>1016</v>
      </c>
      <c r="B16" s="332" t="s">
        <v>39</v>
      </c>
      <c r="C16" s="333" t="s">
        <v>1017</v>
      </c>
      <c r="D16" s="333" t="s">
        <v>1018</v>
      </c>
      <c r="E16" s="333" t="s">
        <v>1198</v>
      </c>
      <c r="F16" s="333" t="s">
        <v>1018</v>
      </c>
      <c r="G16" s="333" t="s">
        <v>1019</v>
      </c>
      <c r="H16" s="333" t="s">
        <v>1057</v>
      </c>
      <c r="I16" s="333" t="s">
        <v>1058</v>
      </c>
      <c r="J16" s="333" t="s">
        <v>1059</v>
      </c>
      <c r="K16" s="334" t="s">
        <v>1060</v>
      </c>
      <c r="L16" s="335" t="s">
        <v>1061</v>
      </c>
    </row>
    <row r="17" spans="1:12" ht="14.4" thickTop="1" thickBot="1" x14ac:dyDescent="0.3">
      <c r="A17" s="336"/>
      <c r="B17" s="337"/>
      <c r="C17" s="337"/>
      <c r="D17" s="337" t="str">
        <f>"Year "&amp;TEXT(BasisYear,"0")&amp;" $"</f>
        <v>Year 2005 $</v>
      </c>
      <c r="E17" s="337" t="str">
        <f>"Year "&amp;TEXT(ref_year,"0")&amp;" $"</f>
        <v>Year 2016 $</v>
      </c>
      <c r="F17" s="337" t="str">
        <f>"Year "&amp;TEXT(ref_year,"0")&amp;" $"</f>
        <v>Year 2016 $</v>
      </c>
      <c r="G17" s="337" t="str">
        <f>"Year "&amp;TEXT(ref_year,"0")&amp;" $"</f>
        <v>Year 2016 $</v>
      </c>
      <c r="H17" s="337" t="s">
        <v>1062</v>
      </c>
      <c r="I17" s="337"/>
      <c r="J17" s="337"/>
      <c r="K17" s="338"/>
      <c r="L17" s="339"/>
    </row>
    <row r="18" spans="1:12" ht="27" thickTop="1" x14ac:dyDescent="0.25">
      <c r="A18" s="90">
        <f>IF(C18&lt;&gt;"",'Cash Flow Analysis'!A65,"")</f>
        <v>2039</v>
      </c>
      <c r="B18" s="307">
        <f>construct+1</f>
        <v>2</v>
      </c>
      <c r="C18" s="307">
        <v>1</v>
      </c>
      <c r="D18" s="1464"/>
      <c r="E18" s="213">
        <f t="shared" ref="E18:E57" ca="1" si="0">direct_cap*D18</f>
        <v>0</v>
      </c>
      <c r="F18" s="213">
        <f t="shared" ref="F18:F57" ca="1" si="1">(D18)*CPIinflator*CEPCIinflator+E18</f>
        <v>0</v>
      </c>
      <c r="G18" s="213">
        <f ca="1">IF(C18&gt;anal_period,0,IF(replace_factor&lt;&gt;"",replace_factor*depr_cap,0))</f>
        <v>0</v>
      </c>
      <c r="H18" s="214">
        <f ca="1">(F18+G18)*((1+inflation_rate)^(startup_year-ref_year))</f>
        <v>0</v>
      </c>
      <c r="I18" s="340"/>
      <c r="J18" s="341"/>
      <c r="K18" s="1466" t="s">
        <v>1619</v>
      </c>
      <c r="L18" s="342"/>
    </row>
    <row r="19" spans="1:12" x14ac:dyDescent="0.25">
      <c r="A19" s="92">
        <f>IF(C19&lt;&gt;"",'Cash Flow Analysis'!A66,"")</f>
        <v>2040</v>
      </c>
      <c r="B19" s="308">
        <f t="shared" ref="B19:B57" si="2">IF(B18&lt;anal_period+construct,B18+1,"")</f>
        <v>3</v>
      </c>
      <c r="C19" s="308">
        <f t="shared" ref="C19:C57" si="3">IF(B19="","",C18+1)</f>
        <v>2</v>
      </c>
      <c r="D19" s="1465"/>
      <c r="E19" s="215">
        <f t="shared" ca="1" si="0"/>
        <v>0</v>
      </c>
      <c r="F19" s="215">
        <f t="shared" ca="1" si="1"/>
        <v>0</v>
      </c>
      <c r="G19" s="215">
        <f t="shared" ref="G19:G57" ca="1" si="4">IF(C19&gt;anal_period,0,IF(replace_factor&lt;&gt;"",replace_factor*depr_cap,0))</f>
        <v>0</v>
      </c>
      <c r="H19" s="216">
        <f t="shared" ref="H19:H57" ca="1" si="5">(F19+G19)*((1+inflation_rate)^(startup_year-ref_year))</f>
        <v>0</v>
      </c>
      <c r="I19" s="343"/>
      <c r="J19" s="344"/>
      <c r="K19" s="749"/>
      <c r="L19" s="346"/>
    </row>
    <row r="20" spans="1:12" x14ac:dyDescent="0.25">
      <c r="A20" s="92">
        <f>IF(C20&lt;&gt;"",'Cash Flow Analysis'!A67,"")</f>
        <v>2041</v>
      </c>
      <c r="B20" s="308">
        <f t="shared" si="2"/>
        <v>4</v>
      </c>
      <c r="C20" s="308">
        <f t="shared" si="3"/>
        <v>3</v>
      </c>
      <c r="D20" s="1465"/>
      <c r="E20" s="215">
        <f t="shared" ca="1" si="0"/>
        <v>0</v>
      </c>
      <c r="F20" s="215">
        <f t="shared" ca="1" si="1"/>
        <v>0</v>
      </c>
      <c r="G20" s="215">
        <f t="shared" ca="1" si="4"/>
        <v>0</v>
      </c>
      <c r="H20" s="216">
        <f t="shared" ca="1" si="5"/>
        <v>0</v>
      </c>
      <c r="I20" s="343"/>
      <c r="J20" s="344"/>
      <c r="K20" s="749"/>
      <c r="L20" s="346"/>
    </row>
    <row r="21" spans="1:12" x14ac:dyDescent="0.25">
      <c r="A21" s="92">
        <f>IF(C21&lt;&gt;"",'Cash Flow Analysis'!A68,"")</f>
        <v>2042</v>
      </c>
      <c r="B21" s="308">
        <f t="shared" si="2"/>
        <v>5</v>
      </c>
      <c r="C21" s="308">
        <f t="shared" si="3"/>
        <v>4</v>
      </c>
      <c r="D21" s="1465"/>
      <c r="E21" s="215">
        <f t="shared" ca="1" si="0"/>
        <v>0</v>
      </c>
      <c r="F21" s="215">
        <f t="shared" ca="1" si="1"/>
        <v>0</v>
      </c>
      <c r="G21" s="215">
        <f t="shared" ca="1" si="4"/>
        <v>0</v>
      </c>
      <c r="H21" s="216">
        <f t="shared" ca="1" si="5"/>
        <v>0</v>
      </c>
      <c r="I21" s="343"/>
      <c r="J21" s="344"/>
      <c r="K21" s="749"/>
      <c r="L21" s="346"/>
    </row>
    <row r="22" spans="1:12" x14ac:dyDescent="0.25">
      <c r="A22" s="92">
        <f>IF(C22&lt;&gt;"",'Cash Flow Analysis'!A69,"")</f>
        <v>2043</v>
      </c>
      <c r="B22" s="308">
        <f t="shared" si="2"/>
        <v>6</v>
      </c>
      <c r="C22" s="308">
        <f t="shared" si="3"/>
        <v>5</v>
      </c>
      <c r="D22" s="1465"/>
      <c r="E22" s="215">
        <f t="shared" ca="1" si="0"/>
        <v>0</v>
      </c>
      <c r="F22" s="215">
        <f t="shared" ca="1" si="1"/>
        <v>0</v>
      </c>
      <c r="G22" s="215">
        <f t="shared" ca="1" si="4"/>
        <v>0</v>
      </c>
      <c r="H22" s="216">
        <f t="shared" ca="1" si="5"/>
        <v>0</v>
      </c>
      <c r="I22" s="343"/>
      <c r="J22" s="344"/>
      <c r="K22" s="749"/>
      <c r="L22" s="750"/>
    </row>
    <row r="23" spans="1:12" x14ac:dyDescent="0.25">
      <c r="A23" s="92">
        <f>IF(C23&lt;&gt;"",'Cash Flow Analysis'!A70,"")</f>
        <v>2044</v>
      </c>
      <c r="B23" s="308">
        <f t="shared" si="2"/>
        <v>7</v>
      </c>
      <c r="C23" s="308">
        <f t="shared" si="3"/>
        <v>6</v>
      </c>
      <c r="D23" s="1465">
        <v>0.15</v>
      </c>
      <c r="E23" s="215">
        <f t="shared" ca="1" si="0"/>
        <v>139540.10288166304</v>
      </c>
      <c r="F23" s="215">
        <f t="shared" ca="1" si="1"/>
        <v>139540.29691596367</v>
      </c>
      <c r="G23" s="215">
        <f t="shared" ca="1" si="4"/>
        <v>0</v>
      </c>
      <c r="H23" s="216">
        <f t="shared" ca="1" si="5"/>
        <v>219219.94219499821</v>
      </c>
      <c r="I23" s="343"/>
      <c r="J23" s="344"/>
      <c r="K23" s="749" t="s">
        <v>1620</v>
      </c>
      <c r="L23" s="346"/>
    </row>
    <row r="24" spans="1:12" x14ac:dyDescent="0.25">
      <c r="A24" s="92">
        <f>IF(C24&lt;&gt;"",'Cash Flow Analysis'!A71,"")</f>
        <v>2045</v>
      </c>
      <c r="B24" s="308">
        <f t="shared" si="2"/>
        <v>8</v>
      </c>
      <c r="C24" s="308">
        <f t="shared" si="3"/>
        <v>7</v>
      </c>
      <c r="D24" s="1465"/>
      <c r="E24" s="215">
        <f t="shared" ca="1" si="0"/>
        <v>0</v>
      </c>
      <c r="F24" s="215">
        <f t="shared" ca="1" si="1"/>
        <v>0</v>
      </c>
      <c r="G24" s="215">
        <f t="shared" ca="1" si="4"/>
        <v>0</v>
      </c>
      <c r="H24" s="216">
        <f t="shared" ca="1" si="5"/>
        <v>0</v>
      </c>
      <c r="I24" s="343"/>
      <c r="J24" s="344"/>
      <c r="K24" s="749"/>
      <c r="L24" s="346"/>
    </row>
    <row r="25" spans="1:12" x14ac:dyDescent="0.25">
      <c r="A25" s="92">
        <f>IF(C25&lt;&gt;"",'Cash Flow Analysis'!A72,"")</f>
        <v>2046</v>
      </c>
      <c r="B25" s="308">
        <f t="shared" si="2"/>
        <v>9</v>
      </c>
      <c r="C25" s="308">
        <f t="shared" si="3"/>
        <v>8</v>
      </c>
      <c r="D25" s="1465"/>
      <c r="E25" s="215">
        <f t="shared" ca="1" si="0"/>
        <v>0</v>
      </c>
      <c r="F25" s="215">
        <f t="shared" ca="1" si="1"/>
        <v>0</v>
      </c>
      <c r="G25" s="215">
        <f t="shared" ca="1" si="4"/>
        <v>0</v>
      </c>
      <c r="H25" s="216">
        <f t="shared" ca="1" si="5"/>
        <v>0</v>
      </c>
      <c r="I25" s="343"/>
      <c r="J25" s="344"/>
      <c r="K25" s="749"/>
      <c r="L25" s="346"/>
    </row>
    <row r="26" spans="1:12" x14ac:dyDescent="0.25">
      <c r="A26" s="92">
        <f>IF(C26&lt;&gt;"",'Cash Flow Analysis'!A73,"")</f>
        <v>2047</v>
      </c>
      <c r="B26" s="308">
        <f t="shared" si="2"/>
        <v>10</v>
      </c>
      <c r="C26" s="308">
        <f t="shared" si="3"/>
        <v>9</v>
      </c>
      <c r="D26" s="1465"/>
      <c r="E26" s="215">
        <f t="shared" ca="1" si="0"/>
        <v>0</v>
      </c>
      <c r="F26" s="215">
        <f t="shared" ca="1" si="1"/>
        <v>0</v>
      </c>
      <c r="G26" s="215">
        <f t="shared" ca="1" si="4"/>
        <v>0</v>
      </c>
      <c r="H26" s="216">
        <f t="shared" ca="1" si="5"/>
        <v>0</v>
      </c>
      <c r="I26" s="343"/>
      <c r="J26" s="344"/>
      <c r="K26" s="749"/>
      <c r="L26" s="346"/>
    </row>
    <row r="27" spans="1:12" x14ac:dyDescent="0.25">
      <c r="A27" s="92">
        <f>IF(C27&lt;&gt;"",'Cash Flow Analysis'!A74,"")</f>
        <v>2048</v>
      </c>
      <c r="B27" s="308">
        <f t="shared" si="2"/>
        <v>11</v>
      </c>
      <c r="C27" s="308">
        <f t="shared" si="3"/>
        <v>10</v>
      </c>
      <c r="D27" s="1465"/>
      <c r="E27" s="215">
        <f t="shared" ca="1" si="0"/>
        <v>0</v>
      </c>
      <c r="F27" s="215">
        <f t="shared" ca="1" si="1"/>
        <v>0</v>
      </c>
      <c r="G27" s="215">
        <f t="shared" ca="1" si="4"/>
        <v>0</v>
      </c>
      <c r="H27" s="216">
        <f t="shared" ca="1" si="5"/>
        <v>0</v>
      </c>
      <c r="I27" s="343"/>
      <c r="J27" s="344"/>
      <c r="K27" s="749"/>
      <c r="L27" s="346"/>
    </row>
    <row r="28" spans="1:12" x14ac:dyDescent="0.25">
      <c r="A28" s="92">
        <f>IF(C28&lt;&gt;"",'Cash Flow Analysis'!A75,"")</f>
        <v>2049</v>
      </c>
      <c r="B28" s="308">
        <f t="shared" si="2"/>
        <v>12</v>
      </c>
      <c r="C28" s="308">
        <f t="shared" si="3"/>
        <v>11</v>
      </c>
      <c r="D28" s="1465"/>
      <c r="E28" s="215">
        <f t="shared" ca="1" si="0"/>
        <v>0</v>
      </c>
      <c r="F28" s="215">
        <f t="shared" ca="1" si="1"/>
        <v>0</v>
      </c>
      <c r="G28" s="215">
        <f t="shared" ca="1" si="4"/>
        <v>0</v>
      </c>
      <c r="H28" s="216">
        <f t="shared" ca="1" si="5"/>
        <v>0</v>
      </c>
      <c r="I28" s="343"/>
      <c r="J28" s="344"/>
      <c r="K28" s="749"/>
      <c r="L28" s="346"/>
    </row>
    <row r="29" spans="1:12" x14ac:dyDescent="0.25">
      <c r="A29" s="92">
        <f>IF(C29&lt;&gt;"",'Cash Flow Analysis'!A76,"")</f>
        <v>2050</v>
      </c>
      <c r="B29" s="308">
        <f t="shared" si="2"/>
        <v>13</v>
      </c>
      <c r="C29" s="308">
        <f t="shared" si="3"/>
        <v>12</v>
      </c>
      <c r="D29" s="1465"/>
      <c r="E29" s="215">
        <f t="shared" ca="1" si="0"/>
        <v>0</v>
      </c>
      <c r="F29" s="215">
        <f t="shared" ca="1" si="1"/>
        <v>0</v>
      </c>
      <c r="G29" s="215">
        <f t="shared" ca="1" si="4"/>
        <v>0</v>
      </c>
      <c r="H29" s="216">
        <f t="shared" ca="1" si="5"/>
        <v>0</v>
      </c>
      <c r="I29" s="343"/>
      <c r="J29" s="344"/>
      <c r="K29" s="749"/>
      <c r="L29" s="346"/>
    </row>
    <row r="30" spans="1:12" x14ac:dyDescent="0.25">
      <c r="A30" s="92">
        <f>IF(C30&lt;&gt;"",'Cash Flow Analysis'!A77,"")</f>
        <v>2051</v>
      </c>
      <c r="B30" s="308">
        <f t="shared" si="2"/>
        <v>14</v>
      </c>
      <c r="C30" s="308">
        <f t="shared" si="3"/>
        <v>13</v>
      </c>
      <c r="D30" s="1465">
        <v>0.15</v>
      </c>
      <c r="E30" s="215">
        <f t="shared" ca="1" si="0"/>
        <v>139540.10288166304</v>
      </c>
      <c r="F30" s="215">
        <f t="shared" ca="1" si="1"/>
        <v>139540.29691596367</v>
      </c>
      <c r="G30" s="215">
        <f t="shared" ca="1" si="4"/>
        <v>0</v>
      </c>
      <c r="H30" s="216">
        <f t="shared" ca="1" si="5"/>
        <v>219219.94219499821</v>
      </c>
      <c r="I30" s="343"/>
      <c r="J30" s="344"/>
      <c r="K30" s="749" t="s">
        <v>1620</v>
      </c>
      <c r="L30" s="346"/>
    </row>
    <row r="31" spans="1:12" x14ac:dyDescent="0.25">
      <c r="A31" s="92">
        <f>IF(C31&lt;&gt;"",'Cash Flow Analysis'!A78,"")</f>
        <v>2052</v>
      </c>
      <c r="B31" s="308">
        <f t="shared" si="2"/>
        <v>15</v>
      </c>
      <c r="C31" s="308">
        <f t="shared" si="3"/>
        <v>14</v>
      </c>
      <c r="D31" s="1465"/>
      <c r="E31" s="215">
        <f t="shared" ca="1" si="0"/>
        <v>0</v>
      </c>
      <c r="F31" s="215">
        <f t="shared" ca="1" si="1"/>
        <v>0</v>
      </c>
      <c r="G31" s="215">
        <f t="shared" ca="1" si="4"/>
        <v>0</v>
      </c>
      <c r="H31" s="216">
        <f t="shared" ca="1" si="5"/>
        <v>0</v>
      </c>
      <c r="I31" s="343"/>
      <c r="J31" s="344"/>
      <c r="K31" s="749"/>
      <c r="L31" s="346"/>
    </row>
    <row r="32" spans="1:12" x14ac:dyDescent="0.25">
      <c r="A32" s="92">
        <f>IF(C32&lt;&gt;"",'Cash Flow Analysis'!A79,"")</f>
        <v>2053</v>
      </c>
      <c r="B32" s="308">
        <f t="shared" si="2"/>
        <v>16</v>
      </c>
      <c r="C32" s="308">
        <f t="shared" si="3"/>
        <v>15</v>
      </c>
      <c r="D32" s="1465"/>
      <c r="E32" s="215">
        <f t="shared" ca="1" si="0"/>
        <v>0</v>
      </c>
      <c r="F32" s="215">
        <f t="shared" ca="1" si="1"/>
        <v>0</v>
      </c>
      <c r="G32" s="215">
        <f t="shared" ca="1" si="4"/>
        <v>0</v>
      </c>
      <c r="H32" s="216">
        <f t="shared" ca="1" si="5"/>
        <v>0</v>
      </c>
      <c r="I32" s="343"/>
      <c r="J32" s="344"/>
      <c r="K32" s="749"/>
      <c r="L32" s="346"/>
    </row>
    <row r="33" spans="1:12" x14ac:dyDescent="0.25">
      <c r="A33" s="92">
        <f>IF(C33&lt;&gt;"",'Cash Flow Analysis'!A80,"")</f>
        <v>2054</v>
      </c>
      <c r="B33" s="308">
        <f t="shared" si="2"/>
        <v>17</v>
      </c>
      <c r="C33" s="308">
        <f t="shared" si="3"/>
        <v>16</v>
      </c>
      <c r="D33" s="1465"/>
      <c r="E33" s="215">
        <f t="shared" ca="1" si="0"/>
        <v>0</v>
      </c>
      <c r="F33" s="215">
        <f t="shared" ca="1" si="1"/>
        <v>0</v>
      </c>
      <c r="G33" s="215">
        <f t="shared" ca="1" si="4"/>
        <v>0</v>
      </c>
      <c r="H33" s="216">
        <f t="shared" ca="1" si="5"/>
        <v>0</v>
      </c>
      <c r="I33" s="343"/>
      <c r="J33" s="344"/>
      <c r="K33" s="749"/>
      <c r="L33" s="346"/>
    </row>
    <row r="34" spans="1:12" x14ac:dyDescent="0.25">
      <c r="A34" s="92">
        <f>IF(C34&lt;&gt;"",'Cash Flow Analysis'!A81,"")</f>
        <v>2055</v>
      </c>
      <c r="B34" s="308">
        <f t="shared" si="2"/>
        <v>18</v>
      </c>
      <c r="C34" s="308">
        <f t="shared" si="3"/>
        <v>17</v>
      </c>
      <c r="D34" s="1465"/>
      <c r="E34" s="215">
        <f t="shared" ca="1" si="0"/>
        <v>0</v>
      </c>
      <c r="F34" s="215">
        <f t="shared" ca="1" si="1"/>
        <v>0</v>
      </c>
      <c r="G34" s="215">
        <f t="shared" ca="1" si="4"/>
        <v>0</v>
      </c>
      <c r="H34" s="216">
        <f t="shared" ca="1" si="5"/>
        <v>0</v>
      </c>
      <c r="I34" s="343"/>
      <c r="J34" s="344"/>
      <c r="K34" s="749"/>
      <c r="L34" s="346"/>
    </row>
    <row r="35" spans="1:12" x14ac:dyDescent="0.25">
      <c r="A35" s="92">
        <f>IF(C35&lt;&gt;"",'Cash Flow Analysis'!A82,"")</f>
        <v>2056</v>
      </c>
      <c r="B35" s="308">
        <f t="shared" si="2"/>
        <v>19</v>
      </c>
      <c r="C35" s="308">
        <f t="shared" si="3"/>
        <v>18</v>
      </c>
      <c r="D35" s="1465"/>
      <c r="E35" s="215">
        <f t="shared" ca="1" si="0"/>
        <v>0</v>
      </c>
      <c r="F35" s="215">
        <f t="shared" ca="1" si="1"/>
        <v>0</v>
      </c>
      <c r="G35" s="215">
        <f t="shared" ca="1" si="4"/>
        <v>0</v>
      </c>
      <c r="H35" s="216">
        <f t="shared" ca="1" si="5"/>
        <v>0</v>
      </c>
      <c r="I35" s="343"/>
      <c r="J35" s="344"/>
      <c r="K35" s="345"/>
      <c r="L35" s="346"/>
    </row>
    <row r="36" spans="1:12" x14ac:dyDescent="0.25">
      <c r="A36" s="92">
        <f>IF(C36&lt;&gt;"",'Cash Flow Analysis'!A83,"")</f>
        <v>2057</v>
      </c>
      <c r="B36" s="308">
        <f t="shared" si="2"/>
        <v>20</v>
      </c>
      <c r="C36" s="308">
        <f t="shared" si="3"/>
        <v>19</v>
      </c>
      <c r="D36" s="1465"/>
      <c r="E36" s="215">
        <f t="shared" ca="1" si="0"/>
        <v>0</v>
      </c>
      <c r="F36" s="215">
        <f t="shared" ca="1" si="1"/>
        <v>0</v>
      </c>
      <c r="G36" s="215">
        <f t="shared" ca="1" si="4"/>
        <v>0</v>
      </c>
      <c r="H36" s="216">
        <f t="shared" ca="1" si="5"/>
        <v>0</v>
      </c>
      <c r="I36" s="343"/>
      <c r="J36" s="344"/>
      <c r="K36" s="345"/>
      <c r="L36" s="346"/>
    </row>
    <row r="37" spans="1:12" x14ac:dyDescent="0.25">
      <c r="A37" s="92">
        <f>IF(C37&lt;&gt;"",'Cash Flow Analysis'!A84,"")</f>
        <v>2058</v>
      </c>
      <c r="B37" s="308">
        <f t="shared" si="2"/>
        <v>21</v>
      </c>
      <c r="C37" s="308">
        <f t="shared" si="3"/>
        <v>20</v>
      </c>
      <c r="D37" s="1465"/>
      <c r="E37" s="215">
        <f t="shared" ca="1" si="0"/>
        <v>0</v>
      </c>
      <c r="F37" s="215">
        <f t="shared" ca="1" si="1"/>
        <v>0</v>
      </c>
      <c r="G37" s="215">
        <f t="shared" ca="1" si="4"/>
        <v>0</v>
      </c>
      <c r="H37" s="216">
        <f t="shared" ca="1" si="5"/>
        <v>0</v>
      </c>
      <c r="I37" s="343"/>
      <c r="J37" s="344"/>
      <c r="K37" s="345"/>
      <c r="L37" s="346"/>
    </row>
    <row r="38" spans="1:12" x14ac:dyDescent="0.25">
      <c r="A38" s="92" t="str">
        <f>IF(C38&lt;&gt;"",'Cash Flow Analysis'!A85,"")</f>
        <v/>
      </c>
      <c r="B38" s="308" t="str">
        <f t="shared" si="2"/>
        <v/>
      </c>
      <c r="C38" s="308" t="str">
        <f t="shared" si="3"/>
        <v/>
      </c>
      <c r="D38" s="438"/>
      <c r="E38" s="215">
        <f t="shared" ca="1" si="0"/>
        <v>0</v>
      </c>
      <c r="F38" s="215">
        <f t="shared" ca="1" si="1"/>
        <v>0</v>
      </c>
      <c r="G38" s="215">
        <f t="shared" si="4"/>
        <v>0</v>
      </c>
      <c r="H38" s="216">
        <f t="shared" ca="1" si="5"/>
        <v>0</v>
      </c>
      <c r="I38" s="343"/>
      <c r="J38" s="344"/>
      <c r="K38" s="345"/>
      <c r="L38" s="346"/>
    </row>
    <row r="39" spans="1:12" x14ac:dyDescent="0.25">
      <c r="A39" s="92" t="str">
        <f>IF(C39&lt;&gt;"",'Cash Flow Analysis'!A86,"")</f>
        <v/>
      </c>
      <c r="B39" s="308" t="str">
        <f t="shared" si="2"/>
        <v/>
      </c>
      <c r="C39" s="308" t="str">
        <f t="shared" si="3"/>
        <v/>
      </c>
      <c r="D39" s="438"/>
      <c r="E39" s="215">
        <f t="shared" ca="1" si="0"/>
        <v>0</v>
      </c>
      <c r="F39" s="215">
        <f t="shared" ca="1" si="1"/>
        <v>0</v>
      </c>
      <c r="G39" s="215">
        <f t="shared" si="4"/>
        <v>0</v>
      </c>
      <c r="H39" s="216">
        <f t="shared" ca="1" si="5"/>
        <v>0</v>
      </c>
      <c r="I39" s="343"/>
      <c r="J39" s="344"/>
      <c r="K39" s="345"/>
      <c r="L39" s="346"/>
    </row>
    <row r="40" spans="1:12" x14ac:dyDescent="0.25">
      <c r="A40" s="92" t="str">
        <f>IF(C40&lt;&gt;"",'Cash Flow Analysis'!A87,"")</f>
        <v/>
      </c>
      <c r="B40" s="308" t="str">
        <f t="shared" si="2"/>
        <v/>
      </c>
      <c r="C40" s="308" t="str">
        <f t="shared" si="3"/>
        <v/>
      </c>
      <c r="D40" s="438"/>
      <c r="E40" s="215">
        <f t="shared" ca="1" si="0"/>
        <v>0</v>
      </c>
      <c r="F40" s="215">
        <f t="shared" ca="1" si="1"/>
        <v>0</v>
      </c>
      <c r="G40" s="215">
        <f t="shared" si="4"/>
        <v>0</v>
      </c>
      <c r="H40" s="216">
        <f t="shared" ca="1" si="5"/>
        <v>0</v>
      </c>
      <c r="I40" s="343"/>
      <c r="J40" s="344"/>
      <c r="K40" s="345"/>
      <c r="L40" s="346"/>
    </row>
    <row r="41" spans="1:12" x14ac:dyDescent="0.25">
      <c r="A41" s="92" t="str">
        <f>IF(C41&lt;&gt;"",'Cash Flow Analysis'!A88,"")</f>
        <v/>
      </c>
      <c r="B41" s="308" t="str">
        <f t="shared" si="2"/>
        <v/>
      </c>
      <c r="C41" s="308" t="str">
        <f t="shared" si="3"/>
        <v/>
      </c>
      <c r="D41" s="438"/>
      <c r="E41" s="215">
        <f t="shared" ca="1" si="0"/>
        <v>0</v>
      </c>
      <c r="F41" s="215">
        <f t="shared" ca="1" si="1"/>
        <v>0</v>
      </c>
      <c r="G41" s="215">
        <f t="shared" si="4"/>
        <v>0</v>
      </c>
      <c r="H41" s="216">
        <f t="shared" ca="1" si="5"/>
        <v>0</v>
      </c>
      <c r="I41" s="343"/>
      <c r="J41" s="344"/>
      <c r="K41" s="345"/>
      <c r="L41" s="346"/>
    </row>
    <row r="42" spans="1:12" x14ac:dyDescent="0.25">
      <c r="A42" s="92" t="str">
        <f>IF(C42&lt;&gt;"",'Cash Flow Analysis'!A89,"")</f>
        <v/>
      </c>
      <c r="B42" s="308" t="str">
        <f t="shared" si="2"/>
        <v/>
      </c>
      <c r="C42" s="308" t="str">
        <f t="shared" si="3"/>
        <v/>
      </c>
      <c r="D42" s="438"/>
      <c r="E42" s="215">
        <f t="shared" ca="1" si="0"/>
        <v>0</v>
      </c>
      <c r="F42" s="215">
        <f t="shared" ca="1" si="1"/>
        <v>0</v>
      </c>
      <c r="G42" s="215">
        <f t="shared" si="4"/>
        <v>0</v>
      </c>
      <c r="H42" s="216">
        <f t="shared" ca="1" si="5"/>
        <v>0</v>
      </c>
      <c r="I42" s="343"/>
      <c r="J42" s="344"/>
      <c r="K42" s="345"/>
      <c r="L42" s="346"/>
    </row>
    <row r="43" spans="1:12" x14ac:dyDescent="0.25">
      <c r="A43" s="92" t="str">
        <f>IF(C43&lt;&gt;"",'Cash Flow Analysis'!A90,"")</f>
        <v/>
      </c>
      <c r="B43" s="308" t="str">
        <f t="shared" si="2"/>
        <v/>
      </c>
      <c r="C43" s="308" t="str">
        <f t="shared" si="3"/>
        <v/>
      </c>
      <c r="D43" s="438"/>
      <c r="E43" s="215">
        <f t="shared" ca="1" si="0"/>
        <v>0</v>
      </c>
      <c r="F43" s="215">
        <f t="shared" ca="1" si="1"/>
        <v>0</v>
      </c>
      <c r="G43" s="215">
        <f t="shared" si="4"/>
        <v>0</v>
      </c>
      <c r="H43" s="216">
        <f t="shared" ca="1" si="5"/>
        <v>0</v>
      </c>
      <c r="I43" s="343"/>
      <c r="J43" s="344"/>
      <c r="K43" s="345"/>
      <c r="L43" s="346"/>
    </row>
    <row r="44" spans="1:12" x14ac:dyDescent="0.25">
      <c r="A44" s="92" t="str">
        <f>IF(C44&lt;&gt;"",'Cash Flow Analysis'!A91,"")</f>
        <v/>
      </c>
      <c r="B44" s="308" t="str">
        <f t="shared" si="2"/>
        <v/>
      </c>
      <c r="C44" s="308" t="str">
        <f t="shared" si="3"/>
        <v/>
      </c>
      <c r="D44" s="438"/>
      <c r="E44" s="215">
        <f t="shared" ca="1" si="0"/>
        <v>0</v>
      </c>
      <c r="F44" s="215">
        <f t="shared" ca="1" si="1"/>
        <v>0</v>
      </c>
      <c r="G44" s="215">
        <f t="shared" si="4"/>
        <v>0</v>
      </c>
      <c r="H44" s="216">
        <f t="shared" ca="1" si="5"/>
        <v>0</v>
      </c>
      <c r="I44" s="343"/>
      <c r="J44" s="344"/>
      <c r="K44" s="345"/>
      <c r="L44" s="346"/>
    </row>
    <row r="45" spans="1:12" x14ac:dyDescent="0.25">
      <c r="A45" s="92" t="str">
        <f>IF(C45&lt;&gt;"",'Cash Flow Analysis'!A92,"")</f>
        <v/>
      </c>
      <c r="B45" s="308" t="str">
        <f t="shared" si="2"/>
        <v/>
      </c>
      <c r="C45" s="308" t="str">
        <f t="shared" si="3"/>
        <v/>
      </c>
      <c r="D45" s="438"/>
      <c r="E45" s="215">
        <f t="shared" ca="1" si="0"/>
        <v>0</v>
      </c>
      <c r="F45" s="215">
        <f t="shared" ca="1" si="1"/>
        <v>0</v>
      </c>
      <c r="G45" s="215">
        <f t="shared" si="4"/>
        <v>0</v>
      </c>
      <c r="H45" s="216">
        <f t="shared" ca="1" si="5"/>
        <v>0</v>
      </c>
      <c r="I45" s="343"/>
      <c r="J45" s="344"/>
      <c r="K45" s="345"/>
      <c r="L45" s="346"/>
    </row>
    <row r="46" spans="1:12" x14ac:dyDescent="0.25">
      <c r="A46" s="92" t="str">
        <f>IF(C46&lt;&gt;"",'Cash Flow Analysis'!A93,"")</f>
        <v/>
      </c>
      <c r="B46" s="308" t="str">
        <f t="shared" si="2"/>
        <v/>
      </c>
      <c r="C46" s="308" t="str">
        <f t="shared" si="3"/>
        <v/>
      </c>
      <c r="D46" s="438"/>
      <c r="E46" s="215">
        <f t="shared" ca="1" si="0"/>
        <v>0</v>
      </c>
      <c r="F46" s="215">
        <f t="shared" ca="1" si="1"/>
        <v>0</v>
      </c>
      <c r="G46" s="215">
        <f t="shared" si="4"/>
        <v>0</v>
      </c>
      <c r="H46" s="216">
        <f t="shared" ca="1" si="5"/>
        <v>0</v>
      </c>
      <c r="I46" s="343"/>
      <c r="J46" s="344"/>
      <c r="K46" s="345"/>
      <c r="L46" s="346"/>
    </row>
    <row r="47" spans="1:12" x14ac:dyDescent="0.25">
      <c r="A47" s="92" t="str">
        <f>IF(C47&lt;&gt;"",'Cash Flow Analysis'!A94,"")</f>
        <v/>
      </c>
      <c r="B47" s="308" t="str">
        <f t="shared" si="2"/>
        <v/>
      </c>
      <c r="C47" s="308" t="str">
        <f t="shared" si="3"/>
        <v/>
      </c>
      <c r="D47" s="438"/>
      <c r="E47" s="215">
        <f t="shared" ca="1" si="0"/>
        <v>0</v>
      </c>
      <c r="F47" s="215">
        <f t="shared" ca="1" si="1"/>
        <v>0</v>
      </c>
      <c r="G47" s="215">
        <f t="shared" si="4"/>
        <v>0</v>
      </c>
      <c r="H47" s="216">
        <f t="shared" ca="1" si="5"/>
        <v>0</v>
      </c>
      <c r="I47" s="343"/>
      <c r="J47" s="344"/>
      <c r="K47" s="345"/>
      <c r="L47" s="346"/>
    </row>
    <row r="48" spans="1:12" x14ac:dyDescent="0.25">
      <c r="A48" s="92" t="str">
        <f>IF(C48&lt;&gt;"",'Cash Flow Analysis'!A95,"")</f>
        <v/>
      </c>
      <c r="B48" s="308" t="str">
        <f t="shared" si="2"/>
        <v/>
      </c>
      <c r="C48" s="308" t="str">
        <f t="shared" si="3"/>
        <v/>
      </c>
      <c r="D48" s="438"/>
      <c r="E48" s="215">
        <f t="shared" ca="1" si="0"/>
        <v>0</v>
      </c>
      <c r="F48" s="215">
        <f t="shared" ca="1" si="1"/>
        <v>0</v>
      </c>
      <c r="G48" s="215">
        <f t="shared" si="4"/>
        <v>0</v>
      </c>
      <c r="H48" s="216">
        <f t="shared" ca="1" si="5"/>
        <v>0</v>
      </c>
      <c r="I48" s="343"/>
      <c r="J48" s="344"/>
      <c r="K48" s="345"/>
      <c r="L48" s="346"/>
    </row>
    <row r="49" spans="1:12" x14ac:dyDescent="0.25">
      <c r="A49" s="92" t="str">
        <f>IF(C49&lt;&gt;"",'Cash Flow Analysis'!A96,"")</f>
        <v/>
      </c>
      <c r="B49" s="308" t="str">
        <f t="shared" si="2"/>
        <v/>
      </c>
      <c r="C49" s="308" t="str">
        <f t="shared" si="3"/>
        <v/>
      </c>
      <c r="D49" s="438"/>
      <c r="E49" s="215">
        <f t="shared" ca="1" si="0"/>
        <v>0</v>
      </c>
      <c r="F49" s="215">
        <f t="shared" ca="1" si="1"/>
        <v>0</v>
      </c>
      <c r="G49" s="215">
        <f t="shared" si="4"/>
        <v>0</v>
      </c>
      <c r="H49" s="216">
        <f t="shared" ca="1" si="5"/>
        <v>0</v>
      </c>
      <c r="I49" s="343"/>
      <c r="J49" s="344"/>
      <c r="K49" s="345"/>
      <c r="L49" s="346"/>
    </row>
    <row r="50" spans="1:12" x14ac:dyDescent="0.25">
      <c r="A50" s="92" t="str">
        <f>IF(C50&lt;&gt;"",'Cash Flow Analysis'!A97,"")</f>
        <v/>
      </c>
      <c r="B50" s="308" t="str">
        <f t="shared" si="2"/>
        <v/>
      </c>
      <c r="C50" s="308" t="str">
        <f t="shared" si="3"/>
        <v/>
      </c>
      <c r="D50" s="438"/>
      <c r="E50" s="215">
        <f t="shared" ca="1" si="0"/>
        <v>0</v>
      </c>
      <c r="F50" s="215">
        <f t="shared" ca="1" si="1"/>
        <v>0</v>
      </c>
      <c r="G50" s="215">
        <f t="shared" si="4"/>
        <v>0</v>
      </c>
      <c r="H50" s="216">
        <f t="shared" ca="1" si="5"/>
        <v>0</v>
      </c>
      <c r="I50" s="343"/>
      <c r="J50" s="344"/>
      <c r="K50" s="345"/>
      <c r="L50" s="346"/>
    </row>
    <row r="51" spans="1:12" x14ac:dyDescent="0.25">
      <c r="A51" s="92" t="str">
        <f>IF(C51&lt;&gt;"",'Cash Flow Analysis'!A98,"")</f>
        <v/>
      </c>
      <c r="B51" s="308" t="str">
        <f t="shared" si="2"/>
        <v/>
      </c>
      <c r="C51" s="308" t="str">
        <f t="shared" si="3"/>
        <v/>
      </c>
      <c r="D51" s="438"/>
      <c r="E51" s="215">
        <f t="shared" ca="1" si="0"/>
        <v>0</v>
      </c>
      <c r="F51" s="215">
        <f t="shared" ca="1" si="1"/>
        <v>0</v>
      </c>
      <c r="G51" s="215">
        <f t="shared" si="4"/>
        <v>0</v>
      </c>
      <c r="H51" s="216">
        <f t="shared" ca="1" si="5"/>
        <v>0</v>
      </c>
      <c r="I51" s="343"/>
      <c r="J51" s="344"/>
      <c r="K51" s="345"/>
      <c r="L51" s="346"/>
    </row>
    <row r="52" spans="1:12" x14ac:dyDescent="0.25">
      <c r="A52" s="92" t="str">
        <f>IF(C52&lt;&gt;"",'Cash Flow Analysis'!A99,"")</f>
        <v/>
      </c>
      <c r="B52" s="308" t="str">
        <f t="shared" si="2"/>
        <v/>
      </c>
      <c r="C52" s="308" t="str">
        <f t="shared" si="3"/>
        <v/>
      </c>
      <c r="D52" s="438"/>
      <c r="E52" s="215">
        <f t="shared" ca="1" si="0"/>
        <v>0</v>
      </c>
      <c r="F52" s="215">
        <f t="shared" ca="1" si="1"/>
        <v>0</v>
      </c>
      <c r="G52" s="215">
        <f t="shared" si="4"/>
        <v>0</v>
      </c>
      <c r="H52" s="216">
        <f t="shared" ca="1" si="5"/>
        <v>0</v>
      </c>
      <c r="I52" s="343"/>
      <c r="J52" s="344"/>
      <c r="K52" s="345"/>
      <c r="L52" s="346"/>
    </row>
    <row r="53" spans="1:12" x14ac:dyDescent="0.25">
      <c r="A53" s="92" t="str">
        <f>IF(C53&lt;&gt;"",'Cash Flow Analysis'!A100,"")</f>
        <v/>
      </c>
      <c r="B53" s="308" t="str">
        <f t="shared" si="2"/>
        <v/>
      </c>
      <c r="C53" s="308" t="str">
        <f t="shared" si="3"/>
        <v/>
      </c>
      <c r="D53" s="438"/>
      <c r="E53" s="215">
        <f t="shared" ca="1" si="0"/>
        <v>0</v>
      </c>
      <c r="F53" s="215">
        <f t="shared" ca="1" si="1"/>
        <v>0</v>
      </c>
      <c r="G53" s="215">
        <f t="shared" si="4"/>
        <v>0</v>
      </c>
      <c r="H53" s="216">
        <f t="shared" ca="1" si="5"/>
        <v>0</v>
      </c>
      <c r="I53" s="343"/>
      <c r="J53" s="344"/>
      <c r="K53" s="345"/>
      <c r="L53" s="346"/>
    </row>
    <row r="54" spans="1:12" x14ac:dyDescent="0.25">
      <c r="A54" s="92" t="str">
        <f>IF(C54&lt;&gt;"",'Cash Flow Analysis'!A101,"")</f>
        <v/>
      </c>
      <c r="B54" s="308" t="str">
        <f t="shared" si="2"/>
        <v/>
      </c>
      <c r="C54" s="308" t="str">
        <f t="shared" si="3"/>
        <v/>
      </c>
      <c r="D54" s="438"/>
      <c r="E54" s="215">
        <f t="shared" ca="1" si="0"/>
        <v>0</v>
      </c>
      <c r="F54" s="215">
        <f t="shared" ca="1" si="1"/>
        <v>0</v>
      </c>
      <c r="G54" s="215">
        <f t="shared" si="4"/>
        <v>0</v>
      </c>
      <c r="H54" s="216">
        <f t="shared" ca="1" si="5"/>
        <v>0</v>
      </c>
      <c r="I54" s="343"/>
      <c r="J54" s="344"/>
      <c r="K54" s="345"/>
      <c r="L54" s="346"/>
    </row>
    <row r="55" spans="1:12" x14ac:dyDescent="0.25">
      <c r="A55" s="92" t="str">
        <f>IF(C55&lt;&gt;"",'Cash Flow Analysis'!A102,"")</f>
        <v/>
      </c>
      <c r="B55" s="308" t="str">
        <f t="shared" si="2"/>
        <v/>
      </c>
      <c r="C55" s="308" t="str">
        <f t="shared" si="3"/>
        <v/>
      </c>
      <c r="D55" s="438"/>
      <c r="E55" s="215">
        <f t="shared" ca="1" si="0"/>
        <v>0</v>
      </c>
      <c r="F55" s="215">
        <f t="shared" ca="1" si="1"/>
        <v>0</v>
      </c>
      <c r="G55" s="215">
        <f t="shared" si="4"/>
        <v>0</v>
      </c>
      <c r="H55" s="216">
        <f t="shared" ca="1" si="5"/>
        <v>0</v>
      </c>
      <c r="I55" s="343"/>
      <c r="J55" s="344"/>
      <c r="K55" s="345"/>
      <c r="L55" s="346"/>
    </row>
    <row r="56" spans="1:12" x14ac:dyDescent="0.25">
      <c r="A56" s="92" t="str">
        <f>IF(C56&lt;&gt;"",'Cash Flow Analysis'!A103,"")</f>
        <v/>
      </c>
      <c r="B56" s="308" t="str">
        <f t="shared" si="2"/>
        <v/>
      </c>
      <c r="C56" s="308" t="str">
        <f t="shared" si="3"/>
        <v/>
      </c>
      <c r="D56" s="438"/>
      <c r="E56" s="215">
        <f t="shared" ca="1" si="0"/>
        <v>0</v>
      </c>
      <c r="F56" s="215">
        <f t="shared" ca="1" si="1"/>
        <v>0</v>
      </c>
      <c r="G56" s="215">
        <f t="shared" si="4"/>
        <v>0</v>
      </c>
      <c r="H56" s="216">
        <f t="shared" ca="1" si="5"/>
        <v>0</v>
      </c>
      <c r="I56" s="343"/>
      <c r="J56" s="344"/>
      <c r="K56" s="345"/>
      <c r="L56" s="346"/>
    </row>
    <row r="57" spans="1:12" ht="13.8" thickBot="1" x14ac:dyDescent="0.3">
      <c r="A57" s="94" t="str">
        <f>IF(C57&lt;&gt;"",'Cash Flow Analysis'!A104,"")</f>
        <v/>
      </c>
      <c r="B57" s="309" t="str">
        <f t="shared" si="2"/>
        <v/>
      </c>
      <c r="C57" s="309" t="str">
        <f t="shared" si="3"/>
        <v/>
      </c>
      <c r="D57" s="439"/>
      <c r="E57" s="217">
        <f t="shared" ca="1" si="0"/>
        <v>0</v>
      </c>
      <c r="F57" s="217">
        <f t="shared" ca="1" si="1"/>
        <v>0</v>
      </c>
      <c r="G57" s="217">
        <f t="shared" si="4"/>
        <v>0</v>
      </c>
      <c r="H57" s="218">
        <f t="shared" ca="1" si="5"/>
        <v>0</v>
      </c>
      <c r="I57" s="347"/>
      <c r="J57" s="348"/>
      <c r="K57" s="349"/>
      <c r="L57" s="350"/>
    </row>
    <row r="58" spans="1:12" ht="13.8"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61"/>
  <sheetViews>
    <sheetView zoomScale="85" zoomScaleNormal="85" workbookViewId="0">
      <selection activeCell="E33" sqref="E33:E35"/>
    </sheetView>
  </sheetViews>
  <sheetFormatPr defaultRowHeight="13.2" x14ac:dyDescent="0.25"/>
  <cols>
    <col min="2" max="2" width="38.33203125" customWidth="1"/>
    <col min="3" max="3" width="19.6640625" customWidth="1"/>
    <col min="4" max="5" width="18.6640625" customWidth="1"/>
    <col min="6" max="6" width="22.5546875" customWidth="1"/>
    <col min="7" max="7" width="17.33203125" customWidth="1"/>
    <col min="8" max="8" width="27.33203125" customWidth="1"/>
  </cols>
  <sheetData>
    <row r="1" spans="1:8" x14ac:dyDescent="0.25">
      <c r="A1" s="299"/>
      <c r="B1" s="299"/>
      <c r="C1" s="299"/>
      <c r="D1" s="299"/>
      <c r="E1" s="299"/>
      <c r="F1" s="299"/>
      <c r="G1" s="299"/>
      <c r="H1" s="299"/>
    </row>
    <row r="2" spans="1:8" ht="22.5" customHeight="1" x14ac:dyDescent="0.5">
      <c r="A2" s="299"/>
      <c r="B2" s="310" t="s">
        <v>82</v>
      </c>
      <c r="C2" s="299"/>
      <c r="D2" s="299"/>
      <c r="E2" s="299"/>
      <c r="F2" s="1576"/>
      <c r="G2" s="1576"/>
      <c r="H2" s="1576"/>
    </row>
    <row r="3" spans="1:8" x14ac:dyDescent="0.25">
      <c r="A3" s="299"/>
      <c r="B3" s="299"/>
      <c r="C3" s="299"/>
      <c r="D3" s="299"/>
      <c r="E3" s="299"/>
      <c r="F3" s="1576"/>
      <c r="G3" s="1576"/>
      <c r="H3" s="1576"/>
    </row>
    <row r="4" spans="1:8" ht="15.6" x14ac:dyDescent="0.3">
      <c r="A4" s="299"/>
      <c r="B4" s="299"/>
      <c r="C4" s="1259" t="s">
        <v>232</v>
      </c>
      <c r="D4" s="299"/>
      <c r="E4" s="299"/>
      <c r="F4" s="1576"/>
      <c r="G4" s="1576"/>
      <c r="H4" s="1576"/>
    </row>
    <row r="5" spans="1:8" ht="15.6" x14ac:dyDescent="0.3">
      <c r="A5" s="299"/>
      <c r="B5" s="299"/>
      <c r="C5" s="1259"/>
      <c r="D5" s="299"/>
      <c r="E5" s="299"/>
      <c r="F5" s="299"/>
      <c r="G5" s="299"/>
      <c r="H5" s="299"/>
    </row>
    <row r="6" spans="1:8" ht="16.2" thickBot="1" x14ac:dyDescent="0.35">
      <c r="A6" s="299"/>
      <c r="B6" s="299"/>
      <c r="C6" s="1259"/>
      <c r="D6" s="299"/>
      <c r="E6" s="299"/>
      <c r="F6" s="299"/>
      <c r="G6" s="299"/>
      <c r="H6" s="299"/>
    </row>
    <row r="7" spans="1:8" ht="27" thickBot="1" x14ac:dyDescent="0.3">
      <c r="A7" s="299"/>
      <c r="B7" s="818" t="s">
        <v>815</v>
      </c>
      <c r="C7" s="1375">
        <v>1500</v>
      </c>
      <c r="D7" s="1577" t="s">
        <v>816</v>
      </c>
      <c r="E7" s="1578"/>
      <c r="F7" s="1578"/>
      <c r="G7" s="1578"/>
      <c r="H7" s="1579"/>
    </row>
    <row r="8" spans="1:8" ht="13.8" thickBot="1" x14ac:dyDescent="0.3">
      <c r="A8" s="299"/>
      <c r="B8" s="299"/>
      <c r="C8" s="299"/>
      <c r="D8" s="1575" t="s">
        <v>1012</v>
      </c>
      <c r="E8" s="1573"/>
      <c r="F8" s="1573"/>
      <c r="G8" s="1573"/>
      <c r="H8" s="1573"/>
    </row>
    <row r="9" spans="1:8" x14ac:dyDescent="0.25">
      <c r="A9" s="299"/>
      <c r="B9" s="1" t="s">
        <v>829</v>
      </c>
      <c r="C9" s="1260">
        <f>BasisYear</f>
        <v>2005</v>
      </c>
      <c r="D9" s="1580"/>
      <c r="E9" s="1581"/>
      <c r="F9" s="1581"/>
      <c r="G9" s="1581"/>
      <c r="H9" s="1582"/>
    </row>
    <row r="10" spans="1:8" x14ac:dyDescent="0.25">
      <c r="A10" s="299"/>
      <c r="B10" s="1" t="s">
        <v>762</v>
      </c>
      <c r="C10" s="1376">
        <v>2010</v>
      </c>
      <c r="D10" s="1569"/>
      <c r="E10" s="1570"/>
      <c r="F10" s="1570"/>
      <c r="G10" s="1570"/>
      <c r="H10" s="1571"/>
    </row>
    <row r="11" spans="1:8" x14ac:dyDescent="0.25">
      <c r="A11" s="299"/>
      <c r="B11" s="1" t="str">
        <f>"CEPCI Inflator ("&amp;BasisYear&amp;" to "&amp;CurrentYear&amp;")"</f>
        <v>CEPCI Inflator (2005 to 2010)</v>
      </c>
      <c r="C11" s="1261">
        <f>VLOOKUP(CurrentYear,Tbl_PlantCostIndexes,2,FALSE)/VLOOKUP(BasisYear,Tbl_PlantCostIndexes,2,FALSE)</f>
        <v>1.176420333190944</v>
      </c>
      <c r="D11" s="1569" t="s">
        <v>808</v>
      </c>
      <c r="E11" s="1570"/>
      <c r="F11" s="1570"/>
      <c r="G11" s="1570"/>
      <c r="H11" s="1571"/>
    </row>
    <row r="12" spans="1:8" ht="13.8" thickBot="1" x14ac:dyDescent="0.3">
      <c r="A12" s="299"/>
      <c r="B12" s="1" t="str">
        <f>"Consumer Price Inflator ("&amp;CurrentYear&amp;" to "&amp;ref_year&amp;")"</f>
        <v>Consumer Price Inflator (2010 to 2016)</v>
      </c>
      <c r="C12" s="1262">
        <f>VLOOKUP(ref_year,DeflatorTable,2,FALSE)/VLOOKUP(CurrentYear,DeflatorTable,2,FALSE)</f>
        <v>1.0995746738559611</v>
      </c>
      <c r="D12" s="1572" t="s">
        <v>809</v>
      </c>
      <c r="E12" s="1573"/>
      <c r="F12" s="1573"/>
      <c r="G12" s="1573"/>
      <c r="H12" s="1574"/>
    </row>
    <row r="13" spans="1:8" ht="13.8" thickBot="1" x14ac:dyDescent="0.3">
      <c r="A13" s="299"/>
      <c r="B13" s="299"/>
      <c r="C13" s="299"/>
      <c r="D13" s="299"/>
      <c r="E13" s="299"/>
      <c r="F13" s="299"/>
      <c r="G13" s="299"/>
      <c r="H13" s="299"/>
    </row>
    <row r="14" spans="1:8" ht="16.8" thickTop="1" thickBot="1" x14ac:dyDescent="0.35">
      <c r="A14" s="299"/>
      <c r="B14" s="1263" t="str">
        <f xml:space="preserve"> "CAPITAL INVESTMENT (Inputs REQUIRED in Basis Year, (" &amp; BasisYear &amp; ") $)"</f>
        <v>CAPITAL INVESTMENT (Inputs REQUIRED in Basis Year, (2005) $)</v>
      </c>
      <c r="C14" s="1264"/>
      <c r="D14" s="1264"/>
      <c r="E14" s="1264"/>
      <c r="F14" s="1264"/>
      <c r="G14" s="1264"/>
      <c r="H14" s="1265"/>
    </row>
    <row r="15" spans="1:8" ht="41.4" thickTop="1" thickBot="1" x14ac:dyDescent="0.35">
      <c r="A15" s="299"/>
      <c r="B15" s="1266" t="s">
        <v>656</v>
      </c>
      <c r="C15" s="1267" t="str">
        <f>"Baseline Uninstalled Costs $"&amp;BasisYear&amp;" Dollars"</f>
        <v>Baseline Uninstalled Costs $2005 Dollars</v>
      </c>
      <c r="D15" s="1267" t="str">
        <f>"Baseline Uninstalled Costs $"&amp;ref_year&amp;" Dollars"</f>
        <v>Baseline Uninstalled Costs $2016 Dollars</v>
      </c>
      <c r="E15" s="1267" t="s">
        <v>657</v>
      </c>
      <c r="F15" s="1268" t="s">
        <v>1042</v>
      </c>
      <c r="G15" s="1267" t="s">
        <v>1012</v>
      </c>
      <c r="H15" s="1269" t="s">
        <v>659</v>
      </c>
    </row>
    <row r="16" spans="1:8" x14ac:dyDescent="0.25">
      <c r="A16" s="299"/>
      <c r="B16" s="1374" t="s">
        <v>1602</v>
      </c>
      <c r="C16" s="1452">
        <v>4098.5118954802192</v>
      </c>
      <c r="D16" s="1270">
        <f>C16*CEPCIinflator*CPIinflator</f>
        <v>5301.6792616973626</v>
      </c>
      <c r="E16" s="1524">
        <v>1.1000000000000001</v>
      </c>
      <c r="F16" s="1270">
        <f>D16*E16</f>
        <v>5831.8471878670989</v>
      </c>
      <c r="G16" s="1271"/>
      <c r="H16" s="1566" t="s">
        <v>1609</v>
      </c>
    </row>
    <row r="17" spans="1:8" x14ac:dyDescent="0.25">
      <c r="A17" s="299"/>
      <c r="B17" s="1036" t="s">
        <v>2596</v>
      </c>
      <c r="C17" s="1453">
        <v>10427.599278507874</v>
      </c>
      <c r="D17" s="1270">
        <f t="shared" ref="D17:D37" si="0">C17*CEPCIinflator*CPIinflator</f>
        <v>13488.746221554646</v>
      </c>
      <c r="E17" s="1525">
        <v>1.1000000000000001</v>
      </c>
      <c r="F17" s="1270">
        <f t="shared" ref="F17:F37" si="1">D17*E17</f>
        <v>14837.620843710112</v>
      </c>
      <c r="G17" s="1169"/>
      <c r="H17" s="1567"/>
    </row>
    <row r="18" spans="1:8" x14ac:dyDescent="0.25">
      <c r="A18" s="299"/>
      <c r="B18" s="1036" t="s">
        <v>2597</v>
      </c>
      <c r="C18" s="1453">
        <v>683.08531591336998</v>
      </c>
      <c r="D18" s="1270">
        <f t="shared" si="0"/>
        <v>883.61321028289387</v>
      </c>
      <c r="E18" s="1525">
        <v>1.1000000000000001</v>
      </c>
      <c r="F18" s="1270">
        <f t="shared" si="1"/>
        <v>971.97453131118334</v>
      </c>
      <c r="G18" s="1169"/>
      <c r="H18" s="1567"/>
    </row>
    <row r="19" spans="1:8" x14ac:dyDescent="0.25">
      <c r="A19" s="299"/>
      <c r="B19" s="1036" t="s">
        <v>1748</v>
      </c>
      <c r="C19" s="1453">
        <v>8904.0789819131642</v>
      </c>
      <c r="D19" s="1270">
        <f t="shared" si="0"/>
        <v>11517.978253273615</v>
      </c>
      <c r="E19" s="1525">
        <v>1.1000000000000001</v>
      </c>
      <c r="F19" s="1270">
        <f t="shared" si="1"/>
        <v>12669.776078600979</v>
      </c>
      <c r="G19" s="1169"/>
      <c r="H19" s="1567"/>
    </row>
    <row r="20" spans="1:8" x14ac:dyDescent="0.25">
      <c r="A20" s="299"/>
      <c r="B20" s="1036" t="s">
        <v>1603</v>
      </c>
      <c r="C20" s="1453">
        <v>2960</v>
      </c>
      <c r="D20" s="1270">
        <f t="shared" si="0"/>
        <v>3828.9435323904218</v>
      </c>
      <c r="E20" s="1525">
        <v>1.1000000000000001</v>
      </c>
      <c r="F20" s="1270">
        <f t="shared" si="1"/>
        <v>4211.8378856294639</v>
      </c>
      <c r="G20" s="1169"/>
      <c r="H20" s="1567"/>
    </row>
    <row r="21" spans="1:8" x14ac:dyDescent="0.25">
      <c r="A21" s="299"/>
      <c r="B21" s="1036" t="s">
        <v>2598</v>
      </c>
      <c r="C21" s="1453">
        <v>136630.79745036241</v>
      </c>
      <c r="D21" s="1270">
        <f t="shared" si="0"/>
        <v>176740.40818341586</v>
      </c>
      <c r="E21" s="1525">
        <v>1.1000000000000001</v>
      </c>
      <c r="F21" s="1270">
        <f t="shared" si="1"/>
        <v>194414.44900175746</v>
      </c>
      <c r="G21" s="1169"/>
      <c r="H21" s="1567"/>
    </row>
    <row r="22" spans="1:8" x14ac:dyDescent="0.25">
      <c r="A22" s="299"/>
      <c r="B22" s="1036" t="s">
        <v>1604</v>
      </c>
      <c r="C22" s="1453">
        <v>3552</v>
      </c>
      <c r="D22" s="1270">
        <f t="shared" si="0"/>
        <v>4594.7322388685061</v>
      </c>
      <c r="E22" s="1525">
        <v>1.1000000000000001</v>
      </c>
      <c r="F22" s="1270">
        <f t="shared" si="1"/>
        <v>5054.2054627553571</v>
      </c>
      <c r="G22" s="1169"/>
      <c r="H22" s="1567"/>
    </row>
    <row r="23" spans="1:8" x14ac:dyDescent="0.25">
      <c r="A23" s="299"/>
      <c r="B23" s="1036" t="s">
        <v>2599</v>
      </c>
      <c r="C23" s="1453">
        <v>8257.8588148559793</v>
      </c>
      <c r="D23" s="1270">
        <f t="shared" si="0"/>
        <v>10682.052398829743</v>
      </c>
      <c r="E23" s="1525">
        <v>1.1000000000000001</v>
      </c>
      <c r="F23" s="1270">
        <f t="shared" si="1"/>
        <v>11750.257638712717</v>
      </c>
      <c r="G23" s="1169"/>
      <c r="H23" s="1567"/>
    </row>
    <row r="24" spans="1:8" x14ac:dyDescent="0.25">
      <c r="A24" s="299"/>
      <c r="B24" s="1036" t="s">
        <v>1605</v>
      </c>
      <c r="C24" s="1453">
        <v>31644.687190314704</v>
      </c>
      <c r="D24" s="1270">
        <f t="shared" si="0"/>
        <v>40934.364983741048</v>
      </c>
      <c r="E24" s="1525">
        <v>1.1000000000000001</v>
      </c>
      <c r="F24" s="1270">
        <f t="shared" si="1"/>
        <v>45027.801482115159</v>
      </c>
      <c r="G24" s="1169"/>
      <c r="H24" s="1567"/>
    </row>
    <row r="25" spans="1:8" x14ac:dyDescent="0.25">
      <c r="A25" s="299"/>
      <c r="B25" s="1036" t="s">
        <v>1606</v>
      </c>
      <c r="C25" s="1453">
        <v>17908</v>
      </c>
      <c r="D25" s="1270">
        <f t="shared" si="0"/>
        <v>23165.108370962051</v>
      </c>
      <c r="E25" s="1525">
        <v>1.1000000000000001</v>
      </c>
      <c r="F25" s="1270">
        <f t="shared" si="1"/>
        <v>25481.619208058259</v>
      </c>
      <c r="G25" s="1169"/>
      <c r="H25" s="1567"/>
    </row>
    <row r="26" spans="1:8" x14ac:dyDescent="0.25">
      <c r="A26" s="299"/>
      <c r="B26" s="1036" t="s">
        <v>1607</v>
      </c>
      <c r="C26" s="1453">
        <v>32505.521199999999</v>
      </c>
      <c r="D26" s="1270">
        <f t="shared" si="0"/>
        <v>42047.907150580992</v>
      </c>
      <c r="E26" s="1525">
        <v>1.1000000000000001</v>
      </c>
      <c r="F26" s="1270">
        <f t="shared" si="1"/>
        <v>46252.697865639093</v>
      </c>
      <c r="G26" s="1169"/>
      <c r="H26" s="1567"/>
    </row>
    <row r="27" spans="1:8" x14ac:dyDescent="0.25">
      <c r="A27" s="299"/>
      <c r="B27" s="1036" t="s">
        <v>1608</v>
      </c>
      <c r="C27" s="1453">
        <v>149262.77715726671</v>
      </c>
      <c r="D27" s="1270">
        <f t="shared" si="0"/>
        <v>193080.65716991524</v>
      </c>
      <c r="E27" s="1525">
        <v>1.1000000000000001</v>
      </c>
      <c r="F27" s="1270">
        <f t="shared" si="1"/>
        <v>212388.72288690679</v>
      </c>
      <c r="G27" s="1169"/>
      <c r="H27" s="1567"/>
    </row>
    <row r="28" spans="1:8" x14ac:dyDescent="0.25">
      <c r="A28" s="299"/>
      <c r="B28" s="1036" t="s">
        <v>1282</v>
      </c>
      <c r="C28" s="1453">
        <f>42393.9277284614</f>
        <v>42393.9277284614</v>
      </c>
      <c r="D28" s="1270">
        <f t="shared" si="0"/>
        <v>54839.174117742987</v>
      </c>
      <c r="E28" s="1525">
        <v>1.1000000000000001</v>
      </c>
      <c r="F28" s="1270">
        <f t="shared" si="1"/>
        <v>60323.091529517289</v>
      </c>
      <c r="G28" s="1169"/>
      <c r="H28" s="1568"/>
    </row>
    <row r="29" spans="1:8" x14ac:dyDescent="0.25">
      <c r="A29" s="299"/>
      <c r="B29" s="1036"/>
      <c r="C29" s="1453"/>
      <c r="D29" s="1270">
        <f t="shared" si="0"/>
        <v>0</v>
      </c>
      <c r="E29" s="1525"/>
      <c r="F29" s="1270">
        <f t="shared" si="1"/>
        <v>0</v>
      </c>
      <c r="G29" s="1169"/>
      <c r="H29" s="1178"/>
    </row>
    <row r="30" spans="1:8" x14ac:dyDescent="0.25">
      <c r="A30" s="299"/>
      <c r="B30" s="1036"/>
      <c r="C30" s="1453"/>
      <c r="D30" s="1270">
        <f t="shared" si="0"/>
        <v>0</v>
      </c>
      <c r="E30" s="1525"/>
      <c r="F30" s="1270">
        <f t="shared" si="1"/>
        <v>0</v>
      </c>
      <c r="G30" s="1169"/>
      <c r="H30" s="1178"/>
    </row>
    <row r="31" spans="1:8" x14ac:dyDescent="0.25">
      <c r="A31" s="299"/>
      <c r="B31" s="1036"/>
      <c r="C31" s="1453"/>
      <c r="D31" s="1270">
        <f t="shared" si="0"/>
        <v>0</v>
      </c>
      <c r="E31" s="1525"/>
      <c r="F31" s="1270">
        <f t="shared" si="1"/>
        <v>0</v>
      </c>
      <c r="G31" s="1169"/>
      <c r="H31" s="1178"/>
    </row>
    <row r="32" spans="1:8" x14ac:dyDescent="0.25">
      <c r="A32" s="299"/>
      <c r="B32" s="1036" t="s">
        <v>2600</v>
      </c>
      <c r="C32" s="1453">
        <f>3000*(1500/24)</f>
        <v>187500</v>
      </c>
      <c r="D32" s="1270">
        <f t="shared" si="0"/>
        <v>242542.87578486622</v>
      </c>
      <c r="E32" s="1525">
        <v>1.2</v>
      </c>
      <c r="F32" s="1270">
        <f t="shared" si="1"/>
        <v>291051.45094183943</v>
      </c>
      <c r="G32" s="1169"/>
      <c r="H32" s="1178"/>
    </row>
    <row r="33" spans="1:8" x14ac:dyDescent="0.25">
      <c r="A33" s="299"/>
      <c r="B33" s="1036"/>
      <c r="C33" s="1453"/>
      <c r="D33" s="1270">
        <f t="shared" si="0"/>
        <v>0</v>
      </c>
      <c r="E33" s="1037"/>
      <c r="F33" s="1270">
        <f t="shared" si="1"/>
        <v>0</v>
      </c>
      <c r="G33" s="1169"/>
      <c r="H33" s="1178"/>
    </row>
    <row r="34" spans="1:8" x14ac:dyDescent="0.25">
      <c r="A34" s="299"/>
      <c r="B34" s="1036"/>
      <c r="C34" s="1453"/>
      <c r="D34" s="1270">
        <f t="shared" si="0"/>
        <v>0</v>
      </c>
      <c r="E34" s="1037"/>
      <c r="F34" s="1270">
        <f t="shared" si="1"/>
        <v>0</v>
      </c>
      <c r="G34" s="1169"/>
      <c r="H34" s="1178"/>
    </row>
    <row r="35" spans="1:8" x14ac:dyDescent="0.25">
      <c r="A35" s="299"/>
      <c r="B35" s="1036"/>
      <c r="C35" s="1453"/>
      <c r="D35" s="1270">
        <f t="shared" si="0"/>
        <v>0</v>
      </c>
      <c r="E35" s="1037"/>
      <c r="F35" s="1270">
        <f t="shared" si="1"/>
        <v>0</v>
      </c>
      <c r="G35" s="1169"/>
      <c r="H35" s="1178"/>
    </row>
    <row r="36" spans="1:8" x14ac:dyDescent="0.25">
      <c r="A36" s="299"/>
      <c r="B36" s="1036"/>
      <c r="C36" s="1453"/>
      <c r="D36" s="1270">
        <f t="shared" si="0"/>
        <v>0</v>
      </c>
      <c r="E36" s="1449"/>
      <c r="F36" s="1270">
        <f t="shared" si="1"/>
        <v>0</v>
      </c>
      <c r="G36" s="1450"/>
      <c r="H36" s="1451"/>
    </row>
    <row r="37" spans="1:8" ht="13.8" thickBot="1" x14ac:dyDescent="0.3">
      <c r="A37" s="299"/>
      <c r="B37" s="1272"/>
      <c r="C37" s="1170"/>
      <c r="D37" s="1270">
        <f t="shared" si="0"/>
        <v>0</v>
      </c>
      <c r="E37" s="1273"/>
      <c r="F37" s="1270">
        <f t="shared" si="1"/>
        <v>0</v>
      </c>
      <c r="G37" s="1274"/>
      <c r="H37" s="1275"/>
    </row>
    <row r="38" spans="1:8" ht="13.8" thickBot="1" x14ac:dyDescent="0.3">
      <c r="A38" s="299"/>
      <c r="B38" s="1276"/>
      <c r="C38" s="1277">
        <f>SUM(C16:C37)</f>
        <v>636728.84501307574</v>
      </c>
      <c r="D38" s="1278">
        <f>SUM(D16:D37)</f>
        <v>823648.24087812169</v>
      </c>
      <c r="E38" s="1279"/>
      <c r="F38" s="1278">
        <f>SUM(F16:F37)</f>
        <v>930267.3525444204</v>
      </c>
      <c r="G38" s="1280"/>
      <c r="H38" s="1281"/>
    </row>
    <row r="39" spans="1:8" ht="13.8" thickTop="1" x14ac:dyDescent="0.25">
      <c r="A39" s="299"/>
      <c r="B39" s="299"/>
      <c r="C39" s="1282"/>
      <c r="D39" s="1282"/>
      <c r="E39" s="299"/>
      <c r="F39" s="299"/>
      <c r="G39" s="299"/>
      <c r="H39" s="299"/>
    </row>
    <row r="40" spans="1:8" x14ac:dyDescent="0.25">
      <c r="A40" s="299"/>
      <c r="B40" s="299"/>
      <c r="C40" s="1283"/>
      <c r="D40" s="299"/>
      <c r="E40" s="299"/>
      <c r="F40" s="299"/>
      <c r="G40" s="299"/>
      <c r="H40" s="299"/>
    </row>
    <row r="41" spans="1:8" x14ac:dyDescent="0.25">
      <c r="A41" s="299"/>
      <c r="B41" s="299"/>
      <c r="C41" s="299"/>
      <c r="D41" s="299"/>
      <c r="E41" s="299"/>
      <c r="F41" s="299"/>
      <c r="G41" s="299"/>
      <c r="H41" s="299"/>
    </row>
    <row r="42" spans="1:8" x14ac:dyDescent="0.25">
      <c r="A42" s="299"/>
      <c r="B42" s="299"/>
      <c r="C42" s="299"/>
      <c r="D42" s="299"/>
      <c r="E42" s="299"/>
      <c r="F42" s="299"/>
      <c r="G42" s="299"/>
      <c r="H42" s="299"/>
    </row>
    <row r="43" spans="1:8" x14ac:dyDescent="0.25">
      <c r="A43" s="299"/>
      <c r="B43" s="299"/>
      <c r="C43" s="299"/>
      <c r="D43" s="299"/>
      <c r="E43" s="299"/>
      <c r="F43" s="299"/>
      <c r="G43" s="299"/>
      <c r="H43" s="299"/>
    </row>
    <row r="44" spans="1:8" x14ac:dyDescent="0.25">
      <c r="A44" s="299"/>
      <c r="B44" s="299"/>
      <c r="C44" s="299"/>
      <c r="D44" s="299"/>
      <c r="E44" s="299"/>
      <c r="F44" s="299"/>
      <c r="G44" s="299"/>
      <c r="H44" s="299"/>
    </row>
    <row r="45" spans="1:8" x14ac:dyDescent="0.25">
      <c r="A45" s="299"/>
      <c r="B45" s="299"/>
      <c r="C45" s="299"/>
      <c r="D45" s="299"/>
      <c r="E45" s="299"/>
      <c r="F45" s="299"/>
      <c r="G45" s="299"/>
      <c r="H45" s="299"/>
    </row>
    <row r="46" spans="1:8" x14ac:dyDescent="0.25">
      <c r="A46" s="299"/>
      <c r="B46" s="299"/>
      <c r="C46" s="299"/>
      <c r="D46" s="299"/>
      <c r="E46" s="299"/>
      <c r="F46" s="299"/>
      <c r="G46" s="299"/>
      <c r="H46" s="299"/>
    </row>
    <row r="47" spans="1:8" x14ac:dyDescent="0.25">
      <c r="A47" s="299"/>
      <c r="B47" s="299"/>
      <c r="C47" s="299"/>
      <c r="D47" s="299"/>
      <c r="E47" s="299"/>
      <c r="F47" s="299"/>
      <c r="G47" s="299"/>
      <c r="H47" s="299"/>
    </row>
    <row r="48" spans="1:8" x14ac:dyDescent="0.25">
      <c r="A48" s="299"/>
      <c r="B48" s="299"/>
      <c r="C48" s="299"/>
      <c r="D48" s="299"/>
      <c r="E48" s="299"/>
      <c r="F48" s="299"/>
      <c r="G48" s="299"/>
      <c r="H48" s="299"/>
    </row>
    <row r="49" spans="1:8" x14ac:dyDescent="0.25">
      <c r="A49" s="299"/>
      <c r="B49" s="299"/>
      <c r="C49" s="299"/>
      <c r="D49" s="299"/>
      <c r="E49" s="299"/>
      <c r="F49" s="299"/>
      <c r="G49" s="299"/>
      <c r="H49" s="299"/>
    </row>
    <row r="50" spans="1:8" x14ac:dyDescent="0.25">
      <c r="A50" s="299"/>
      <c r="B50" s="299"/>
      <c r="C50" s="299"/>
      <c r="D50" s="299"/>
      <c r="E50" s="299"/>
      <c r="F50" s="299"/>
      <c r="G50" s="299"/>
      <c r="H50" s="299"/>
    </row>
    <row r="58" spans="1:8" x14ac:dyDescent="0.25">
      <c r="B58" t="s">
        <v>1610</v>
      </c>
      <c r="C58">
        <f ca="1">design_cap/115</f>
        <v>13.043478260869565</v>
      </c>
    </row>
    <row r="59" spans="1:8" x14ac:dyDescent="0.25">
      <c r="B59" t="s">
        <v>1611</v>
      </c>
      <c r="C59">
        <v>6.6440000000000001</v>
      </c>
    </row>
    <row r="60" spans="1:8" x14ac:dyDescent="0.25">
      <c r="B60" t="s">
        <v>1612</v>
      </c>
      <c r="C60">
        <f ca="1">2*20212*C58^0.4569*0.96^C59+2*1813*C58*0.92^C59+2*14000*C58^0.4*0.96^C59+2*12000*C58^0.4*0.96^C59</f>
        <v>237584.45007230857</v>
      </c>
    </row>
    <row r="61" spans="1:8" x14ac:dyDescent="0.25">
      <c r="B61" s="299" t="s">
        <v>1613</v>
      </c>
      <c r="C61">
        <f ca="1">C58*623</f>
        <v>8126.086956521739</v>
      </c>
    </row>
  </sheetData>
  <mergeCells count="8">
    <mergeCell ref="H16:H28"/>
    <mergeCell ref="D11:H11"/>
    <mergeCell ref="D12:H12"/>
    <mergeCell ref="D8:H8"/>
    <mergeCell ref="F2:H4"/>
    <mergeCell ref="D7:H7"/>
    <mergeCell ref="D9:H9"/>
    <mergeCell ref="D10:H10"/>
  </mergeCells>
  <phoneticPr fontId="3"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46"/>
  <sheetViews>
    <sheetView workbookViewId="0">
      <selection activeCell="H37" sqref="H37"/>
    </sheetView>
  </sheetViews>
  <sheetFormatPr defaultColWidth="9.33203125" defaultRowHeight="13.2" x14ac:dyDescent="0.25"/>
  <cols>
    <col min="1" max="1" width="9.33203125" style="208"/>
    <col min="2" max="2" width="50.6640625" style="208" customWidth="1"/>
    <col min="3" max="3" width="19.6640625" style="208" customWidth="1"/>
    <col min="4" max="4" width="17" style="208" customWidth="1"/>
    <col min="5" max="7" width="18.6640625" style="208" customWidth="1"/>
    <col min="8" max="8" width="16.44140625" style="208" customWidth="1"/>
    <col min="9" max="9" width="38" style="208" customWidth="1"/>
    <col min="10" max="10" width="120.109375" style="208" customWidth="1"/>
    <col min="11" max="11" width="27.33203125" style="208" customWidth="1"/>
    <col min="12" max="16384" width="9.33203125" style="208"/>
  </cols>
  <sheetData>
    <row r="1" spans="2:11" ht="13.8" thickBot="1" x14ac:dyDescent="0.3">
      <c r="B1" s="208" t="s">
        <v>320</v>
      </c>
    </row>
    <row r="2" spans="2:11" ht="18.600000000000001" thickTop="1" thickBot="1" x14ac:dyDescent="0.35">
      <c r="B2" s="662" t="s">
        <v>836</v>
      </c>
      <c r="C2" s="663"/>
      <c r="D2" s="663"/>
      <c r="E2" s="663"/>
      <c r="F2" s="663"/>
      <c r="G2" s="663"/>
      <c r="H2" s="663"/>
      <c r="I2" s="663"/>
      <c r="J2" s="663"/>
      <c r="K2" s="664"/>
    </row>
    <row r="3" spans="2:11" ht="24" customHeight="1" thickBot="1" x14ac:dyDescent="0.3">
      <c r="B3" s="665" t="s">
        <v>662</v>
      </c>
      <c r="C3" s="666">
        <f>Baseline_Design_Capacity</f>
        <v>1500</v>
      </c>
      <c r="D3" s="1585" t="s">
        <v>817</v>
      </c>
      <c r="E3" s="1585"/>
      <c r="F3" s="1585"/>
      <c r="G3" s="667"/>
      <c r="H3" s="667"/>
      <c r="I3" s="667"/>
      <c r="J3" s="667"/>
      <c r="K3" s="668"/>
    </row>
    <row r="4" spans="2:11" ht="29.25" customHeight="1" thickBot="1" x14ac:dyDescent="0.3">
      <c r="B4" s="665" t="s">
        <v>660</v>
      </c>
      <c r="C4" s="669">
        <f ca="1">design_cap/Baseline_Design_Capacity</f>
        <v>1</v>
      </c>
      <c r="D4" s="1586" t="s">
        <v>666</v>
      </c>
      <c r="E4" s="1586"/>
      <c r="F4" s="1586"/>
      <c r="G4" s="667"/>
      <c r="H4" s="667"/>
      <c r="I4" s="667"/>
      <c r="J4" s="667"/>
      <c r="K4" s="668"/>
    </row>
    <row r="5" spans="2:11" ht="29.25" customHeight="1" thickBot="1" x14ac:dyDescent="0.3">
      <c r="B5" s="665" t="s">
        <v>833</v>
      </c>
      <c r="C5" s="669">
        <f ca="1">$G$35/Det_direct_cap</f>
        <v>1</v>
      </c>
      <c r="D5" s="1586" t="s">
        <v>835</v>
      </c>
      <c r="E5" s="1586"/>
      <c r="F5" s="1586"/>
      <c r="G5" s="667"/>
      <c r="H5" s="667"/>
      <c r="I5" s="667"/>
      <c r="J5" s="667"/>
      <c r="K5" s="668"/>
    </row>
    <row r="6" spans="2:11" ht="29.25" customHeight="1" thickBot="1" x14ac:dyDescent="0.3">
      <c r="B6" s="665" t="s">
        <v>1046</v>
      </c>
      <c r="C6" s="671">
        <v>0.6</v>
      </c>
      <c r="D6" s="1586" t="s">
        <v>832</v>
      </c>
      <c r="E6" s="1586"/>
      <c r="F6" s="1586"/>
      <c r="G6" s="667"/>
      <c r="H6" s="667"/>
      <c r="I6" s="667"/>
      <c r="J6" s="667"/>
      <c r="K6" s="668"/>
    </row>
    <row r="7" spans="2:11" ht="41.25" customHeight="1" thickBot="1" x14ac:dyDescent="0.3">
      <c r="B7" s="665" t="s">
        <v>933</v>
      </c>
      <c r="C7" s="672">
        <v>500</v>
      </c>
      <c r="D7" s="1587" t="s">
        <v>909</v>
      </c>
      <c r="E7" s="1588"/>
      <c r="F7" s="1588"/>
      <c r="G7" s="667"/>
      <c r="H7" s="667"/>
      <c r="I7" s="667"/>
      <c r="J7" s="667"/>
      <c r="K7" s="668"/>
    </row>
    <row r="8" spans="2:11" ht="42.75" customHeight="1" thickBot="1" x14ac:dyDescent="0.3">
      <c r="B8" s="665" t="s">
        <v>934</v>
      </c>
      <c r="C8" s="672">
        <v>6000</v>
      </c>
      <c r="D8" s="1583" t="s">
        <v>908</v>
      </c>
      <c r="E8" s="1584"/>
      <c r="F8" s="1584"/>
      <c r="G8" s="667"/>
      <c r="H8" s="667"/>
      <c r="I8" s="667"/>
      <c r="J8" s="667"/>
      <c r="K8" s="668"/>
    </row>
    <row r="9" spans="2:11" ht="15" customHeight="1" x14ac:dyDescent="0.25">
      <c r="B9" s="665"/>
      <c r="C9" s="673"/>
      <c r="D9" s="670"/>
      <c r="E9" s="670"/>
      <c r="F9" s="670"/>
      <c r="G9" s="667"/>
      <c r="H9" s="667"/>
      <c r="I9" s="667"/>
      <c r="J9" s="667"/>
      <c r="K9" s="668"/>
    </row>
    <row r="10" spans="2:11" x14ac:dyDescent="0.25">
      <c r="B10" s="674"/>
      <c r="C10" s="667"/>
      <c r="D10" s="667"/>
      <c r="E10" s="667"/>
      <c r="F10" s="667"/>
      <c r="G10" s="667"/>
      <c r="H10" s="667"/>
      <c r="I10" s="667"/>
      <c r="J10" s="667"/>
      <c r="K10" s="668"/>
    </row>
    <row r="11" spans="2:11" ht="16.2" thickBot="1" x14ac:dyDescent="0.35">
      <c r="B11" s="440" t="str">
        <f xml:space="preserve"> "CAPITAL INVESTMENT (Inputs REQUIRED in Reference Year, (" &amp; ref_year &amp; ") $)"</f>
        <v>CAPITAL INVESTMENT (Inputs REQUIRED in Reference Year, (2016) $)</v>
      </c>
      <c r="C11" s="441"/>
      <c r="D11" s="441"/>
      <c r="E11" s="441"/>
      <c r="F11" s="441"/>
      <c r="G11" s="442"/>
      <c r="H11" s="442"/>
      <c r="I11" s="442"/>
      <c r="J11" s="443"/>
      <c r="K11" s="675"/>
    </row>
    <row r="12" spans="2:11" ht="28.2" thickTop="1" thickBot="1" x14ac:dyDescent="0.35">
      <c r="B12" s="445" t="s">
        <v>656</v>
      </c>
      <c r="C12" s="446" t="s">
        <v>664</v>
      </c>
      <c r="D12" s="446" t="s">
        <v>658</v>
      </c>
      <c r="E12" s="446" t="s">
        <v>665</v>
      </c>
      <c r="F12" s="446" t="s">
        <v>657</v>
      </c>
      <c r="G12" s="446" t="s">
        <v>834</v>
      </c>
      <c r="H12" s="446" t="s">
        <v>1045</v>
      </c>
      <c r="I12" s="446" t="s">
        <v>1012</v>
      </c>
      <c r="J12" s="450" t="s">
        <v>659</v>
      </c>
    </row>
    <row r="13" spans="2:11" x14ac:dyDescent="0.25">
      <c r="B13" s="657" t="str">
        <f>'Capital Costs'!B16</f>
        <v>Water Feed System</v>
      </c>
      <c r="C13" s="648">
        <f>'Capital Costs'!D16</f>
        <v>5301.6792616973626</v>
      </c>
      <c r="D13" s="1377"/>
      <c r="E13" s="648">
        <f ca="1">IF($D13="",$C13*Scale_Ratio^Scaling_Factor_Exponent,$C13*Scale_Ratio^$D13)</f>
        <v>5301.6792616973626</v>
      </c>
      <c r="F13" s="659">
        <f>'Capital Costs'!E16</f>
        <v>1.1000000000000001</v>
      </c>
      <c r="G13" s="649">
        <f ca="1">$E13*$F13</f>
        <v>5831.8471878670989</v>
      </c>
      <c r="H13" s="648">
        <f>C13*F13</f>
        <v>5831.8471878670989</v>
      </c>
      <c r="I13" s="1172" t="s">
        <v>1266</v>
      </c>
      <c r="J13" s="819" t="s">
        <v>1267</v>
      </c>
    </row>
    <row r="14" spans="2:11" x14ac:dyDescent="0.25">
      <c r="B14" s="658" t="str">
        <f>'Capital Costs'!B17</f>
        <v>Primary Feed System: Natural Gas</v>
      </c>
      <c r="C14" s="650">
        <f>'Capital Costs'!D17</f>
        <v>13488.746221554646</v>
      </c>
      <c r="D14" s="1378"/>
      <c r="E14" s="650">
        <f t="shared" ref="E14:E34" ca="1" si="0">IF($D14="",$C14*Scale_Ratio^Scaling_Factor_Exponent,$C14*Scale_Ratio^$D14)</f>
        <v>13488.746221554646</v>
      </c>
      <c r="F14" s="660">
        <f>'Capital Costs'!E17</f>
        <v>1.1000000000000001</v>
      </c>
      <c r="G14" s="651">
        <f t="shared" ref="G14:G34" ca="1" si="1">$E14*$F14</f>
        <v>14837.620843710112</v>
      </c>
      <c r="H14" s="650">
        <f t="shared" ref="H14:H34" si="2">C14*F14</f>
        <v>14837.620843710112</v>
      </c>
      <c r="I14" s="652"/>
      <c r="J14" s="819" t="s">
        <v>1267</v>
      </c>
    </row>
    <row r="15" spans="2:11" x14ac:dyDescent="0.25">
      <c r="B15" s="658" t="str">
        <f>'Capital Costs'!B18</f>
        <v>Burner Feed System: Natural Gas</v>
      </c>
      <c r="C15" s="650">
        <f>'Capital Costs'!D18</f>
        <v>883.61321028289387</v>
      </c>
      <c r="D15" s="1378"/>
      <c r="E15" s="650">
        <f t="shared" ca="1" si="0"/>
        <v>883.61321028289387</v>
      </c>
      <c r="F15" s="660">
        <f>'Capital Costs'!E18</f>
        <v>1.1000000000000001</v>
      </c>
      <c r="G15" s="651">
        <f t="shared" ca="1" si="1"/>
        <v>971.97453131118334</v>
      </c>
      <c r="H15" s="650">
        <f t="shared" si="2"/>
        <v>971.97453131118334</v>
      </c>
      <c r="I15" s="652"/>
      <c r="J15" s="819" t="s">
        <v>1267</v>
      </c>
    </row>
    <row r="16" spans="2:11" x14ac:dyDescent="0.25">
      <c r="B16" s="658" t="str">
        <f>'Capital Costs'!B19</f>
        <v>Boiler</v>
      </c>
      <c r="C16" s="650">
        <f>'Capital Costs'!D19</f>
        <v>11517.978253273615</v>
      </c>
      <c r="D16" s="1378"/>
      <c r="E16" s="650">
        <f t="shared" ca="1" si="0"/>
        <v>11517.978253273615</v>
      </c>
      <c r="F16" s="660">
        <f>'Capital Costs'!E19</f>
        <v>1.1000000000000001</v>
      </c>
      <c r="G16" s="651">
        <f t="shared" ca="1" si="1"/>
        <v>12669.776078600979</v>
      </c>
      <c r="H16" s="650">
        <f t="shared" si="2"/>
        <v>12669.776078600979</v>
      </c>
      <c r="I16" s="652"/>
      <c r="J16" s="819" t="s">
        <v>1267</v>
      </c>
    </row>
    <row r="17" spans="2:10" x14ac:dyDescent="0.25">
      <c r="B17" s="658" t="str">
        <f>'Capital Costs'!B20</f>
        <v>Burner</v>
      </c>
      <c r="C17" s="650">
        <f>'Capital Costs'!D20</f>
        <v>3828.9435323904218</v>
      </c>
      <c r="D17" s="1378"/>
      <c r="E17" s="650">
        <f t="shared" ca="1" si="0"/>
        <v>3828.9435323904218</v>
      </c>
      <c r="F17" s="660">
        <f>'Capital Costs'!E20</f>
        <v>1.1000000000000001</v>
      </c>
      <c r="G17" s="651">
        <f t="shared" ca="1" si="1"/>
        <v>4211.8378856294639</v>
      </c>
      <c r="H17" s="650">
        <f t="shared" si="2"/>
        <v>4211.8378856294639</v>
      </c>
      <c r="I17" s="652"/>
      <c r="J17" s="819" t="s">
        <v>1267</v>
      </c>
    </row>
    <row r="18" spans="2:10" x14ac:dyDescent="0.25">
      <c r="B18" s="658" t="str">
        <f>'Capital Costs'!B21</f>
        <v>Annular Ref-WGS-MS</v>
      </c>
      <c r="C18" s="650">
        <f>'Capital Costs'!D21</f>
        <v>176740.40818341586</v>
      </c>
      <c r="D18" s="1378"/>
      <c r="E18" s="650">
        <f t="shared" ca="1" si="0"/>
        <v>176740.40818341586</v>
      </c>
      <c r="F18" s="660">
        <f>'Capital Costs'!E21</f>
        <v>1.1000000000000001</v>
      </c>
      <c r="G18" s="651">
        <f t="shared" ca="1" si="1"/>
        <v>194414.44900175746</v>
      </c>
      <c r="H18" s="650">
        <f t="shared" si="2"/>
        <v>194414.44900175746</v>
      </c>
      <c r="I18" s="652"/>
      <c r="J18" s="819" t="s">
        <v>1267</v>
      </c>
    </row>
    <row r="19" spans="2:10" x14ac:dyDescent="0.25">
      <c r="B19" s="658" t="str">
        <f>'Capital Costs'!B22</f>
        <v>Primary Air Feed System</v>
      </c>
      <c r="C19" s="650">
        <f>'Capital Costs'!D22</f>
        <v>4594.7322388685061</v>
      </c>
      <c r="D19" s="1378"/>
      <c r="E19" s="650">
        <f t="shared" ca="1" si="0"/>
        <v>4594.7322388685061</v>
      </c>
      <c r="F19" s="660">
        <f>'Capital Costs'!E22</f>
        <v>1.1000000000000001</v>
      </c>
      <c r="G19" s="651">
        <f t="shared" ca="1" si="1"/>
        <v>5054.2054627553571</v>
      </c>
      <c r="H19" s="650">
        <f t="shared" si="2"/>
        <v>5054.2054627553571</v>
      </c>
      <c r="I19" s="652"/>
      <c r="J19" s="819" t="s">
        <v>1267</v>
      </c>
    </row>
    <row r="20" spans="2:10" x14ac:dyDescent="0.25">
      <c r="B20" s="658" t="str">
        <f>'Capital Costs'!B23</f>
        <v>H2 Cooler</v>
      </c>
      <c r="C20" s="650">
        <f>'Capital Costs'!D23</f>
        <v>10682.052398829743</v>
      </c>
      <c r="D20" s="1378"/>
      <c r="E20" s="650">
        <f t="shared" ca="1" si="0"/>
        <v>10682.052398829743</v>
      </c>
      <c r="F20" s="660">
        <f>'Capital Costs'!E23</f>
        <v>1.1000000000000001</v>
      </c>
      <c r="G20" s="651">
        <f t="shared" ca="1" si="1"/>
        <v>11750.257638712717</v>
      </c>
      <c r="H20" s="650">
        <f t="shared" si="2"/>
        <v>11750.257638712717</v>
      </c>
      <c r="I20" s="652"/>
      <c r="J20" s="819" t="s">
        <v>1267</v>
      </c>
    </row>
    <row r="21" spans="2:10" x14ac:dyDescent="0.25">
      <c r="B21" s="658" t="str">
        <f>'Capital Costs'!B24</f>
        <v>Water Purification</v>
      </c>
      <c r="C21" s="650">
        <f>'Capital Costs'!D24</f>
        <v>40934.364983741048</v>
      </c>
      <c r="D21" s="1378"/>
      <c r="E21" s="650">
        <f t="shared" ca="1" si="0"/>
        <v>40934.364983741048</v>
      </c>
      <c r="F21" s="660">
        <f>'Capital Costs'!E24</f>
        <v>1.1000000000000001</v>
      </c>
      <c r="G21" s="651">
        <f t="shared" ca="1" si="1"/>
        <v>45027.801482115159</v>
      </c>
      <c r="H21" s="650">
        <f t="shared" si="2"/>
        <v>45027.801482115159</v>
      </c>
      <c r="I21" s="652"/>
      <c r="J21" s="819" t="s">
        <v>1267</v>
      </c>
    </row>
    <row r="22" spans="2:10" x14ac:dyDescent="0.25">
      <c r="B22" s="658" t="str">
        <f>'Capital Costs'!B25</f>
        <v>Structural Supports</v>
      </c>
      <c r="C22" s="650">
        <f>'Capital Costs'!D25</f>
        <v>23165.108370962051</v>
      </c>
      <c r="D22" s="1378"/>
      <c r="E22" s="650">
        <f t="shared" ca="1" si="0"/>
        <v>23165.108370962051</v>
      </c>
      <c r="F22" s="660">
        <f>'Capital Costs'!E25</f>
        <v>1.1000000000000001</v>
      </c>
      <c r="G22" s="651">
        <f t="shared" ca="1" si="1"/>
        <v>25481.619208058259</v>
      </c>
      <c r="H22" s="650">
        <f t="shared" si="2"/>
        <v>25481.619208058259</v>
      </c>
      <c r="I22" s="652"/>
      <c r="J22" s="819" t="s">
        <v>1267</v>
      </c>
    </row>
    <row r="23" spans="2:10" x14ac:dyDescent="0.25">
      <c r="B23" s="658" t="str">
        <f>'Capital Costs'!B26</f>
        <v>Controls System</v>
      </c>
      <c r="C23" s="650">
        <f>'Capital Costs'!D26</f>
        <v>42047.907150580992</v>
      </c>
      <c r="D23" s="1378"/>
      <c r="E23" s="650">
        <f t="shared" ca="1" si="0"/>
        <v>42047.907150580992</v>
      </c>
      <c r="F23" s="660">
        <f>'Capital Costs'!E26</f>
        <v>1.1000000000000001</v>
      </c>
      <c r="G23" s="651">
        <f t="shared" ca="1" si="1"/>
        <v>46252.697865639093</v>
      </c>
      <c r="H23" s="650">
        <f t="shared" si="2"/>
        <v>46252.697865639093</v>
      </c>
      <c r="I23" s="652"/>
      <c r="J23" s="453"/>
    </row>
    <row r="24" spans="2:10" x14ac:dyDescent="0.25">
      <c r="B24" s="658" t="str">
        <f>'Capital Costs'!B27</f>
        <v>System Assembly</v>
      </c>
      <c r="C24" s="650">
        <f>'Capital Costs'!D27</f>
        <v>193080.65716991524</v>
      </c>
      <c r="D24" s="1378"/>
      <c r="E24" s="650">
        <f t="shared" ca="1" si="0"/>
        <v>193080.65716991524</v>
      </c>
      <c r="F24" s="660">
        <f>'Capital Costs'!E27</f>
        <v>1.1000000000000001</v>
      </c>
      <c r="G24" s="651">
        <f t="shared" ca="1" si="1"/>
        <v>212388.72288690679</v>
      </c>
      <c r="H24" s="650">
        <f t="shared" ref="H24:H33" si="3">C24*F24</f>
        <v>212388.72288690679</v>
      </c>
      <c r="I24" s="652"/>
      <c r="J24" s="453"/>
    </row>
    <row r="25" spans="2:10" x14ac:dyDescent="0.25">
      <c r="B25" s="658" t="str">
        <f>'Capital Costs'!B28</f>
        <v>Miscellaneous</v>
      </c>
      <c r="C25" s="650">
        <f>'Capital Costs'!D28</f>
        <v>54839.174117742987</v>
      </c>
      <c r="D25" s="1378"/>
      <c r="E25" s="650">
        <f t="shared" ca="1" si="0"/>
        <v>54839.174117742987</v>
      </c>
      <c r="F25" s="660">
        <f>'Capital Costs'!E28</f>
        <v>1.1000000000000001</v>
      </c>
      <c r="G25" s="651">
        <f t="shared" ca="1" si="1"/>
        <v>60323.091529517289</v>
      </c>
      <c r="H25" s="650">
        <f t="shared" si="3"/>
        <v>60323.091529517289</v>
      </c>
      <c r="I25" s="652"/>
      <c r="J25" s="453"/>
    </row>
    <row r="26" spans="2:10" x14ac:dyDescent="0.25">
      <c r="B26" s="658">
        <f>'Capital Costs'!B29</f>
        <v>0</v>
      </c>
      <c r="C26" s="650">
        <f>'Capital Costs'!D29</f>
        <v>0</v>
      </c>
      <c r="D26" s="1378"/>
      <c r="E26" s="650">
        <f t="shared" ca="1" si="0"/>
        <v>0</v>
      </c>
      <c r="F26" s="660">
        <f>'Capital Costs'!E29</f>
        <v>0</v>
      </c>
      <c r="G26" s="651">
        <f t="shared" ca="1" si="1"/>
        <v>0</v>
      </c>
      <c r="H26" s="650">
        <f t="shared" si="3"/>
        <v>0</v>
      </c>
      <c r="I26" s="652"/>
      <c r="J26" s="453"/>
    </row>
    <row r="27" spans="2:10" x14ac:dyDescent="0.25">
      <c r="B27" s="658">
        <f>'Capital Costs'!B30</f>
        <v>0</v>
      </c>
      <c r="C27" s="650">
        <f>'Capital Costs'!D30</f>
        <v>0</v>
      </c>
      <c r="D27" s="1378"/>
      <c r="E27" s="650">
        <f t="shared" ca="1" si="0"/>
        <v>0</v>
      </c>
      <c r="F27" s="660">
        <f>'Capital Costs'!E30</f>
        <v>0</v>
      </c>
      <c r="G27" s="651">
        <f t="shared" ca="1" si="1"/>
        <v>0</v>
      </c>
      <c r="H27" s="650">
        <f t="shared" si="3"/>
        <v>0</v>
      </c>
      <c r="I27" s="652"/>
      <c r="J27" s="453"/>
    </row>
    <row r="28" spans="2:10" x14ac:dyDescent="0.25">
      <c r="B28" s="658">
        <f>'Capital Costs'!B31</f>
        <v>0</v>
      </c>
      <c r="C28" s="650">
        <f>'Capital Costs'!D31</f>
        <v>0</v>
      </c>
      <c r="D28" s="1378"/>
      <c r="E28" s="650">
        <f t="shared" ca="1" si="0"/>
        <v>0</v>
      </c>
      <c r="F28" s="660">
        <f>'Capital Costs'!E31</f>
        <v>0</v>
      </c>
      <c r="G28" s="651">
        <f t="shared" ca="1" si="1"/>
        <v>0</v>
      </c>
      <c r="H28" s="650">
        <f t="shared" si="3"/>
        <v>0</v>
      </c>
      <c r="I28" s="652"/>
      <c r="J28" s="453"/>
    </row>
    <row r="29" spans="2:10" x14ac:dyDescent="0.25">
      <c r="B29" s="658" t="str">
        <f>'Capital Costs'!B32</f>
        <v>H2 Compressor</v>
      </c>
      <c r="C29" s="650">
        <f>'Capital Costs'!D32</f>
        <v>242542.87578486622</v>
      </c>
      <c r="D29" s="1378"/>
      <c r="E29" s="650">
        <f t="shared" ca="1" si="0"/>
        <v>242542.87578486622</v>
      </c>
      <c r="F29" s="660">
        <f>'Capital Costs'!E32</f>
        <v>1.2</v>
      </c>
      <c r="G29" s="651">
        <f t="shared" ca="1" si="1"/>
        <v>291051.45094183943</v>
      </c>
      <c r="H29" s="650">
        <f t="shared" si="3"/>
        <v>291051.45094183943</v>
      </c>
      <c r="I29" s="652"/>
      <c r="J29" s="453"/>
    </row>
    <row r="30" spans="2:10" x14ac:dyDescent="0.25">
      <c r="B30" s="658">
        <f>'Capital Costs'!B33</f>
        <v>0</v>
      </c>
      <c r="C30" s="650">
        <f>'Capital Costs'!D33</f>
        <v>0</v>
      </c>
      <c r="D30" s="1378"/>
      <c r="E30" s="650">
        <f t="shared" ca="1" si="0"/>
        <v>0</v>
      </c>
      <c r="F30" s="660">
        <f>'Capital Costs'!E33</f>
        <v>0</v>
      </c>
      <c r="G30" s="651">
        <f t="shared" ca="1" si="1"/>
        <v>0</v>
      </c>
      <c r="H30" s="650">
        <f t="shared" si="3"/>
        <v>0</v>
      </c>
      <c r="I30" s="652"/>
      <c r="J30" s="453"/>
    </row>
    <row r="31" spans="2:10" x14ac:dyDescent="0.25">
      <c r="B31" s="658">
        <f>'Capital Costs'!B34</f>
        <v>0</v>
      </c>
      <c r="C31" s="650">
        <f>'Capital Costs'!D34</f>
        <v>0</v>
      </c>
      <c r="D31" s="1378"/>
      <c r="E31" s="650">
        <f t="shared" ca="1" si="0"/>
        <v>0</v>
      </c>
      <c r="F31" s="660">
        <f>'Capital Costs'!E34</f>
        <v>0</v>
      </c>
      <c r="G31" s="651">
        <f t="shared" ca="1" si="1"/>
        <v>0</v>
      </c>
      <c r="H31" s="650">
        <f t="shared" si="3"/>
        <v>0</v>
      </c>
      <c r="I31" s="652"/>
      <c r="J31" s="453"/>
    </row>
    <row r="32" spans="2:10" x14ac:dyDescent="0.25">
      <c r="B32" s="658">
        <f>'Capital Costs'!B35</f>
        <v>0</v>
      </c>
      <c r="C32" s="650">
        <f>'Capital Costs'!D35</f>
        <v>0</v>
      </c>
      <c r="D32" s="1378"/>
      <c r="E32" s="650">
        <f t="shared" ca="1" si="0"/>
        <v>0</v>
      </c>
      <c r="F32" s="660">
        <f>'Capital Costs'!E35</f>
        <v>0</v>
      </c>
      <c r="G32" s="651">
        <f t="shared" ca="1" si="1"/>
        <v>0</v>
      </c>
      <c r="H32" s="650">
        <f t="shared" si="3"/>
        <v>0</v>
      </c>
      <c r="I32" s="652"/>
      <c r="J32" s="453"/>
    </row>
    <row r="33" spans="2:10" x14ac:dyDescent="0.25">
      <c r="B33" s="658">
        <f>'Capital Costs'!B36</f>
        <v>0</v>
      </c>
      <c r="C33" s="650">
        <f>'Capital Costs'!D36</f>
        <v>0</v>
      </c>
      <c r="D33" s="1378"/>
      <c r="E33" s="650">
        <f t="shared" ca="1" si="0"/>
        <v>0</v>
      </c>
      <c r="F33" s="660">
        <f>'Capital Costs'!E36</f>
        <v>0</v>
      </c>
      <c r="G33" s="651">
        <f t="shared" ca="1" si="1"/>
        <v>0</v>
      </c>
      <c r="H33" s="650">
        <f t="shared" si="3"/>
        <v>0</v>
      </c>
      <c r="I33" s="652"/>
      <c r="J33" s="453"/>
    </row>
    <row r="34" spans="2:10" ht="13.8" thickBot="1" x14ac:dyDescent="0.3">
      <c r="B34" s="658"/>
      <c r="C34" s="650"/>
      <c r="D34" s="653"/>
      <c r="E34" s="654">
        <f t="shared" ca="1" si="0"/>
        <v>0</v>
      </c>
      <c r="F34" s="660"/>
      <c r="G34" s="655">
        <f t="shared" ca="1" si="1"/>
        <v>0</v>
      </c>
      <c r="H34" s="654">
        <f t="shared" si="2"/>
        <v>0</v>
      </c>
      <c r="I34" s="656"/>
      <c r="J34" s="454"/>
    </row>
    <row r="35" spans="2:10" ht="13.8" thickBot="1" x14ac:dyDescent="0.3">
      <c r="B35" s="447" t="s">
        <v>661</v>
      </c>
      <c r="C35" s="448">
        <f>SUM(C13:C34)</f>
        <v>823648.24087812169</v>
      </c>
      <c r="D35" s="451"/>
      <c r="E35" s="448">
        <f ca="1">SUM(E13:E34)</f>
        <v>823648.24087812169</v>
      </c>
      <c r="F35" s="449"/>
      <c r="G35" s="647">
        <f ca="1">SUM(G13:G34)</f>
        <v>930267.3525444204</v>
      </c>
      <c r="H35" s="661">
        <f>SUM(H13:H34)</f>
        <v>930267.3525444204</v>
      </c>
      <c r="I35" s="329"/>
      <c r="J35" s="452"/>
    </row>
    <row r="36" spans="2:10" ht="13.8" thickTop="1" x14ac:dyDescent="0.25"/>
    <row r="46" spans="2:10" x14ac:dyDescent="0.25">
      <c r="C46" s="1173"/>
    </row>
  </sheetData>
  <mergeCells count="6">
    <mergeCell ref="D8:F8"/>
    <mergeCell ref="D3:F3"/>
    <mergeCell ref="D5:F5"/>
    <mergeCell ref="D4:F4"/>
    <mergeCell ref="D7:F7"/>
    <mergeCell ref="D6:F6"/>
  </mergeCells>
  <phoneticPr fontId="3"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BE293"/>
  <sheetViews>
    <sheetView zoomScale="85" zoomScaleNormal="85" workbookViewId="0">
      <selection activeCell="M46" sqref="M46"/>
    </sheetView>
  </sheetViews>
  <sheetFormatPr defaultColWidth="9.33203125" defaultRowHeight="13.2" x14ac:dyDescent="0.25"/>
  <cols>
    <col min="1" max="1" width="7.5546875" style="29" customWidth="1"/>
    <col min="2" max="2" width="72.33203125" style="29" customWidth="1"/>
    <col min="3" max="3" width="15.6640625" style="29" customWidth="1"/>
    <col min="4" max="4" width="19.44140625" style="29" customWidth="1"/>
    <col min="5" max="5" width="14.33203125" style="29" customWidth="1"/>
    <col min="6" max="6" width="25.6640625" style="29" customWidth="1"/>
    <col min="7" max="7" width="16.109375" style="29" bestFit="1" customWidth="1"/>
    <col min="8" max="8" width="17" style="29" customWidth="1"/>
    <col min="9" max="9" width="17.33203125" style="29" customWidth="1"/>
    <col min="10" max="10" width="19.5546875" style="29" customWidth="1"/>
    <col min="11" max="11" width="16.33203125" style="29" customWidth="1"/>
    <col min="12" max="12" width="14.6640625" style="29" bestFit="1" customWidth="1"/>
    <col min="13" max="25" width="9" style="29" bestFit="1" customWidth="1"/>
    <col min="26" max="26" width="0.88671875" style="29" customWidth="1"/>
    <col min="27" max="27" width="10.109375" style="29" bestFit="1" customWidth="1"/>
    <col min="28" max="28" width="11.5546875" style="29" bestFit="1" customWidth="1"/>
    <col min="29" max="16384" width="9.33203125" style="29"/>
  </cols>
  <sheetData>
    <row r="1" spans="1:57" x14ac:dyDescent="0.25">
      <c r="A1" s="1287"/>
      <c r="B1" s="1287"/>
      <c r="C1" s="1287"/>
      <c r="D1" s="1287"/>
      <c r="E1" s="1287"/>
      <c r="F1" s="1287"/>
      <c r="G1" s="1287"/>
      <c r="H1" s="1287"/>
      <c r="I1" s="1287"/>
      <c r="J1" s="1287"/>
      <c r="K1" s="1287"/>
      <c r="L1" s="1287"/>
      <c r="M1" s="1287"/>
      <c r="N1" s="1287"/>
      <c r="O1" s="1287"/>
      <c r="P1" s="1287"/>
      <c r="Q1" s="1287"/>
      <c r="R1" s="1287"/>
      <c r="S1" s="1287"/>
      <c r="T1" s="1287"/>
      <c r="U1" s="1287"/>
      <c r="V1" s="1287"/>
      <c r="W1" s="1287"/>
      <c r="X1" s="1287"/>
      <c r="Y1" s="1287"/>
      <c r="Z1" s="1287"/>
      <c r="AA1" s="1287"/>
      <c r="AB1" s="1287"/>
      <c r="AC1" s="1287"/>
      <c r="AD1" s="1038"/>
      <c r="AE1" s="1038"/>
      <c r="AF1" s="1038"/>
      <c r="AG1" s="1038"/>
      <c r="AH1" s="1038"/>
      <c r="AI1" s="1038"/>
      <c r="AJ1" s="1038"/>
      <c r="AK1" s="1038"/>
      <c r="AL1" s="1038"/>
      <c r="AM1" s="1038"/>
      <c r="AN1" s="1038"/>
      <c r="AO1" s="1038"/>
      <c r="AP1" s="1038"/>
      <c r="AQ1" s="1038"/>
      <c r="AR1" s="1038"/>
      <c r="AS1" s="1038"/>
      <c r="AT1" s="1038"/>
      <c r="AU1" s="1038"/>
      <c r="AV1" s="1038"/>
      <c r="AW1" s="1038"/>
      <c r="AX1" s="1038"/>
      <c r="AY1" s="1038"/>
      <c r="AZ1" s="1038"/>
      <c r="BA1" s="1038"/>
      <c r="BB1" s="1038"/>
      <c r="BC1" s="1038"/>
      <c r="BD1" s="1038"/>
      <c r="BE1" s="1038"/>
    </row>
    <row r="2" spans="1:57" ht="42" x14ac:dyDescent="0.25">
      <c r="A2" s="1287"/>
      <c r="B2" s="1379" t="s">
        <v>1749</v>
      </c>
      <c r="C2" s="1287"/>
      <c r="D2" s="1287"/>
      <c r="E2" s="1287"/>
      <c r="F2" s="1287"/>
      <c r="G2" s="1287"/>
      <c r="H2" s="1287"/>
      <c r="I2" s="1287"/>
      <c r="J2" s="1287"/>
      <c r="K2" s="1287"/>
      <c r="L2" s="1287"/>
      <c r="M2" s="1287"/>
      <c r="N2" s="1287"/>
      <c r="O2" s="1287"/>
      <c r="P2" s="1287"/>
      <c r="Q2" s="1287"/>
      <c r="R2" s="1287"/>
      <c r="S2" s="1287"/>
      <c r="T2" s="1287"/>
      <c r="U2" s="1287"/>
      <c r="V2" s="1287"/>
      <c r="W2" s="1287"/>
      <c r="X2" s="1287"/>
      <c r="Y2" s="1287"/>
      <c r="Z2" s="1287"/>
      <c r="AA2" s="1287"/>
      <c r="AB2" s="1287"/>
      <c r="AC2" s="1287"/>
      <c r="AD2" s="1038"/>
      <c r="AE2" s="1038"/>
      <c r="AF2" s="1038"/>
      <c r="AG2" s="1038"/>
      <c r="AH2" s="1038"/>
      <c r="AI2" s="1038"/>
      <c r="AJ2" s="1038"/>
      <c r="AK2" s="1038"/>
      <c r="AL2" s="1038"/>
      <c r="AM2" s="1038"/>
      <c r="AN2" s="1038"/>
      <c r="AO2" s="1038"/>
      <c r="AP2" s="1038"/>
      <c r="AQ2" s="1038"/>
      <c r="AR2" s="1038"/>
      <c r="AS2" s="1038"/>
      <c r="AT2" s="1038"/>
      <c r="AU2" s="1038"/>
      <c r="AV2" s="1038"/>
      <c r="AW2" s="1038"/>
      <c r="AX2" s="1038"/>
      <c r="AY2" s="1038"/>
      <c r="AZ2" s="1038"/>
      <c r="BA2" s="1038"/>
      <c r="BB2" s="1038"/>
      <c r="BC2" s="1038"/>
      <c r="BD2" s="1038"/>
      <c r="BE2" s="1038"/>
    </row>
    <row r="3" spans="1:57" x14ac:dyDescent="0.25">
      <c r="A3" s="1287"/>
      <c r="B3" s="1287"/>
      <c r="C3" s="1287"/>
      <c r="D3" s="1287"/>
      <c r="E3" s="1287"/>
      <c r="F3" s="1287"/>
      <c r="G3" s="1287"/>
      <c r="H3" s="1287"/>
      <c r="I3" s="1287"/>
      <c r="J3" s="1287"/>
      <c r="K3" s="1287"/>
      <c r="L3" s="1287"/>
      <c r="M3" s="1287"/>
      <c r="N3" s="1287"/>
      <c r="O3" s="1287"/>
      <c r="P3" s="1287"/>
      <c r="Q3" s="1287"/>
      <c r="R3" s="1287"/>
      <c r="S3" s="1287"/>
      <c r="T3" s="1287"/>
      <c r="U3" s="1287"/>
      <c r="V3" s="1287"/>
      <c r="W3" s="1287"/>
      <c r="X3" s="1287"/>
      <c r="Y3" s="1287"/>
      <c r="Z3" s="1287"/>
      <c r="AA3" s="1287"/>
      <c r="AB3" s="1287"/>
      <c r="AC3" s="1287"/>
      <c r="AD3" s="1038"/>
      <c r="AE3" s="1038"/>
      <c r="AF3" s="1038"/>
      <c r="AG3" s="1038"/>
      <c r="AH3" s="1038"/>
      <c r="AI3" s="1038"/>
      <c r="AJ3" s="1038"/>
      <c r="AK3" s="1038"/>
      <c r="AL3" s="1038"/>
      <c r="AM3" s="1038"/>
      <c r="AN3" s="1038"/>
      <c r="AO3" s="1038"/>
      <c r="AP3" s="1038"/>
      <c r="AQ3" s="1038"/>
      <c r="AR3" s="1038"/>
      <c r="AS3" s="1038"/>
      <c r="AT3" s="1038"/>
      <c r="AU3" s="1038"/>
      <c r="AV3" s="1038"/>
      <c r="AW3" s="1038"/>
      <c r="AX3" s="1038"/>
      <c r="AY3" s="1038"/>
      <c r="AZ3" s="1038"/>
      <c r="BA3" s="1038"/>
      <c r="BB3" s="1038"/>
      <c r="BC3" s="1038"/>
      <c r="BD3" s="1038"/>
      <c r="BE3" s="1038"/>
    </row>
    <row r="4" spans="1:57" ht="13.8" x14ac:dyDescent="0.25">
      <c r="A4" s="1287"/>
      <c r="B4" s="1611" t="s">
        <v>387</v>
      </c>
      <c r="C4" s="1611"/>
      <c r="D4" s="1611"/>
      <c r="E4" s="1611"/>
      <c r="F4" s="1611"/>
      <c r="G4" s="1611"/>
      <c r="H4" s="1611"/>
      <c r="I4" s="1611"/>
      <c r="J4" s="1611"/>
      <c r="K4" s="1287"/>
      <c r="L4" s="1287"/>
      <c r="M4" s="1287"/>
      <c r="N4" s="1287"/>
      <c r="O4" s="1287"/>
      <c r="P4" s="1287"/>
      <c r="Q4" s="1287"/>
      <c r="R4" s="1287"/>
      <c r="S4" s="1287"/>
      <c r="T4" s="1287"/>
      <c r="U4" s="1287"/>
      <c r="V4" s="1287"/>
      <c r="W4" s="1287"/>
      <c r="X4" s="1287"/>
      <c r="Y4" s="1287"/>
      <c r="Z4" s="1287"/>
      <c r="AA4" s="1287"/>
      <c r="AB4" s="1287"/>
      <c r="AC4" s="1287"/>
      <c r="AD4" s="1038"/>
      <c r="AE4" s="1038"/>
      <c r="AF4" s="1038"/>
      <c r="AG4" s="1038"/>
      <c r="AH4" s="1038"/>
      <c r="AI4" s="1038"/>
      <c r="AJ4" s="1038"/>
      <c r="AK4" s="1038"/>
      <c r="AL4" s="1038"/>
      <c r="AM4" s="1038"/>
      <c r="AN4" s="1038"/>
      <c r="AO4" s="1038"/>
      <c r="AP4" s="1038"/>
      <c r="AQ4" s="1038"/>
      <c r="AR4" s="1038"/>
      <c r="AS4" s="1038"/>
      <c r="AT4" s="1038"/>
      <c r="AU4" s="1038"/>
      <c r="AV4" s="1038"/>
      <c r="AW4" s="1038"/>
      <c r="AX4" s="1038"/>
      <c r="AY4" s="1038"/>
      <c r="AZ4" s="1038"/>
      <c r="BA4" s="1038"/>
      <c r="BB4" s="1038"/>
      <c r="BC4" s="1038"/>
      <c r="BD4" s="1038"/>
      <c r="BE4" s="1038"/>
    </row>
    <row r="5" spans="1:57" ht="44.4" customHeight="1" x14ac:dyDescent="0.25">
      <c r="A5" s="1287"/>
      <c r="B5" s="1612" t="s">
        <v>1328</v>
      </c>
      <c r="C5" s="1613"/>
      <c r="D5" s="1613"/>
      <c r="E5" s="1613"/>
      <c r="F5" s="1613"/>
      <c r="G5" s="1613"/>
      <c r="H5" s="1613"/>
      <c r="I5" s="1613"/>
      <c r="J5" s="1614"/>
      <c r="K5" s="1287"/>
      <c r="L5" s="1287"/>
      <c r="M5" s="1287"/>
      <c r="N5" s="1287"/>
      <c r="O5" s="1287"/>
      <c r="P5" s="1287"/>
      <c r="Q5" s="1287"/>
      <c r="R5" s="1287"/>
      <c r="S5" s="1287"/>
      <c r="T5" s="1287"/>
      <c r="U5" s="1287"/>
      <c r="V5" s="1287"/>
      <c r="W5" s="1287"/>
      <c r="X5" s="1287"/>
      <c r="Y5" s="1287"/>
      <c r="Z5" s="1287"/>
      <c r="AA5" s="1287"/>
      <c r="AB5" s="1287"/>
      <c r="AC5" s="1287"/>
      <c r="AD5" s="1038"/>
      <c r="AE5" s="1038"/>
      <c r="AF5" s="1038"/>
      <c r="AG5" s="1038"/>
      <c r="AH5" s="1038"/>
      <c r="AI5" s="1038"/>
      <c r="AJ5" s="1038"/>
      <c r="AK5" s="1038"/>
      <c r="AL5" s="1038"/>
      <c r="AM5" s="1038"/>
      <c r="AN5" s="1038"/>
      <c r="AO5" s="1038"/>
      <c r="AP5" s="1038"/>
      <c r="AQ5" s="1038"/>
      <c r="AR5" s="1038"/>
      <c r="AS5" s="1038"/>
      <c r="AT5" s="1038"/>
      <c r="AU5" s="1038"/>
      <c r="AV5" s="1038"/>
      <c r="AW5" s="1038"/>
      <c r="AX5" s="1038"/>
      <c r="AY5" s="1038"/>
      <c r="AZ5" s="1038"/>
      <c r="BA5" s="1038"/>
      <c r="BB5" s="1038"/>
      <c r="BC5" s="1038"/>
      <c r="BD5" s="1038"/>
      <c r="BE5" s="1038"/>
    </row>
    <row r="6" spans="1:57" x14ac:dyDescent="0.25">
      <c r="A6" s="1287"/>
      <c r="B6" s="1380"/>
      <c r="C6" s="1380"/>
      <c r="D6" s="1380"/>
      <c r="E6" s="1380"/>
      <c r="F6" s="1380"/>
      <c r="G6" s="1380"/>
      <c r="H6" s="1380"/>
      <c r="I6" s="1380"/>
      <c r="J6" s="1380"/>
      <c r="K6" s="1287"/>
      <c r="L6" s="1287"/>
      <c r="M6" s="1287"/>
      <c r="N6" s="1287"/>
      <c r="O6" s="1287"/>
      <c r="P6" s="1287"/>
      <c r="Q6" s="1287"/>
      <c r="R6" s="1287"/>
      <c r="S6" s="1287"/>
      <c r="T6" s="1287"/>
      <c r="U6" s="1287"/>
      <c r="V6" s="1287"/>
      <c r="W6" s="1287"/>
      <c r="X6" s="1287"/>
      <c r="Y6" s="1287"/>
      <c r="Z6" s="1287"/>
      <c r="AA6" s="1287"/>
      <c r="AB6" s="1287"/>
      <c r="AC6" s="1287"/>
      <c r="AD6" s="1038"/>
      <c r="AE6" s="1038"/>
      <c r="AF6" s="1038"/>
      <c r="AG6" s="1038"/>
      <c r="AH6" s="1038"/>
      <c r="AI6" s="1038"/>
      <c r="AJ6" s="1038"/>
      <c r="AK6" s="1038"/>
      <c r="AL6" s="1038"/>
      <c r="AM6" s="1038"/>
      <c r="AN6" s="1038"/>
      <c r="AO6" s="1038"/>
      <c r="AP6" s="1038"/>
      <c r="AQ6" s="1038"/>
      <c r="AR6" s="1038"/>
      <c r="AS6" s="1038"/>
      <c r="AT6" s="1038"/>
      <c r="AU6" s="1038"/>
      <c r="AV6" s="1038"/>
      <c r="AW6" s="1038"/>
      <c r="AX6" s="1038"/>
      <c r="AY6" s="1038"/>
      <c r="AZ6" s="1038"/>
      <c r="BA6" s="1038"/>
      <c r="BB6" s="1038"/>
      <c r="BC6" s="1038"/>
      <c r="BD6" s="1038"/>
      <c r="BE6" s="1038"/>
    </row>
    <row r="7" spans="1:57" ht="21" x14ac:dyDescent="0.25">
      <c r="A7" s="1287"/>
      <c r="B7" s="1381" t="s">
        <v>1049</v>
      </c>
      <c r="C7" s="1380"/>
      <c r="D7" s="1380"/>
      <c r="E7" s="1380"/>
      <c r="F7" s="1380"/>
      <c r="G7" s="1380"/>
      <c r="H7" s="1380"/>
      <c r="I7" s="1380"/>
      <c r="J7" s="1380"/>
      <c r="K7" s="1287"/>
      <c r="L7" s="1287"/>
      <c r="M7" s="1287"/>
      <c r="N7" s="1287"/>
      <c r="O7" s="1287"/>
      <c r="P7" s="1287"/>
      <c r="Q7" s="1287"/>
      <c r="R7" s="1287"/>
      <c r="S7" s="1287"/>
      <c r="T7" s="1287"/>
      <c r="U7" s="1287"/>
      <c r="V7" s="1287"/>
      <c r="W7" s="1287"/>
      <c r="X7" s="1287"/>
      <c r="Y7" s="1287"/>
      <c r="Z7" s="1287"/>
      <c r="AA7" s="1287"/>
      <c r="AB7" s="1287"/>
      <c r="AC7" s="1287"/>
      <c r="AD7" s="1038"/>
      <c r="AE7" s="1038"/>
      <c r="AF7" s="1038"/>
      <c r="AG7" s="1038"/>
      <c r="AH7" s="1038"/>
      <c r="AI7" s="1038"/>
      <c r="AJ7" s="1038"/>
      <c r="AK7" s="1038"/>
      <c r="AL7" s="1038"/>
      <c r="AM7" s="1038"/>
      <c r="AN7" s="1038"/>
      <c r="AO7" s="1038"/>
      <c r="AP7" s="1038"/>
      <c r="AQ7" s="1038"/>
      <c r="AR7" s="1038"/>
      <c r="AS7" s="1038"/>
      <c r="AT7" s="1038"/>
      <c r="AU7" s="1038"/>
      <c r="AV7" s="1038"/>
      <c r="AW7" s="1038"/>
      <c r="AX7" s="1038"/>
      <c r="AY7" s="1038"/>
      <c r="AZ7" s="1038"/>
      <c r="BA7" s="1038"/>
      <c r="BB7" s="1038"/>
      <c r="BC7" s="1038"/>
      <c r="BD7" s="1038"/>
      <c r="BE7" s="1038"/>
    </row>
    <row r="8" spans="1:57" ht="15.6" x14ac:dyDescent="0.25">
      <c r="A8" s="1287"/>
      <c r="B8" s="1382" t="s">
        <v>232</v>
      </c>
      <c r="C8" s="1380"/>
      <c r="D8" s="1380"/>
      <c r="E8" s="1380"/>
      <c r="F8" s="1380"/>
      <c r="G8" s="1380"/>
      <c r="H8" s="1380"/>
      <c r="I8" s="1380"/>
      <c r="J8" s="1380"/>
      <c r="K8" s="1287"/>
      <c r="L8" s="1287"/>
      <c r="M8" s="1287"/>
      <c r="N8" s="1287"/>
      <c r="O8" s="1287"/>
      <c r="P8" s="1287"/>
      <c r="Q8" s="1287"/>
      <c r="R8" s="1287"/>
      <c r="S8" s="1287"/>
      <c r="T8" s="1287"/>
      <c r="U8" s="1287"/>
      <c r="V8" s="1287"/>
      <c r="W8" s="1287"/>
      <c r="X8" s="1287"/>
      <c r="Y8" s="1287"/>
      <c r="Z8" s="1287"/>
      <c r="AA8" s="1287"/>
      <c r="AB8" s="1287"/>
      <c r="AC8" s="1287"/>
      <c r="AD8" s="1038"/>
      <c r="AE8" s="1038"/>
      <c r="AF8" s="1038"/>
      <c r="AG8" s="1038"/>
      <c r="AH8" s="1038"/>
      <c r="AI8" s="1038"/>
      <c r="AJ8" s="1038"/>
      <c r="AK8" s="1038"/>
      <c r="AL8" s="1038"/>
      <c r="AM8" s="1038"/>
      <c r="AN8" s="1038"/>
      <c r="AO8" s="1038"/>
      <c r="AP8" s="1038"/>
      <c r="AQ8" s="1038"/>
      <c r="AR8" s="1038"/>
      <c r="AS8" s="1038"/>
      <c r="AT8" s="1038"/>
      <c r="AU8" s="1038"/>
      <c r="AV8" s="1038"/>
      <c r="AW8" s="1038"/>
      <c r="AX8" s="1038"/>
      <c r="AY8" s="1038"/>
      <c r="AZ8" s="1038"/>
      <c r="BA8" s="1038"/>
      <c r="BB8" s="1038"/>
      <c r="BC8" s="1038"/>
      <c r="BD8" s="1038"/>
      <c r="BE8" s="1038"/>
    </row>
    <row r="9" spans="1:57" x14ac:dyDescent="0.25">
      <c r="A9" s="1287"/>
      <c r="B9" s="1380"/>
      <c r="C9" s="1380"/>
      <c r="D9" s="1380"/>
      <c r="E9" s="1380"/>
      <c r="F9" s="1380"/>
      <c r="G9" s="1380"/>
      <c r="H9" s="1380"/>
      <c r="I9" s="1380"/>
      <c r="J9" s="1380"/>
      <c r="K9" s="1287"/>
      <c r="L9" s="1287"/>
      <c r="M9" s="1287"/>
      <c r="N9" s="1287"/>
      <c r="O9" s="1287"/>
      <c r="P9" s="1287"/>
      <c r="Q9" s="1287"/>
      <c r="R9" s="1287"/>
      <c r="S9" s="1287"/>
      <c r="T9" s="1287"/>
      <c r="U9" s="1287"/>
      <c r="V9" s="1287"/>
      <c r="W9" s="1287"/>
      <c r="X9" s="1287"/>
      <c r="Y9" s="1287"/>
      <c r="Z9" s="1287"/>
      <c r="AA9" s="1287"/>
      <c r="AB9" s="1287"/>
      <c r="AC9" s="1287"/>
      <c r="AD9" s="1038"/>
      <c r="AE9" s="1038"/>
      <c r="AF9" s="1038"/>
      <c r="AG9" s="1038"/>
      <c r="AH9" s="1038"/>
      <c r="AI9" s="1038"/>
      <c r="AJ9" s="1038"/>
      <c r="AK9" s="1038"/>
      <c r="AL9" s="1038"/>
      <c r="AM9" s="1038"/>
      <c r="AN9" s="1038"/>
      <c r="AO9" s="1038"/>
      <c r="AP9" s="1038"/>
      <c r="AQ9" s="1038"/>
      <c r="AR9" s="1038"/>
      <c r="AS9" s="1038"/>
      <c r="AT9" s="1038"/>
      <c r="AU9" s="1038"/>
      <c r="AV9" s="1038"/>
      <c r="AW9" s="1038"/>
      <c r="AX9" s="1038"/>
      <c r="AY9" s="1038"/>
      <c r="AZ9" s="1038"/>
      <c r="BA9" s="1038"/>
      <c r="BB9" s="1038"/>
      <c r="BC9" s="1038"/>
      <c r="BD9" s="1038"/>
      <c r="BE9" s="1038"/>
    </row>
    <row r="10" spans="1:57" x14ac:dyDescent="0.25">
      <c r="A10" s="1287"/>
      <c r="B10" s="1380"/>
      <c r="C10" s="1380"/>
      <c r="D10" s="1380"/>
      <c r="E10" s="1380"/>
      <c r="F10" s="1380"/>
      <c r="G10" s="1380"/>
      <c r="H10" s="1380"/>
      <c r="I10" s="1380"/>
      <c r="J10" s="1380"/>
      <c r="K10" s="1287"/>
      <c r="L10" s="1287"/>
      <c r="M10" s="1287"/>
      <c r="N10" s="1287"/>
      <c r="O10" s="1287"/>
      <c r="P10" s="1287"/>
      <c r="Q10" s="1287"/>
      <c r="R10" s="1287"/>
      <c r="S10" s="1287"/>
      <c r="T10" s="1287"/>
      <c r="U10" s="1287"/>
      <c r="V10" s="1287"/>
      <c r="W10" s="1287"/>
      <c r="X10" s="1287"/>
      <c r="Y10" s="1287"/>
      <c r="Z10" s="1287"/>
      <c r="AA10" s="1287"/>
      <c r="AB10" s="1287"/>
      <c r="AC10" s="1287"/>
      <c r="AD10" s="1038"/>
      <c r="AE10" s="1038"/>
      <c r="AF10" s="1038"/>
      <c r="AG10" s="1038"/>
      <c r="AH10" s="1038"/>
      <c r="AI10" s="1038"/>
      <c r="AJ10" s="1038"/>
      <c r="AK10" s="1038"/>
      <c r="AL10" s="1038"/>
      <c r="AM10" s="1038"/>
      <c r="AN10" s="1038"/>
      <c r="AO10" s="1038"/>
      <c r="AP10" s="1038"/>
      <c r="AQ10" s="1038"/>
      <c r="AR10" s="1038"/>
      <c r="AS10" s="1038"/>
      <c r="AT10" s="1038"/>
      <c r="AU10" s="1038"/>
      <c r="AV10" s="1038"/>
      <c r="AW10" s="1038"/>
      <c r="AX10" s="1038"/>
      <c r="AY10" s="1038"/>
      <c r="AZ10" s="1038"/>
      <c r="BA10" s="1038"/>
      <c r="BB10" s="1038"/>
      <c r="BC10" s="1038"/>
      <c r="BD10" s="1038"/>
      <c r="BE10" s="1038"/>
    </row>
    <row r="11" spans="1:57" ht="15.6" x14ac:dyDescent="0.25">
      <c r="A11" s="1287"/>
      <c r="B11" s="1382" t="s">
        <v>233</v>
      </c>
      <c r="C11" s="1380"/>
      <c r="D11" s="1380"/>
      <c r="E11" s="1380"/>
      <c r="F11" s="1380"/>
      <c r="G11" s="1380"/>
      <c r="H11" s="1380"/>
      <c r="I11" s="1380"/>
      <c r="J11" s="1380"/>
      <c r="K11" s="1287"/>
      <c r="L11" s="1287"/>
      <c r="M11" s="1287"/>
      <c r="N11" s="1287"/>
      <c r="O11" s="1287"/>
      <c r="P11" s="1287"/>
      <c r="Q11" s="1287"/>
      <c r="R11" s="1287"/>
      <c r="S11" s="1287"/>
      <c r="T11" s="1287"/>
      <c r="U11" s="1287"/>
      <c r="V11" s="1287"/>
      <c r="W11" s="1287"/>
      <c r="X11" s="1287"/>
      <c r="Y11" s="1287"/>
      <c r="Z11" s="1287"/>
      <c r="AA11" s="1287"/>
      <c r="AB11" s="1287"/>
      <c r="AC11" s="1287"/>
      <c r="AD11" s="1038"/>
      <c r="AE11" s="1038"/>
      <c r="AF11" s="1038"/>
      <c r="AG11" s="1038"/>
      <c r="AH11" s="1038"/>
      <c r="AI11" s="1038"/>
      <c r="AJ11" s="1038"/>
      <c r="AK11" s="1038"/>
      <c r="AL11" s="1038"/>
      <c r="AM11" s="1038"/>
      <c r="AN11" s="1038"/>
      <c r="AO11" s="1038"/>
      <c r="AP11" s="1038"/>
      <c r="AQ11" s="1038"/>
      <c r="AR11" s="1038"/>
      <c r="AS11" s="1038"/>
      <c r="AT11" s="1038"/>
      <c r="AU11" s="1038"/>
      <c r="AV11" s="1038"/>
      <c r="AW11" s="1038"/>
      <c r="AX11" s="1038"/>
      <c r="AY11" s="1038"/>
      <c r="AZ11" s="1038"/>
      <c r="BA11" s="1038"/>
      <c r="BB11" s="1038"/>
      <c r="BC11" s="1038"/>
      <c r="BD11" s="1038"/>
      <c r="BE11" s="1038"/>
    </row>
    <row r="12" spans="1:57" x14ac:dyDescent="0.25">
      <c r="A12" s="1287"/>
      <c r="B12" s="1380"/>
      <c r="C12" s="1380"/>
      <c r="D12" s="1380"/>
      <c r="E12" s="1380"/>
      <c r="F12" s="1380"/>
      <c r="G12" s="1380"/>
      <c r="H12" s="1380"/>
      <c r="I12" s="1380"/>
      <c r="J12" s="1380"/>
      <c r="K12" s="1287"/>
      <c r="L12" s="1287"/>
      <c r="M12" s="1287"/>
      <c r="N12" s="1287"/>
      <c r="O12" s="1287"/>
      <c r="P12" s="1287"/>
      <c r="Q12" s="1287"/>
      <c r="R12" s="1287"/>
      <c r="S12" s="1287"/>
      <c r="T12" s="1287"/>
      <c r="U12" s="1287"/>
      <c r="V12" s="1287"/>
      <c r="W12" s="1287"/>
      <c r="X12" s="1287"/>
      <c r="Y12" s="1287"/>
      <c r="Z12" s="1287"/>
      <c r="AA12" s="1287"/>
      <c r="AB12" s="1287"/>
      <c r="AC12" s="1287"/>
      <c r="AD12" s="1038"/>
      <c r="AE12" s="1038"/>
      <c r="AF12" s="1038"/>
      <c r="AG12" s="1038"/>
      <c r="AH12" s="1038"/>
      <c r="AI12" s="1038"/>
      <c r="AJ12" s="1038"/>
      <c r="AK12" s="1038"/>
      <c r="AL12" s="1038"/>
      <c r="AM12" s="1038"/>
      <c r="AN12" s="1038"/>
      <c r="AO12" s="1038"/>
      <c r="AP12" s="1038"/>
      <c r="AQ12" s="1038"/>
      <c r="AR12" s="1038"/>
      <c r="AS12" s="1038"/>
      <c r="AT12" s="1038"/>
      <c r="AU12" s="1038"/>
      <c r="AV12" s="1038"/>
      <c r="AW12" s="1038"/>
      <c r="AX12" s="1038"/>
      <c r="AY12" s="1038"/>
      <c r="AZ12" s="1038"/>
      <c r="BA12" s="1038"/>
      <c r="BB12" s="1038"/>
      <c r="BC12" s="1038"/>
      <c r="BD12" s="1038"/>
      <c r="BE12" s="1038"/>
    </row>
    <row r="13" spans="1:57" x14ac:dyDescent="0.25">
      <c r="A13" s="1287"/>
      <c r="B13" s="1380"/>
      <c r="C13" s="1380"/>
      <c r="D13" s="1380"/>
      <c r="E13" s="1380"/>
      <c r="F13" s="1380"/>
      <c r="G13" s="1380"/>
      <c r="H13" s="1380"/>
      <c r="I13" s="1380"/>
      <c r="J13" s="1380"/>
      <c r="K13" s="1287"/>
      <c r="L13" s="1287"/>
      <c r="M13" s="1287"/>
      <c r="N13" s="1287"/>
      <c r="O13" s="1287"/>
      <c r="P13" s="1287"/>
      <c r="Q13" s="1287"/>
      <c r="R13" s="1287"/>
      <c r="S13" s="1287"/>
      <c r="T13" s="1287"/>
      <c r="U13" s="1287"/>
      <c r="V13" s="1287"/>
      <c r="W13" s="1287"/>
      <c r="X13" s="1287"/>
      <c r="Y13" s="1287"/>
      <c r="Z13" s="1287"/>
      <c r="AA13" s="1287"/>
      <c r="AB13" s="1287"/>
      <c r="AC13" s="1287"/>
      <c r="AD13" s="1038"/>
      <c r="AE13" s="1038"/>
      <c r="AF13" s="1038"/>
      <c r="AG13" s="1038"/>
      <c r="AH13" s="1038"/>
      <c r="AI13" s="1038"/>
      <c r="AJ13" s="1038"/>
      <c r="AK13" s="1038"/>
      <c r="AL13" s="1038"/>
      <c r="AM13" s="1038"/>
      <c r="AN13" s="1038"/>
      <c r="AO13" s="1038"/>
      <c r="AP13" s="1038"/>
      <c r="AQ13" s="1038"/>
      <c r="AR13" s="1038"/>
      <c r="AS13" s="1038"/>
      <c r="AT13" s="1038"/>
      <c r="AU13" s="1038"/>
      <c r="AV13" s="1038"/>
      <c r="AW13" s="1038"/>
      <c r="AX13" s="1038"/>
      <c r="AY13" s="1038"/>
      <c r="AZ13" s="1038"/>
      <c r="BA13" s="1038"/>
      <c r="BB13" s="1038"/>
      <c r="BC13" s="1038"/>
      <c r="BD13" s="1038"/>
      <c r="BE13" s="1038"/>
    </row>
    <row r="14" spans="1:57" x14ac:dyDescent="0.25">
      <c r="A14" s="1287"/>
      <c r="B14" s="1380"/>
      <c r="C14" s="1380"/>
      <c r="D14" s="1380"/>
      <c r="E14" s="1380"/>
      <c r="F14" s="1380"/>
      <c r="G14" s="1380"/>
      <c r="H14" s="1380"/>
      <c r="I14" s="1380"/>
      <c r="J14" s="1380"/>
      <c r="K14" s="1287"/>
      <c r="L14" s="1287"/>
      <c r="M14" s="1287"/>
      <c r="N14" s="1287"/>
      <c r="O14" s="1287"/>
      <c r="P14" s="1287"/>
      <c r="Q14" s="1287"/>
      <c r="R14" s="1287"/>
      <c r="S14" s="1287"/>
      <c r="T14" s="1287"/>
      <c r="U14" s="1287"/>
      <c r="V14" s="1287"/>
      <c r="W14" s="1287"/>
      <c r="X14" s="1287"/>
      <c r="Y14" s="1287"/>
      <c r="Z14" s="1287"/>
      <c r="AA14" s="1287"/>
      <c r="AB14" s="1287"/>
      <c r="AC14" s="1287"/>
      <c r="AD14" s="1038"/>
      <c r="AE14" s="1038"/>
      <c r="AF14" s="1038"/>
      <c r="AG14" s="1038"/>
      <c r="AH14" s="1038"/>
      <c r="AI14" s="1038"/>
      <c r="AJ14" s="1038"/>
      <c r="AK14" s="1038"/>
      <c r="AL14" s="1038"/>
      <c r="AM14" s="1038"/>
      <c r="AN14" s="1038"/>
      <c r="AO14" s="1038"/>
      <c r="AP14" s="1038"/>
      <c r="AQ14" s="1038"/>
      <c r="AR14" s="1038"/>
      <c r="AS14" s="1038"/>
      <c r="AT14" s="1038"/>
      <c r="AU14" s="1038"/>
      <c r="AV14" s="1038"/>
      <c r="AW14" s="1038"/>
      <c r="AX14" s="1038"/>
      <c r="AY14" s="1038"/>
      <c r="AZ14" s="1038"/>
      <c r="BA14" s="1038"/>
      <c r="BB14" s="1038"/>
      <c r="BC14" s="1038"/>
      <c r="BD14" s="1038"/>
      <c r="BE14" s="1038"/>
    </row>
    <row r="15" spans="1:57" ht="13.8" x14ac:dyDescent="0.25">
      <c r="A15" s="1287"/>
      <c r="B15" s="1383" t="s">
        <v>408</v>
      </c>
      <c r="C15" s="1380"/>
      <c r="D15" s="1380"/>
      <c r="E15" s="1380"/>
      <c r="F15" s="1380"/>
      <c r="G15" s="1380"/>
      <c r="H15" s="1380"/>
      <c r="I15" s="1380"/>
      <c r="J15" s="1380"/>
      <c r="K15" s="1287"/>
      <c r="L15" s="1287"/>
      <c r="M15" s="1287"/>
      <c r="N15" s="1287"/>
      <c r="O15" s="1287"/>
      <c r="P15" s="1287"/>
      <c r="Q15" s="1287"/>
      <c r="R15" s="1287"/>
      <c r="S15" s="1287"/>
      <c r="T15" s="1287"/>
      <c r="U15" s="1287"/>
      <c r="V15" s="1287"/>
      <c r="W15" s="1287"/>
      <c r="X15" s="1287"/>
      <c r="Y15" s="1287"/>
      <c r="Z15" s="1287"/>
      <c r="AA15" s="1287"/>
      <c r="AB15" s="1287"/>
      <c r="AC15" s="1287"/>
      <c r="AD15" s="1038"/>
      <c r="AE15" s="1038"/>
      <c r="AF15" s="1038"/>
      <c r="AG15" s="1038"/>
      <c r="AH15" s="1038"/>
      <c r="AI15" s="1038"/>
      <c r="AJ15" s="1038"/>
      <c r="AK15" s="1038"/>
      <c r="AL15" s="1038"/>
      <c r="AM15" s="1038"/>
      <c r="AN15" s="1038"/>
      <c r="AO15" s="1038"/>
      <c r="AP15" s="1038"/>
      <c r="AQ15" s="1038"/>
      <c r="AR15" s="1038"/>
      <c r="AS15" s="1038"/>
      <c r="AT15" s="1038"/>
      <c r="AU15" s="1038"/>
      <c r="AV15" s="1038"/>
      <c r="AW15" s="1038"/>
      <c r="AX15" s="1038"/>
      <c r="AY15" s="1038"/>
      <c r="AZ15" s="1038"/>
      <c r="BA15" s="1038"/>
      <c r="BB15" s="1038"/>
      <c r="BC15" s="1038"/>
      <c r="BD15" s="1038"/>
      <c r="BE15" s="1038"/>
    </row>
    <row r="16" spans="1:57" ht="13.8" x14ac:dyDescent="0.25">
      <c r="A16" s="1287"/>
      <c r="B16" s="1383" t="s">
        <v>419</v>
      </c>
      <c r="C16" s="1380"/>
      <c r="D16" s="1380"/>
      <c r="E16" s="1380"/>
      <c r="F16" s="1380"/>
      <c r="G16" s="1380"/>
      <c r="H16" s="1380"/>
      <c r="I16" s="1380"/>
      <c r="J16" s="1380"/>
      <c r="K16" s="1287"/>
      <c r="L16" s="1287"/>
      <c r="M16" s="1287"/>
      <c r="N16" s="1287"/>
      <c r="O16" s="1287"/>
      <c r="P16" s="1287"/>
      <c r="Q16" s="1287"/>
      <c r="R16" s="1287"/>
      <c r="S16" s="1287"/>
      <c r="T16" s="1287"/>
      <c r="U16" s="1287"/>
      <c r="V16" s="1287"/>
      <c r="W16" s="1287"/>
      <c r="X16" s="1287"/>
      <c r="Y16" s="1287"/>
      <c r="Z16" s="1287"/>
      <c r="AA16" s="1287"/>
      <c r="AB16" s="1287"/>
      <c r="AC16" s="1287"/>
      <c r="AD16" s="1038"/>
      <c r="AE16" s="1038"/>
      <c r="AF16" s="1038"/>
      <c r="AG16" s="1038"/>
      <c r="AH16" s="1038"/>
      <c r="AI16" s="1038"/>
      <c r="AJ16" s="1038"/>
      <c r="AK16" s="1038"/>
      <c r="AL16" s="1038"/>
      <c r="AM16" s="1038"/>
      <c r="AN16" s="1038"/>
      <c r="AO16" s="1038"/>
      <c r="AP16" s="1038"/>
      <c r="AQ16" s="1038"/>
      <c r="AR16" s="1038"/>
      <c r="AS16" s="1038"/>
      <c r="AT16" s="1038"/>
      <c r="AU16" s="1038"/>
      <c r="AV16" s="1038"/>
      <c r="AW16" s="1038"/>
      <c r="AX16" s="1038"/>
      <c r="AY16" s="1038"/>
      <c r="AZ16" s="1038"/>
      <c r="BA16" s="1038"/>
      <c r="BB16" s="1038"/>
      <c r="BC16" s="1038"/>
      <c r="BD16" s="1038"/>
      <c r="BE16" s="1038"/>
    </row>
    <row r="17" spans="1:57" ht="13.8" x14ac:dyDescent="0.25">
      <c r="A17" s="1287"/>
      <c r="B17" s="1383" t="s">
        <v>423</v>
      </c>
      <c r="C17" s="1380"/>
      <c r="D17" s="1380"/>
      <c r="E17" s="1380"/>
      <c r="F17" s="1380"/>
      <c r="G17" s="1380"/>
      <c r="H17" s="1380"/>
      <c r="I17" s="1380"/>
      <c r="J17" s="1380"/>
      <c r="K17" s="1287"/>
      <c r="L17" s="1287"/>
      <c r="M17" s="1287"/>
      <c r="N17" s="1287"/>
      <c r="O17" s="1287"/>
      <c r="P17" s="1287"/>
      <c r="Q17" s="1287"/>
      <c r="R17" s="1287"/>
      <c r="S17" s="1287"/>
      <c r="T17" s="1287"/>
      <c r="U17" s="1287"/>
      <c r="V17" s="1287"/>
      <c r="W17" s="1287"/>
      <c r="X17" s="1287"/>
      <c r="Y17" s="1287"/>
      <c r="Z17" s="1287"/>
      <c r="AA17" s="1287"/>
      <c r="AB17" s="1287"/>
      <c r="AC17" s="1287"/>
      <c r="AD17" s="1038"/>
      <c r="AE17" s="1038"/>
      <c r="AF17" s="1038"/>
      <c r="AG17" s="1038"/>
      <c r="AH17" s="1038"/>
      <c r="AI17" s="1038"/>
      <c r="AJ17" s="1038"/>
      <c r="AK17" s="1038"/>
      <c r="AL17" s="1038"/>
      <c r="AM17" s="1038"/>
      <c r="AN17" s="1038"/>
      <c r="AO17" s="1038"/>
      <c r="AP17" s="1038"/>
      <c r="AQ17" s="1038"/>
      <c r="AR17" s="1038"/>
      <c r="AS17" s="1038"/>
      <c r="AT17" s="1038"/>
      <c r="AU17" s="1038"/>
      <c r="AV17" s="1038"/>
      <c r="AW17" s="1038"/>
      <c r="AX17" s="1038"/>
      <c r="AY17" s="1038"/>
      <c r="AZ17" s="1038"/>
      <c r="BA17" s="1038"/>
      <c r="BB17" s="1038"/>
      <c r="BC17" s="1038"/>
      <c r="BD17" s="1038"/>
      <c r="BE17" s="1038"/>
    </row>
    <row r="18" spans="1:57" ht="15.6" x14ac:dyDescent="0.25">
      <c r="A18" s="1287"/>
      <c r="B18" s="1294"/>
      <c r="C18" s="1287"/>
      <c r="D18" s="1380"/>
      <c r="E18" s="1287"/>
      <c r="F18" s="1287"/>
      <c r="G18" s="1287"/>
      <c r="H18" s="1287"/>
      <c r="I18" s="1287"/>
      <c r="J18" s="1287"/>
      <c r="K18" s="1287"/>
      <c r="L18" s="1287"/>
      <c r="M18" s="1287"/>
      <c r="N18" s="1287"/>
      <c r="O18" s="1287"/>
      <c r="P18" s="1287"/>
      <c r="Q18" s="1287"/>
      <c r="R18" s="1287"/>
      <c r="S18" s="1287"/>
      <c r="T18" s="1287"/>
      <c r="U18" s="1287"/>
      <c r="V18" s="1287"/>
      <c r="W18" s="1287"/>
      <c r="X18" s="1287"/>
      <c r="Y18" s="1287"/>
      <c r="Z18" s="1287"/>
      <c r="AA18" s="1287"/>
      <c r="AB18" s="1287"/>
      <c r="AC18" s="1287"/>
      <c r="AD18" s="1038"/>
      <c r="AE18" s="1038"/>
      <c r="AF18" s="1038"/>
      <c r="AG18" s="1038"/>
      <c r="AH18" s="1038"/>
      <c r="AI18" s="1038"/>
      <c r="AJ18" s="1038"/>
      <c r="AK18" s="1038"/>
      <c r="AL18" s="1038"/>
      <c r="AM18" s="1038"/>
      <c r="AN18" s="1038"/>
      <c r="AO18" s="1038"/>
      <c r="AP18" s="1038"/>
      <c r="AQ18" s="1038"/>
      <c r="AR18" s="1038"/>
      <c r="AS18" s="1038"/>
      <c r="AT18" s="1038"/>
      <c r="AU18" s="1038"/>
      <c r="AV18" s="1038"/>
      <c r="AW18" s="1038"/>
      <c r="AX18" s="1038"/>
      <c r="AY18" s="1038"/>
      <c r="AZ18" s="1038"/>
      <c r="BA18" s="1038"/>
      <c r="BB18" s="1038"/>
      <c r="BC18" s="1038"/>
      <c r="BD18" s="1038"/>
      <c r="BE18" s="1038"/>
    </row>
    <row r="19" spans="1:57" ht="13.8" thickBot="1" x14ac:dyDescent="0.3">
      <c r="A19" s="1287"/>
      <c r="B19" s="1287"/>
      <c r="C19" s="1287"/>
      <c r="D19" s="1287"/>
      <c r="E19" s="1287"/>
      <c r="F19" s="1287"/>
      <c r="G19" s="1287"/>
      <c r="H19" s="1287"/>
      <c r="I19" s="1287"/>
      <c r="J19" s="1287"/>
      <c r="K19" s="1287"/>
      <c r="L19" s="1287"/>
      <c r="M19" s="1287"/>
      <c r="N19" s="1287"/>
      <c r="O19" s="1287"/>
      <c r="P19" s="1287"/>
      <c r="Q19" s="1287"/>
      <c r="R19" s="1287"/>
      <c r="S19" s="1287"/>
      <c r="T19" s="1287"/>
      <c r="U19" s="1287"/>
      <c r="V19" s="1287"/>
      <c r="W19" s="1287"/>
      <c r="X19" s="1287"/>
      <c r="Y19" s="1287"/>
      <c r="Z19" s="1287"/>
      <c r="AA19" s="1287"/>
      <c r="AB19" s="1287"/>
      <c r="AC19" s="1287"/>
      <c r="AD19" s="1038"/>
      <c r="AE19" s="1038"/>
      <c r="AF19" s="1038"/>
      <c r="AG19" s="1038"/>
      <c r="AH19" s="1038"/>
      <c r="AI19" s="1038"/>
      <c r="AJ19" s="1038"/>
      <c r="AK19" s="1038"/>
      <c r="AL19" s="1038"/>
      <c r="AM19" s="1038"/>
      <c r="AN19" s="1038"/>
      <c r="AO19" s="1038"/>
      <c r="AP19" s="1038"/>
      <c r="AQ19" s="1038"/>
      <c r="AR19" s="1038"/>
      <c r="AS19" s="1038"/>
      <c r="AT19" s="1038"/>
      <c r="AU19" s="1038"/>
      <c r="AV19" s="1038"/>
      <c r="AW19" s="1038"/>
      <c r="AX19" s="1038"/>
      <c r="AY19" s="1038"/>
      <c r="AZ19" s="1038"/>
      <c r="BA19" s="1038"/>
      <c r="BB19" s="1038"/>
      <c r="BC19" s="1038"/>
      <c r="BD19" s="1038"/>
      <c r="BE19" s="1038"/>
    </row>
    <row r="20" spans="1:57" ht="44.25" customHeight="1" thickTop="1" x14ac:dyDescent="0.25">
      <c r="A20" s="1287"/>
      <c r="B20" s="1384" t="s">
        <v>407</v>
      </c>
      <c r="C20" s="1385"/>
      <c r="D20" s="1385"/>
      <c r="E20" s="1385"/>
      <c r="F20" s="1386"/>
      <c r="G20" s="1287"/>
      <c r="H20" s="1619" t="s">
        <v>1331</v>
      </c>
      <c r="I20" s="1620"/>
      <c r="J20" s="1620"/>
      <c r="K20" s="1621"/>
      <c r="L20" s="1287"/>
      <c r="M20" s="1287"/>
      <c r="N20" s="1287"/>
      <c r="O20" s="1287"/>
      <c r="P20" s="1287"/>
      <c r="Q20" s="1287"/>
      <c r="R20" s="1287"/>
      <c r="S20" s="1287"/>
      <c r="T20" s="1287"/>
      <c r="U20" s="1287"/>
      <c r="V20" s="1287"/>
      <c r="W20" s="1287"/>
      <c r="X20" s="1287"/>
      <c r="Y20" s="1287"/>
      <c r="Z20" s="1287"/>
      <c r="AA20" s="1287"/>
      <c r="AB20" s="1287"/>
      <c r="AC20" s="1287"/>
      <c r="AD20" s="1038"/>
      <c r="AE20" s="1038"/>
      <c r="AF20" s="1038"/>
      <c r="AG20" s="1038"/>
      <c r="AH20" s="1038"/>
      <c r="AI20" s="1038"/>
      <c r="AJ20" s="1038"/>
      <c r="AK20" s="1038"/>
      <c r="AL20" s="1038"/>
      <c r="AM20" s="1038"/>
      <c r="AN20" s="1038"/>
      <c r="AO20" s="1038"/>
      <c r="AP20" s="1038"/>
      <c r="AQ20" s="1038"/>
      <c r="AR20" s="1038"/>
      <c r="AS20" s="1038"/>
      <c r="AT20" s="1038"/>
      <c r="AU20" s="1038"/>
      <c r="AV20" s="1038"/>
      <c r="AW20" s="1038"/>
      <c r="AX20" s="1038"/>
      <c r="AY20" s="1038"/>
      <c r="AZ20" s="1038"/>
      <c r="BA20" s="1038"/>
      <c r="BB20" s="1038"/>
      <c r="BC20" s="1038"/>
      <c r="BD20" s="1038"/>
      <c r="BE20" s="1038"/>
    </row>
    <row r="21" spans="1:57" ht="13.8" x14ac:dyDescent="0.25">
      <c r="A21" s="1287"/>
      <c r="B21" s="1298" t="s">
        <v>1324</v>
      </c>
      <c r="C21" s="480">
        <f ca="1">Feed_CO2_MTpY</f>
        <v>4100</v>
      </c>
      <c r="D21" s="1622" t="s">
        <v>409</v>
      </c>
      <c r="E21" s="1622"/>
      <c r="F21" s="1623"/>
      <c r="G21" s="1287"/>
      <c r="H21" s="1615" t="s">
        <v>82</v>
      </c>
      <c r="I21" s="1616"/>
      <c r="J21" s="1048"/>
      <c r="K21" s="1049"/>
      <c r="L21" s="1287"/>
      <c r="M21" s="1287"/>
      <c r="N21" s="1287"/>
      <c r="O21" s="1287"/>
      <c r="P21" s="1287"/>
      <c r="Q21" s="1287"/>
      <c r="R21" s="1287"/>
      <c r="S21" s="1287"/>
      <c r="T21" s="1287"/>
      <c r="U21" s="1287"/>
      <c r="V21" s="1287"/>
      <c r="W21" s="1287"/>
      <c r="X21" s="1287"/>
      <c r="Y21" s="1287"/>
      <c r="Z21" s="1287"/>
      <c r="AA21" s="1287"/>
      <c r="AB21" s="1287"/>
      <c r="AC21" s="1287"/>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row>
    <row r="22" spans="1:57" ht="14.25" customHeight="1" x14ac:dyDescent="0.25">
      <c r="A22" s="1287"/>
      <c r="B22" s="1298" t="s">
        <v>1325</v>
      </c>
      <c r="C22" s="481">
        <f ca="1">Feed_CO2_kgpkgH2</f>
        <v>8.6623300401302146</v>
      </c>
      <c r="D22" s="1387"/>
      <c r="E22" s="1387"/>
      <c r="F22" s="1388"/>
      <c r="G22" s="1287"/>
      <c r="H22" s="1597" t="s">
        <v>1297</v>
      </c>
      <c r="I22" s="1594"/>
      <c r="J22" s="1051" t="e">
        <f>IF(CO2_Capture_Efficiency,SUM(D36,D37,D38),0)</f>
        <v>#REF!</v>
      </c>
      <c r="K22" s="1049"/>
      <c r="L22" s="1287"/>
      <c r="M22" s="1287"/>
      <c r="N22" s="1287"/>
      <c r="O22" s="1287"/>
      <c r="P22" s="1287"/>
      <c r="Q22" s="1287"/>
      <c r="R22" s="1287"/>
      <c r="S22" s="1287"/>
      <c r="T22" s="1287"/>
      <c r="U22" s="1287"/>
      <c r="V22" s="1287"/>
      <c r="W22" s="1287"/>
      <c r="X22" s="1287"/>
      <c r="Y22" s="1287"/>
      <c r="Z22" s="1287"/>
      <c r="AA22" s="1287"/>
      <c r="AB22" s="1287"/>
      <c r="AC22" s="1287"/>
      <c r="AD22" s="1038"/>
      <c r="AE22" s="1038"/>
      <c r="AF22" s="1038"/>
      <c r="AG22" s="1038"/>
      <c r="AH22" s="1038"/>
      <c r="AI22" s="1038"/>
      <c r="AJ22" s="1038"/>
      <c r="AK22" s="1038"/>
      <c r="AL22" s="1038"/>
      <c r="AM22" s="1038"/>
      <c r="AN22" s="1038"/>
      <c r="AO22" s="1038"/>
      <c r="AP22" s="1038"/>
      <c r="AQ22" s="1038"/>
      <c r="AR22" s="1038"/>
      <c r="AS22" s="1038"/>
      <c r="AT22" s="1038"/>
      <c r="AU22" s="1038"/>
      <c r="AV22" s="1038"/>
      <c r="AW22" s="1038"/>
      <c r="AX22" s="1038"/>
      <c r="AY22" s="1038"/>
      <c r="AZ22" s="1038"/>
      <c r="BA22" s="1038"/>
      <c r="BB22" s="1038"/>
      <c r="BC22" s="1038"/>
      <c r="BD22" s="1038"/>
      <c r="BE22" s="1038"/>
    </row>
    <row r="23" spans="1:57" ht="14.25" customHeight="1" x14ac:dyDescent="0.25">
      <c r="A23" s="1287"/>
      <c r="B23" s="1298" t="s">
        <v>1322</v>
      </c>
      <c r="C23" s="1432" t="e">
        <f ca="1">Feed_CO2_MTpY/365*CO2_Capture_Efficiency</f>
        <v>#REF!</v>
      </c>
      <c r="D23" s="1387"/>
      <c r="E23" s="1387"/>
      <c r="F23" s="1388"/>
      <c r="G23" s="1287"/>
      <c r="H23" s="1597" t="s">
        <v>1298</v>
      </c>
      <c r="I23" s="1594"/>
      <c r="J23" s="1051" t="e">
        <f>IF(CO2_Capture_Efficiency,D42,0)</f>
        <v>#REF!</v>
      </c>
      <c r="K23" s="1049"/>
      <c r="L23" s="1287"/>
      <c r="M23" s="1287"/>
      <c r="N23" s="1287"/>
      <c r="O23" s="1287"/>
      <c r="P23" s="1287"/>
      <c r="Q23" s="1287"/>
      <c r="R23" s="1287"/>
      <c r="S23" s="1287"/>
      <c r="T23" s="1287"/>
      <c r="U23" s="1287"/>
      <c r="V23" s="1287"/>
      <c r="W23" s="1287"/>
      <c r="X23" s="1287"/>
      <c r="Y23" s="1287"/>
      <c r="Z23" s="1287"/>
      <c r="AA23" s="1287"/>
      <c r="AB23" s="1287"/>
      <c r="AC23" s="1287"/>
      <c r="AD23" s="1038"/>
      <c r="AE23" s="1038"/>
      <c r="AF23" s="1038"/>
      <c r="AG23" s="1038"/>
      <c r="AH23" s="1038"/>
      <c r="AI23" s="1038"/>
      <c r="AJ23" s="1038"/>
      <c r="AK23" s="1038"/>
      <c r="AL23" s="1038"/>
      <c r="AM23" s="1038"/>
      <c r="AN23" s="1038"/>
      <c r="AO23" s="1038"/>
      <c r="AP23" s="1038"/>
      <c r="AQ23" s="1038"/>
      <c r="AR23" s="1038"/>
      <c r="AS23" s="1038"/>
      <c r="AT23" s="1038"/>
      <c r="AU23" s="1038"/>
      <c r="AV23" s="1038"/>
      <c r="AW23" s="1038"/>
      <c r="AX23" s="1038"/>
      <c r="AY23" s="1038"/>
      <c r="AZ23" s="1038"/>
      <c r="BA23" s="1038"/>
      <c r="BB23" s="1038"/>
      <c r="BC23" s="1038"/>
      <c r="BD23" s="1038"/>
      <c r="BE23" s="1038"/>
    </row>
    <row r="24" spans="1:57" ht="14.25" customHeight="1" x14ac:dyDescent="0.25">
      <c r="A24" s="1287"/>
      <c r="B24" s="1298" t="s">
        <v>1323</v>
      </c>
      <c r="C24" s="1042" t="e">
        <f ca="1">CO2_flowrate*365/1000000</f>
        <v>#REF!</v>
      </c>
      <c r="D24" s="1389"/>
      <c r="E24" s="1389"/>
      <c r="F24" s="1390"/>
      <c r="G24" s="1287"/>
      <c r="H24" s="1597" t="s">
        <v>1299</v>
      </c>
      <c r="I24" s="1594"/>
      <c r="J24" s="1051" t="e">
        <f>IF(CO2_Capture_Efficiency,SUM(D39,D41),0)</f>
        <v>#REF!</v>
      </c>
      <c r="K24" s="1049"/>
      <c r="L24" s="1287"/>
      <c r="M24" s="1287"/>
      <c r="N24" s="1287"/>
      <c r="O24" s="1287"/>
      <c r="P24" s="1287"/>
      <c r="Q24" s="1287"/>
      <c r="R24" s="1287"/>
      <c r="S24" s="1287"/>
      <c r="T24" s="1287"/>
      <c r="U24" s="1287"/>
      <c r="V24" s="1287"/>
      <c r="W24" s="1287"/>
      <c r="X24" s="1287"/>
      <c r="Y24" s="1287"/>
      <c r="Z24" s="1287"/>
      <c r="AA24" s="1287"/>
      <c r="AB24" s="1287"/>
      <c r="AC24" s="1287"/>
      <c r="AD24" s="1038"/>
      <c r="AE24" s="1038"/>
      <c r="AF24" s="1038"/>
      <c r="AG24" s="1038"/>
      <c r="AH24" s="1038"/>
      <c r="AI24" s="1038"/>
      <c r="AJ24" s="1038"/>
      <c r="AK24" s="1038"/>
      <c r="AL24" s="1038"/>
      <c r="AM24" s="1038"/>
      <c r="AN24" s="1038"/>
      <c r="AO24" s="1038"/>
      <c r="AP24" s="1038"/>
      <c r="AQ24" s="1038"/>
      <c r="AR24" s="1038"/>
      <c r="AS24" s="1038"/>
      <c r="AT24" s="1038"/>
      <c r="AU24" s="1038"/>
      <c r="AV24" s="1038"/>
      <c r="AW24" s="1038"/>
      <c r="AX24" s="1038"/>
      <c r="AY24" s="1038"/>
      <c r="AZ24" s="1038"/>
      <c r="BA24" s="1038"/>
      <c r="BB24" s="1038"/>
      <c r="BC24" s="1038"/>
      <c r="BD24" s="1038"/>
      <c r="BE24" s="1038"/>
    </row>
    <row r="25" spans="1:57" ht="13.8" x14ac:dyDescent="0.25">
      <c r="A25" s="1287"/>
      <c r="B25" s="1299" t="s">
        <v>421</v>
      </c>
      <c r="C25" s="506">
        <f ca="1">HLOOKUP(startup_year,INDIRECT(TMP_PriceTable),MATCH("Industrial Electricity",INDIRECT(Energy_Feed_List),0),FALSE)*VLOOKUP("kWh",CC_feedconversion,2,FALSE)</f>
        <v>7.7596976084681746E-2</v>
      </c>
      <c r="D25" s="1624" t="s">
        <v>422</v>
      </c>
      <c r="E25" s="1624"/>
      <c r="F25" s="1625"/>
      <c r="G25" s="1287"/>
      <c r="H25" s="1626" t="s">
        <v>1300</v>
      </c>
      <c r="I25" s="1627"/>
      <c r="J25" s="1051" t="e">
        <f>+D40</f>
        <v>#REF!</v>
      </c>
      <c r="K25" s="1050"/>
      <c r="L25" s="1287"/>
      <c r="M25" s="1391"/>
      <c r="N25" s="1287"/>
      <c r="O25" s="1287"/>
      <c r="P25" s="1287"/>
      <c r="Q25" s="1287"/>
      <c r="R25" s="1287"/>
      <c r="S25" s="1287"/>
      <c r="T25" s="1287"/>
      <c r="U25" s="1287"/>
      <c r="V25" s="1287"/>
      <c r="W25" s="1287"/>
      <c r="X25" s="1287"/>
      <c r="Y25" s="1287"/>
      <c r="Z25" s="1287"/>
      <c r="AA25" s="1287"/>
      <c r="AB25" s="1287"/>
      <c r="AC25" s="1287"/>
      <c r="AD25" s="1038"/>
      <c r="AE25" s="1038"/>
      <c r="AF25" s="1038"/>
      <c r="AG25" s="1038"/>
      <c r="AH25" s="1038"/>
      <c r="AI25" s="1038"/>
      <c r="AJ25" s="1038"/>
      <c r="AK25" s="1038"/>
      <c r="AL25" s="1038"/>
      <c r="AM25" s="1038"/>
      <c r="AN25" s="1038"/>
      <c r="AO25" s="1038"/>
      <c r="AP25" s="1038"/>
      <c r="AQ25" s="1038"/>
      <c r="AR25" s="1038"/>
      <c r="AS25" s="1038"/>
      <c r="AT25" s="1038"/>
      <c r="AU25" s="1038"/>
      <c r="AV25" s="1038"/>
      <c r="AW25" s="1038"/>
      <c r="AX25" s="1038"/>
      <c r="AY25" s="1038"/>
      <c r="AZ25" s="1038"/>
      <c r="BA25" s="1038"/>
      <c r="BB25" s="1038"/>
      <c r="BC25" s="1038"/>
      <c r="BD25" s="1038"/>
      <c r="BE25" s="1038"/>
    </row>
    <row r="26" spans="1:57" ht="14.4" thickBot="1" x14ac:dyDescent="0.3">
      <c r="A26" s="1287"/>
      <c r="B26" s="1300" t="s">
        <v>1326</v>
      </c>
      <c r="C26" s="1301" t="e">
        <f>IF(CO2_Capture_Efficiency,IF(C21=0,0,C58),0)</f>
        <v>#REF!</v>
      </c>
      <c r="D26" s="1617"/>
      <c r="E26" s="1617"/>
      <c r="F26" s="1618"/>
      <c r="G26" s="1287"/>
      <c r="H26" s="1626" t="s">
        <v>1315</v>
      </c>
      <c r="I26" s="1627"/>
      <c r="J26" s="1051" t="e">
        <f>+D43</f>
        <v>#REF!</v>
      </c>
      <c r="K26" s="1050"/>
      <c r="L26" s="1287"/>
      <c r="M26" s="1287"/>
      <c r="N26" s="1287"/>
      <c r="O26" s="1287"/>
      <c r="P26" s="1287"/>
      <c r="Q26" s="1287"/>
      <c r="R26" s="1287"/>
      <c r="S26" s="1287"/>
      <c r="T26" s="1287"/>
      <c r="U26" s="1287"/>
      <c r="V26" s="1287"/>
      <c r="W26" s="1287"/>
      <c r="X26" s="1287"/>
      <c r="Y26" s="1287"/>
      <c r="Z26" s="1287"/>
      <c r="AA26" s="1287"/>
      <c r="AB26" s="1287"/>
      <c r="AC26" s="1287"/>
      <c r="AD26" s="1038"/>
      <c r="AE26" s="1038"/>
      <c r="AF26" s="1038"/>
      <c r="AG26" s="1038"/>
      <c r="AH26" s="1038"/>
      <c r="AI26" s="1038"/>
      <c r="AJ26" s="1038"/>
      <c r="AK26" s="1038"/>
      <c r="AL26" s="1038"/>
      <c r="AM26" s="1038"/>
      <c r="AN26" s="1038"/>
      <c r="AO26" s="1038"/>
      <c r="AP26" s="1038"/>
      <c r="AQ26" s="1038"/>
      <c r="AR26" s="1038"/>
      <c r="AS26" s="1038"/>
      <c r="AT26" s="1038"/>
      <c r="AU26" s="1038"/>
      <c r="AV26" s="1038"/>
      <c r="AW26" s="1038"/>
      <c r="AX26" s="1038"/>
      <c r="AY26" s="1038"/>
      <c r="AZ26" s="1038"/>
      <c r="BA26" s="1038"/>
      <c r="BB26" s="1038"/>
      <c r="BC26" s="1038"/>
      <c r="BD26" s="1038"/>
      <c r="BE26" s="1038"/>
    </row>
    <row r="27" spans="1:57" ht="18.75" customHeight="1" thickBot="1" x14ac:dyDescent="0.3">
      <c r="A27" s="1287"/>
      <c r="B27" s="1287"/>
      <c r="C27" s="1287"/>
      <c r="D27" s="1287"/>
      <c r="E27" s="1287"/>
      <c r="F27" s="1287"/>
      <c r="G27" s="1287"/>
      <c r="H27" s="1602" t="s">
        <v>1316</v>
      </c>
      <c r="I27" s="1603"/>
      <c r="J27" s="1392" t="e">
        <f>+D44</f>
        <v>#REF!</v>
      </c>
      <c r="K27" s="1322"/>
      <c r="L27" s="1287"/>
      <c r="M27" s="1287"/>
      <c r="N27" s="1287"/>
      <c r="O27" s="1287"/>
      <c r="P27" s="1287"/>
      <c r="Q27" s="1287"/>
      <c r="R27" s="1287"/>
      <c r="S27" s="1287"/>
      <c r="T27" s="1287"/>
      <c r="U27" s="1287"/>
      <c r="V27" s="1287"/>
      <c r="W27" s="1287"/>
      <c r="X27" s="1287"/>
      <c r="Y27" s="1287"/>
      <c r="Z27" s="1287"/>
      <c r="AA27" s="1287"/>
      <c r="AB27" s="1287"/>
      <c r="AC27" s="1287"/>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row>
    <row r="28" spans="1:57" ht="18.600000000000001" thickTop="1" thickBot="1" x14ac:dyDescent="0.3">
      <c r="A28" s="1287"/>
      <c r="B28" s="1393" t="s">
        <v>408</v>
      </c>
      <c r="C28" s="1394"/>
      <c r="D28" s="1395"/>
      <c r="E28" s="1395"/>
      <c r="F28" s="1396"/>
      <c r="G28" s="1287"/>
      <c r="H28" s="1606" t="s">
        <v>1301</v>
      </c>
      <c r="I28" s="1607"/>
      <c r="J28" s="1323" t="e">
        <f>IF(CO2_Capture_Efficiency,SUM(J22:J27),0)</f>
        <v>#REF!</v>
      </c>
      <c r="K28" s="1321" t="str">
        <f>"Total ("&amp;ref_year&amp;"$)"</f>
        <v>Total (2016$)</v>
      </c>
      <c r="L28" s="1287"/>
      <c r="M28" s="1287"/>
      <c r="N28" s="1287"/>
      <c r="O28" s="1287"/>
      <c r="P28" s="1287"/>
      <c r="Q28" s="1287"/>
      <c r="R28" s="1287"/>
      <c r="S28" s="1287"/>
      <c r="T28" s="1287"/>
      <c r="U28" s="1287"/>
      <c r="V28" s="1287"/>
      <c r="W28" s="1287"/>
      <c r="X28" s="1287"/>
      <c r="Y28" s="1287"/>
      <c r="Z28" s="1287"/>
      <c r="AA28" s="1287"/>
      <c r="AB28" s="1287"/>
      <c r="AC28" s="1287"/>
      <c r="AD28" s="1038"/>
      <c r="AE28" s="1038"/>
      <c r="AF28" s="1038"/>
      <c r="AG28" s="1038"/>
      <c r="AH28" s="1038"/>
      <c r="AI28" s="1038"/>
      <c r="AJ28" s="1038"/>
      <c r="AK28" s="1038"/>
      <c r="AL28" s="1038"/>
      <c r="AM28" s="1038"/>
      <c r="AN28" s="1038"/>
      <c r="AO28" s="1038"/>
      <c r="AP28" s="1038"/>
      <c r="AQ28" s="1038"/>
      <c r="AR28" s="1038"/>
      <c r="AS28" s="1038"/>
      <c r="AT28" s="1038"/>
      <c r="AU28" s="1038"/>
      <c r="AV28" s="1038"/>
      <c r="AW28" s="1038"/>
      <c r="AX28" s="1038"/>
      <c r="AY28" s="1038"/>
      <c r="AZ28" s="1038"/>
      <c r="BA28" s="1038"/>
      <c r="BB28" s="1038"/>
      <c r="BC28" s="1038"/>
      <c r="BD28" s="1038"/>
      <c r="BE28" s="1038"/>
    </row>
    <row r="29" spans="1:57" ht="14.4" thickBot="1" x14ac:dyDescent="0.3">
      <c r="A29" s="1287"/>
      <c r="B29" s="1293" t="s">
        <v>1186</v>
      </c>
      <c r="C29" s="1397"/>
      <c r="D29" s="1397"/>
      <c r="E29" s="1397"/>
      <c r="F29" s="1398"/>
      <c r="G29" s="1287"/>
      <c r="H29" s="1287"/>
      <c r="I29" s="1287"/>
      <c r="J29" s="1287"/>
      <c r="K29" s="1287"/>
      <c r="L29" s="1287"/>
      <c r="M29" s="1287"/>
      <c r="N29" s="1287"/>
      <c r="O29" s="1287"/>
      <c r="P29" s="1287"/>
      <c r="Q29" s="1287"/>
      <c r="R29" s="1287"/>
      <c r="S29" s="1287"/>
      <c r="T29" s="1287"/>
      <c r="U29" s="1287"/>
      <c r="V29" s="1287"/>
      <c r="W29" s="1287"/>
      <c r="X29" s="1287"/>
      <c r="Y29" s="1287"/>
      <c r="Z29" s="1287"/>
      <c r="AA29" s="1287"/>
      <c r="AB29" s="1287"/>
      <c r="AC29" s="1287"/>
      <c r="AD29" s="1038"/>
      <c r="AE29" s="1038"/>
      <c r="AF29" s="1038"/>
      <c r="AG29" s="1038"/>
      <c r="AH29" s="1038"/>
      <c r="AI29" s="1038"/>
      <c r="AJ29" s="1038"/>
      <c r="AK29" s="1038"/>
      <c r="AL29" s="1038"/>
      <c r="AM29" s="1038"/>
      <c r="AN29" s="1038"/>
      <c r="AO29" s="1038"/>
      <c r="AP29" s="1038"/>
      <c r="AQ29" s="1038"/>
      <c r="AR29" s="1038"/>
      <c r="AS29" s="1038"/>
      <c r="AT29" s="1038"/>
      <c r="AU29" s="1038"/>
      <c r="AV29" s="1038"/>
      <c r="AW29" s="1038"/>
      <c r="AX29" s="1038"/>
      <c r="AY29" s="1038"/>
      <c r="AZ29" s="1038"/>
      <c r="BA29" s="1038"/>
      <c r="BB29" s="1038"/>
      <c r="BC29" s="1038"/>
      <c r="BD29" s="1038"/>
      <c r="BE29" s="1038"/>
    </row>
    <row r="30" spans="1:57" ht="14.4" customHeight="1" x14ac:dyDescent="0.25">
      <c r="A30" s="1287"/>
      <c r="B30" s="1291" t="s">
        <v>981</v>
      </c>
      <c r="C30" s="1493" t="e">
        <f>+ProcessFlow!#REF!</f>
        <v>#REF!</v>
      </c>
      <c r="D30" s="1399"/>
      <c r="E30" s="1591" t="s">
        <v>1193</v>
      </c>
      <c r="F30" s="1608"/>
      <c r="G30" s="1287"/>
      <c r="H30" s="1604" t="s">
        <v>806</v>
      </c>
      <c r="I30" s="1605"/>
      <c r="J30" s="1605"/>
      <c r="K30" s="1316"/>
      <c r="L30" s="1287"/>
      <c r="M30" s="1287"/>
      <c r="N30" s="1287"/>
      <c r="O30" s="1287"/>
      <c r="P30" s="1287"/>
      <c r="Q30" s="1287"/>
      <c r="R30" s="1287"/>
      <c r="S30" s="1287"/>
      <c r="T30" s="1287"/>
      <c r="U30" s="1287"/>
      <c r="V30" s="1287"/>
      <c r="W30" s="1287"/>
      <c r="X30" s="1287"/>
      <c r="Y30" s="1287"/>
      <c r="Z30" s="1287"/>
      <c r="AA30" s="1287"/>
      <c r="AB30" s="1287"/>
      <c r="AC30" s="1287"/>
      <c r="AD30" s="1038"/>
      <c r="AE30" s="1038"/>
      <c r="AF30" s="1038"/>
      <c r="AG30" s="1038"/>
      <c r="AH30" s="1038"/>
      <c r="AI30" s="1038"/>
      <c r="AJ30" s="1038"/>
      <c r="AK30" s="1038"/>
      <c r="AL30" s="1038"/>
      <c r="AM30" s="1038"/>
      <c r="AN30" s="1038"/>
      <c r="AO30" s="1038"/>
      <c r="AP30" s="1038"/>
      <c r="AQ30" s="1038"/>
      <c r="AR30" s="1038"/>
      <c r="AS30" s="1038"/>
      <c r="AT30" s="1038"/>
      <c r="AU30" s="1038"/>
      <c r="AV30" s="1038"/>
      <c r="AW30" s="1038"/>
      <c r="AX30" s="1038"/>
      <c r="AY30" s="1038"/>
      <c r="AZ30" s="1038"/>
      <c r="BA30" s="1038"/>
      <c r="BB30" s="1038"/>
      <c r="BC30" s="1038"/>
      <c r="BD30" s="1038"/>
      <c r="BE30" s="1038"/>
    </row>
    <row r="31" spans="1:57" ht="13.8" x14ac:dyDescent="0.25">
      <c r="A31" s="1287"/>
      <c r="B31" s="1291" t="s">
        <v>1321</v>
      </c>
      <c r="C31" s="1492">
        <v>100</v>
      </c>
      <c r="D31" s="1399"/>
      <c r="E31" s="1327"/>
      <c r="F31" s="1328"/>
      <c r="G31" s="1287"/>
      <c r="H31" s="1593" t="s">
        <v>1317</v>
      </c>
      <c r="I31" s="1594"/>
      <c r="J31" s="1051" t="e">
        <f>IF(CO2_Capture_Efficiency,CO2_flowrate_GTpY*1000000*C57*feedstockIndustrial_Electricity_Price,0)</f>
        <v>#REF!</v>
      </c>
      <c r="K31" s="1317"/>
      <c r="L31" s="1287"/>
      <c r="M31" s="1287"/>
      <c r="N31" s="1287"/>
      <c r="O31" s="1287"/>
      <c r="P31" s="1287"/>
      <c r="Q31" s="1287"/>
      <c r="R31" s="1287"/>
      <c r="S31" s="1287"/>
      <c r="T31" s="1287"/>
      <c r="U31" s="1287"/>
      <c r="V31" s="1287"/>
      <c r="W31" s="1287"/>
      <c r="X31" s="1287"/>
      <c r="Y31" s="1287"/>
      <c r="Z31" s="1287"/>
      <c r="AA31" s="1287"/>
      <c r="AB31" s="1287"/>
      <c r="AC31" s="1287"/>
      <c r="AD31" s="1038"/>
      <c r="AE31" s="1038"/>
      <c r="AF31" s="1038"/>
      <c r="AG31" s="1038"/>
      <c r="AH31" s="1038"/>
      <c r="AI31" s="1038"/>
      <c r="AJ31" s="1038"/>
      <c r="AK31" s="1038"/>
      <c r="AL31" s="1038"/>
      <c r="AM31" s="1038"/>
      <c r="AN31" s="1038"/>
      <c r="AO31" s="1038"/>
      <c r="AP31" s="1038"/>
      <c r="AQ31" s="1038"/>
      <c r="AR31" s="1038"/>
      <c r="AS31" s="1038"/>
      <c r="AT31" s="1038"/>
      <c r="AU31" s="1038"/>
      <c r="AV31" s="1038"/>
      <c r="AW31" s="1038"/>
      <c r="AX31" s="1038"/>
      <c r="AY31" s="1038"/>
      <c r="AZ31" s="1038"/>
      <c r="BA31" s="1038"/>
      <c r="BB31" s="1038"/>
      <c r="BC31" s="1038"/>
      <c r="BD31" s="1038"/>
      <c r="BE31" s="1038"/>
    </row>
    <row r="32" spans="1:57" ht="14.4" thickBot="1" x14ac:dyDescent="0.3">
      <c r="A32" s="1287"/>
      <c r="B32" s="1291" t="s">
        <v>1327</v>
      </c>
      <c r="C32" s="1494">
        <v>0</v>
      </c>
      <c r="D32" s="1399"/>
      <c r="E32" s="1329"/>
      <c r="F32" s="1330"/>
      <c r="G32" s="1287"/>
      <c r="H32" s="1318"/>
      <c r="I32" s="1319"/>
      <c r="J32" s="1326" t="e">
        <f>IF(CO2_Capture_Efficiency,SUM(J31:J31),0)</f>
        <v>#REF!</v>
      </c>
      <c r="K32" s="1320" t="str">
        <f>"Total ("&amp;ref_year&amp;"$)"</f>
        <v>Total (2016$)</v>
      </c>
      <c r="L32" s="1287"/>
      <c r="M32" s="1287"/>
      <c r="N32" s="1287"/>
      <c r="O32" s="1287"/>
      <c r="P32" s="1287"/>
      <c r="Q32" s="1287"/>
      <c r="R32" s="1287"/>
      <c r="S32" s="1287"/>
      <c r="T32" s="1287"/>
      <c r="U32" s="1287"/>
      <c r="V32" s="1287"/>
      <c r="W32" s="1287"/>
      <c r="X32" s="1287"/>
      <c r="Y32" s="1287"/>
      <c r="Z32" s="1287"/>
      <c r="AA32" s="1287"/>
      <c r="AB32" s="1287"/>
      <c r="AC32" s="1287"/>
      <c r="AD32" s="1038"/>
      <c r="AE32" s="1038"/>
      <c r="AF32" s="1038"/>
      <c r="AG32" s="1038"/>
      <c r="AH32" s="1038"/>
      <c r="AI32" s="1038"/>
      <c r="AJ32" s="1038"/>
      <c r="AK32" s="1038"/>
      <c r="AL32" s="1038"/>
      <c r="AM32" s="1038"/>
      <c r="AN32" s="1038"/>
      <c r="AO32" s="1038"/>
      <c r="AP32" s="1038"/>
      <c r="AQ32" s="1038"/>
      <c r="AR32" s="1038"/>
      <c r="AS32" s="1038"/>
      <c r="AT32" s="1038"/>
      <c r="AU32" s="1038"/>
      <c r="AV32" s="1038"/>
      <c r="AW32" s="1038"/>
      <c r="AX32" s="1038"/>
      <c r="AY32" s="1038"/>
      <c r="AZ32" s="1038"/>
      <c r="BA32" s="1038"/>
      <c r="BB32" s="1038"/>
      <c r="BC32" s="1038"/>
      <c r="BD32" s="1038"/>
      <c r="BE32" s="1038"/>
    </row>
    <row r="33" spans="1:57" ht="13.95" customHeight="1" thickBot="1" x14ac:dyDescent="0.3">
      <c r="A33" s="1287"/>
      <c r="B33" s="1292" t="s">
        <v>0</v>
      </c>
      <c r="C33" s="1495">
        <f ca="1">+'Cash Flow Analysis'!E22</f>
        <v>0.10185220882315059</v>
      </c>
      <c r="D33" s="1400"/>
      <c r="E33" s="1609"/>
      <c r="F33" s="1610"/>
      <c r="G33" s="1287"/>
      <c r="H33" s="1287"/>
      <c r="I33" s="1287"/>
      <c r="J33" s="1287"/>
      <c r="K33" s="1287"/>
      <c r="L33" s="1287"/>
      <c r="M33" s="1287"/>
      <c r="N33" s="1287"/>
      <c r="O33" s="1287"/>
      <c r="P33" s="1287"/>
      <c r="Q33" s="1287"/>
      <c r="R33" s="1287"/>
      <c r="S33" s="1287"/>
      <c r="T33" s="1287"/>
      <c r="U33" s="1287"/>
      <c r="V33" s="1287"/>
      <c r="W33" s="1287"/>
      <c r="X33" s="1287"/>
      <c r="Y33" s="1287"/>
      <c r="Z33" s="1287"/>
      <c r="AA33" s="1287"/>
      <c r="AB33" s="1287"/>
      <c r="AC33" s="1287"/>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row>
    <row r="34" spans="1:57" ht="13.95" customHeight="1" thickTop="1" thickBot="1" x14ac:dyDescent="0.3">
      <c r="A34" s="1287"/>
      <c r="B34" s="1287"/>
      <c r="C34" s="1496"/>
      <c r="D34" s="1287"/>
      <c r="E34" s="1287"/>
      <c r="F34" s="1287"/>
      <c r="G34" s="1287"/>
      <c r="H34" s="1604" t="s">
        <v>807</v>
      </c>
      <c r="I34" s="1605"/>
      <c r="J34" s="1605"/>
      <c r="K34" s="1316"/>
      <c r="L34" s="1287"/>
      <c r="M34" s="1287"/>
      <c r="N34" s="1287"/>
      <c r="O34" s="1287"/>
      <c r="P34" s="1287"/>
      <c r="Q34" s="1287"/>
      <c r="R34" s="1287"/>
      <c r="S34" s="1287"/>
      <c r="T34" s="1287"/>
      <c r="U34" s="1287"/>
      <c r="V34" s="1287"/>
      <c r="W34" s="1287"/>
      <c r="X34" s="1287"/>
      <c r="Y34" s="1287"/>
      <c r="Z34" s="1287"/>
      <c r="AA34" s="1287"/>
      <c r="AB34" s="1287"/>
      <c r="AC34" s="1287"/>
      <c r="AD34" s="1038"/>
      <c r="AE34" s="1038"/>
      <c r="AF34" s="1038"/>
      <c r="AG34" s="1038"/>
      <c r="AH34" s="1038"/>
      <c r="AI34" s="1038"/>
      <c r="AJ34" s="1038"/>
      <c r="AK34" s="1038"/>
      <c r="AL34" s="1038"/>
      <c r="AM34" s="1038"/>
      <c r="AN34" s="1038"/>
      <c r="AO34" s="1038"/>
      <c r="AP34" s="1038"/>
      <c r="AQ34" s="1038"/>
      <c r="AR34" s="1038"/>
      <c r="AS34" s="1038"/>
      <c r="AT34" s="1038"/>
      <c r="AU34" s="1038"/>
      <c r="AV34" s="1038"/>
      <c r="AW34" s="1038"/>
      <c r="AX34" s="1038"/>
      <c r="AY34" s="1038"/>
      <c r="AZ34" s="1038"/>
      <c r="BA34" s="1038"/>
      <c r="BB34" s="1038"/>
      <c r="BC34" s="1038"/>
      <c r="BD34" s="1038"/>
      <c r="BE34" s="1038"/>
    </row>
    <row r="35" spans="1:57" ht="13.95" customHeight="1" thickBot="1" x14ac:dyDescent="0.35">
      <c r="A35" s="1287"/>
      <c r="B35" s="1331" t="s">
        <v>1279</v>
      </c>
      <c r="C35" s="1497" t="str">
        <f>"Cost in $"&amp;2011&amp;" Dollars"</f>
        <v>Cost in $2011 Dollars</v>
      </c>
      <c r="D35" s="1332" t="str">
        <f>"Cost in $"&amp;ref_year&amp;" Dollars"</f>
        <v>Cost in $2016 Dollars</v>
      </c>
      <c r="E35" s="1397"/>
      <c r="F35" s="1401"/>
      <c r="G35" s="1287"/>
      <c r="H35" s="1593" t="s">
        <v>1334</v>
      </c>
      <c r="I35" s="1594"/>
      <c r="J35" s="1051" t="e">
        <f ca="1">-Feed_CO2_MTpY*CO2_Capture_Efficiency*CO2_credit</f>
        <v>#REF!</v>
      </c>
      <c r="K35" s="1317"/>
      <c r="L35" s="1287"/>
      <c r="M35" s="1287"/>
      <c r="N35" s="1287"/>
      <c r="O35" s="1287"/>
      <c r="P35" s="1287"/>
      <c r="Q35" s="1287"/>
      <c r="R35" s="1287"/>
      <c r="S35" s="1287"/>
      <c r="T35" s="1287"/>
      <c r="U35" s="1287"/>
      <c r="V35" s="1287"/>
      <c r="W35" s="1287"/>
      <c r="X35" s="1287"/>
      <c r="Y35" s="1287"/>
      <c r="Z35" s="1287"/>
      <c r="AA35" s="1287"/>
      <c r="AB35" s="1287"/>
      <c r="AC35" s="1287"/>
      <c r="AD35" s="1038"/>
      <c r="AE35" s="1038"/>
      <c r="AF35" s="1038"/>
      <c r="AG35" s="1038"/>
      <c r="AH35" s="1038"/>
      <c r="AI35" s="1038"/>
      <c r="AJ35" s="1038"/>
      <c r="AK35" s="1038"/>
      <c r="AL35" s="1038"/>
      <c r="AM35" s="1038"/>
      <c r="AN35" s="1038"/>
      <c r="AO35" s="1038"/>
      <c r="AP35" s="1038"/>
      <c r="AQ35" s="1038"/>
      <c r="AR35" s="1038"/>
      <c r="AS35" s="1038"/>
      <c r="AT35" s="1038"/>
      <c r="AU35" s="1038"/>
      <c r="AV35" s="1038"/>
      <c r="AW35" s="1038"/>
      <c r="AX35" s="1038"/>
      <c r="AY35" s="1038"/>
      <c r="AZ35" s="1038"/>
      <c r="BA35" s="1038"/>
      <c r="BB35" s="1038"/>
      <c r="BC35" s="1038"/>
      <c r="BD35" s="1038"/>
      <c r="BE35" s="1038"/>
    </row>
    <row r="36" spans="1:57" ht="13.95" customHeight="1" x14ac:dyDescent="0.25">
      <c r="A36" s="1287"/>
      <c r="B36" s="1333" t="s">
        <v>1277</v>
      </c>
      <c r="C36" s="1498" t="e">
        <f>IF(CO2_Capture_Efficiency&gt;0,AB73*C54,0)</f>
        <v>#REF!</v>
      </c>
      <c r="D36" s="1334" t="e">
        <f t="shared" ref="D36:D45" si="0">+C36*$C$51*$C$52</f>
        <v>#REF!</v>
      </c>
      <c r="E36" s="1591"/>
      <c r="F36" s="1592"/>
      <c r="G36" s="1287"/>
      <c r="H36" s="1593" t="s">
        <v>1335</v>
      </c>
      <c r="I36" s="1594"/>
      <c r="J36" s="1051" t="e">
        <f>IF(CO2_Capture_Efficiency,C64*$C$51*$C$52,0)</f>
        <v>#REF!</v>
      </c>
      <c r="K36" s="1317"/>
      <c r="L36" s="1287"/>
      <c r="M36" s="1287"/>
      <c r="N36" s="1287"/>
      <c r="O36" s="1287"/>
      <c r="P36" s="1287"/>
      <c r="Q36" s="1287"/>
      <c r="R36" s="1287"/>
      <c r="S36" s="1287"/>
      <c r="T36" s="1287"/>
      <c r="U36" s="1287"/>
      <c r="V36" s="1287"/>
      <c r="W36" s="1287"/>
      <c r="X36" s="1287"/>
      <c r="Y36" s="1287"/>
      <c r="Z36" s="1287"/>
      <c r="AA36" s="1287"/>
      <c r="AB36" s="1287"/>
      <c r="AC36" s="1287"/>
      <c r="AD36" s="1038"/>
      <c r="AE36" s="1038"/>
      <c r="AF36" s="1038"/>
      <c r="AG36" s="1038"/>
      <c r="AH36" s="1038"/>
      <c r="AI36" s="1038"/>
      <c r="AJ36" s="1038"/>
      <c r="AK36" s="1038"/>
      <c r="AL36" s="1038"/>
      <c r="AM36" s="1038"/>
      <c r="AN36" s="1038"/>
      <c r="AO36" s="1038"/>
      <c r="AP36" s="1038"/>
      <c r="AQ36" s="1038"/>
      <c r="AR36" s="1038"/>
      <c r="AS36" s="1038"/>
      <c r="AT36" s="1038"/>
      <c r="AU36" s="1038"/>
      <c r="AV36" s="1038"/>
      <c r="AW36" s="1038"/>
      <c r="AX36" s="1038"/>
      <c r="AY36" s="1038"/>
      <c r="AZ36" s="1038"/>
      <c r="BA36" s="1038"/>
      <c r="BB36" s="1038"/>
      <c r="BC36" s="1038"/>
      <c r="BD36" s="1038"/>
      <c r="BE36" s="1038"/>
    </row>
    <row r="37" spans="1:57" ht="13.95" customHeight="1" x14ac:dyDescent="0.25">
      <c r="A37" s="1287"/>
      <c r="B37" s="1295" t="s">
        <v>1283</v>
      </c>
      <c r="C37" s="1499" t="e">
        <f>IF(CO2_Capture_Efficiency&gt;0,AB97*C54,0)</f>
        <v>#REF!</v>
      </c>
      <c r="D37" s="1311" t="e">
        <f t="shared" si="0"/>
        <v>#REF!</v>
      </c>
      <c r="E37" s="1591"/>
      <c r="F37" s="1592"/>
      <c r="G37" s="1287"/>
      <c r="H37" s="1593" t="s">
        <v>1315</v>
      </c>
      <c r="I37" s="1594"/>
      <c r="J37" s="1051" t="e">
        <f>IF(CO2_Capture_Efficiency&gt;0,J26*E270,0)</f>
        <v>#REF!</v>
      </c>
      <c r="K37" s="1317"/>
      <c r="L37" s="1287"/>
      <c r="M37" s="1287"/>
      <c r="N37" s="1287"/>
      <c r="O37" s="1287"/>
      <c r="P37" s="1287"/>
      <c r="Q37" s="1287"/>
      <c r="R37" s="1287"/>
      <c r="S37" s="1287"/>
      <c r="T37" s="1287"/>
      <c r="U37" s="1287"/>
      <c r="V37" s="1287"/>
      <c r="W37" s="1287"/>
      <c r="X37" s="1287"/>
      <c r="Y37" s="1287"/>
      <c r="Z37" s="1287"/>
      <c r="AA37" s="1287"/>
      <c r="AB37" s="1287"/>
      <c r="AC37" s="1287"/>
      <c r="AD37" s="1038"/>
      <c r="AE37" s="1038"/>
      <c r="AF37" s="1038"/>
      <c r="AG37" s="1038"/>
      <c r="AH37" s="1038"/>
      <c r="AI37" s="1038"/>
      <c r="AJ37" s="1038"/>
      <c r="AK37" s="1038"/>
      <c r="AL37" s="1038"/>
      <c r="AM37" s="1038"/>
      <c r="AN37" s="1038"/>
      <c r="AO37" s="1038"/>
      <c r="AP37" s="1038"/>
      <c r="AQ37" s="1038"/>
      <c r="AR37" s="1038"/>
      <c r="AS37" s="1038"/>
      <c r="AT37" s="1038"/>
      <c r="AU37" s="1038"/>
      <c r="AV37" s="1038"/>
      <c r="AW37" s="1038"/>
      <c r="AX37" s="1038"/>
      <c r="AY37" s="1038"/>
      <c r="AZ37" s="1038"/>
      <c r="BA37" s="1038"/>
      <c r="BB37" s="1038"/>
      <c r="BC37" s="1038"/>
      <c r="BD37" s="1038"/>
      <c r="BE37" s="1038"/>
    </row>
    <row r="38" spans="1:57" ht="13.8" x14ac:dyDescent="0.25">
      <c r="A38" s="1287"/>
      <c r="B38" s="1295" t="s">
        <v>1278</v>
      </c>
      <c r="C38" s="1499" t="e">
        <f>IF(CO2_Capture_Efficiency&gt;0,AB121*C54,0)</f>
        <v>#REF!</v>
      </c>
      <c r="D38" s="1311" t="e">
        <f t="shared" si="0"/>
        <v>#REF!</v>
      </c>
      <c r="E38" s="1591"/>
      <c r="F38" s="1592"/>
      <c r="G38" s="1287"/>
      <c r="H38" s="1593" t="s">
        <v>1316</v>
      </c>
      <c r="I38" s="1594"/>
      <c r="J38" s="1051" t="e">
        <f>IF(CO2_Capture_Efficiency&gt;0,F270*J27,0)</f>
        <v>#REF!</v>
      </c>
      <c r="K38" s="1317"/>
      <c r="L38" s="1287"/>
      <c r="M38" s="1287"/>
      <c r="N38" s="1287"/>
      <c r="O38" s="1287"/>
      <c r="P38" s="1287"/>
      <c r="Q38" s="1287"/>
      <c r="R38" s="1287"/>
      <c r="S38" s="1287"/>
      <c r="T38" s="1287"/>
      <c r="U38" s="1287"/>
      <c r="V38" s="1287"/>
      <c r="W38" s="1287"/>
      <c r="X38" s="1287"/>
      <c r="Y38" s="1287"/>
      <c r="Z38" s="1287"/>
      <c r="AA38" s="1287"/>
      <c r="AB38" s="1287"/>
      <c r="AC38" s="1287"/>
      <c r="AD38" s="1038"/>
      <c r="AE38" s="1038"/>
      <c r="AF38" s="1038"/>
      <c r="AG38" s="1038"/>
      <c r="AH38" s="1038"/>
      <c r="AI38" s="1038"/>
      <c r="AJ38" s="1038"/>
      <c r="AK38" s="1038"/>
      <c r="AL38" s="1038"/>
      <c r="AM38" s="1038"/>
      <c r="AN38" s="1038"/>
      <c r="AO38" s="1038"/>
      <c r="AP38" s="1038"/>
      <c r="AQ38" s="1038"/>
      <c r="AR38" s="1038"/>
      <c r="AS38" s="1038"/>
      <c r="AT38" s="1038"/>
      <c r="AU38" s="1038"/>
      <c r="AV38" s="1038"/>
      <c r="AW38" s="1038"/>
      <c r="AX38" s="1038"/>
      <c r="AY38" s="1038"/>
      <c r="AZ38" s="1038"/>
      <c r="BA38" s="1038"/>
      <c r="BB38" s="1038"/>
      <c r="BC38" s="1038"/>
      <c r="BD38" s="1038"/>
      <c r="BE38" s="1038"/>
    </row>
    <row r="39" spans="1:57" ht="14.4" thickBot="1" x14ac:dyDescent="0.3">
      <c r="A39" s="1287"/>
      <c r="B39" s="1295" t="s">
        <v>1282</v>
      </c>
      <c r="C39" s="1499" t="e">
        <f>IF(CO2_Capture_Efficiency&gt;0,AB193*C54*C55,0)</f>
        <v>#REF!</v>
      </c>
      <c r="D39" s="1311" t="e">
        <f t="shared" si="0"/>
        <v>#REF!</v>
      </c>
      <c r="E39" s="1591"/>
      <c r="F39" s="1592"/>
      <c r="G39" s="1287"/>
      <c r="H39" s="1324"/>
      <c r="I39" s="1325"/>
      <c r="J39" s="1326" t="e">
        <f>IF(CO2_Capture_Efficiency&gt;0,SUM(J35:J38),0)</f>
        <v>#REF!</v>
      </c>
      <c r="K39" s="1320" t="str">
        <f>"Total  ("&amp;ref_year&amp;"$)"</f>
        <v>Total  (2016$)</v>
      </c>
      <c r="L39" s="1287"/>
      <c r="M39" s="1287"/>
      <c r="N39" s="1287"/>
      <c r="O39" s="1287"/>
      <c r="P39" s="1287"/>
      <c r="Q39" s="1287"/>
      <c r="R39" s="1287"/>
      <c r="S39" s="1287"/>
      <c r="T39" s="1287"/>
      <c r="U39" s="1287"/>
      <c r="V39" s="1287"/>
      <c r="W39" s="1287"/>
      <c r="X39" s="1287"/>
      <c r="Y39" s="1287"/>
      <c r="Z39" s="1287"/>
      <c r="AA39" s="1287"/>
      <c r="AB39" s="1287"/>
      <c r="AC39" s="1287"/>
      <c r="AD39" s="1038"/>
      <c r="AE39" s="1038"/>
      <c r="AF39" s="1038"/>
      <c r="AG39" s="1038"/>
      <c r="AH39" s="1038"/>
      <c r="AI39" s="1038"/>
      <c r="AJ39" s="1038"/>
      <c r="AK39" s="1038"/>
      <c r="AL39" s="1038"/>
      <c r="AM39" s="1038"/>
      <c r="AN39" s="1038"/>
      <c r="AO39" s="1038"/>
      <c r="AP39" s="1038"/>
      <c r="AQ39" s="1038"/>
      <c r="AR39" s="1038"/>
      <c r="AS39" s="1038"/>
      <c r="AT39" s="1038"/>
      <c r="AU39" s="1038"/>
      <c r="AV39" s="1038"/>
      <c r="AW39" s="1038"/>
      <c r="AX39" s="1038"/>
      <c r="AY39" s="1038"/>
      <c r="AZ39" s="1038"/>
      <c r="BA39" s="1038"/>
      <c r="BB39" s="1038"/>
      <c r="BC39" s="1038"/>
      <c r="BD39" s="1038"/>
      <c r="BE39" s="1038"/>
    </row>
    <row r="40" spans="1:57" ht="13.8" thickBot="1" x14ac:dyDescent="0.3">
      <c r="A40" s="1287"/>
      <c r="B40" s="1295" t="s">
        <v>1280</v>
      </c>
      <c r="C40" s="1499" t="e">
        <f>IF(CO2_Capture_Efficiency&gt;0,1244743.65893146,0)</f>
        <v>#REF!</v>
      </c>
      <c r="D40" s="1311" t="e">
        <f t="shared" si="0"/>
        <v>#REF!</v>
      </c>
      <c r="E40" s="1591"/>
      <c r="F40" s="1592"/>
      <c r="G40" s="1287"/>
      <c r="H40" s="1287"/>
      <c r="I40" s="1287"/>
      <c r="J40" s="1287"/>
      <c r="K40" s="1287"/>
      <c r="L40" s="1287"/>
      <c r="M40" s="1287"/>
      <c r="N40" s="1287"/>
      <c r="O40" s="1287"/>
      <c r="P40" s="1287"/>
      <c r="Q40" s="1287"/>
      <c r="R40" s="1287"/>
      <c r="S40" s="1287"/>
      <c r="T40" s="1287"/>
      <c r="U40" s="1287"/>
      <c r="V40" s="1287"/>
      <c r="W40" s="1287"/>
      <c r="X40" s="1287"/>
      <c r="Y40" s="1287"/>
      <c r="Z40" s="1287"/>
      <c r="AA40" s="1287"/>
      <c r="AB40" s="1287"/>
      <c r="AC40" s="1287"/>
      <c r="AD40" s="1038"/>
      <c r="AE40" s="1038"/>
      <c r="AF40" s="1038"/>
      <c r="AG40" s="1038"/>
      <c r="AH40" s="1038"/>
      <c r="AI40" s="1038"/>
      <c r="AJ40" s="1038"/>
      <c r="AK40" s="1038"/>
      <c r="AL40" s="1038"/>
      <c r="AM40" s="1038"/>
      <c r="AN40" s="1038"/>
      <c r="AO40" s="1038"/>
      <c r="AP40" s="1038"/>
      <c r="AQ40" s="1038"/>
      <c r="AR40" s="1038"/>
      <c r="AS40" s="1038"/>
      <c r="AT40" s="1038"/>
      <c r="AU40" s="1038"/>
      <c r="AV40" s="1038"/>
      <c r="AW40" s="1038"/>
      <c r="AX40" s="1038"/>
      <c r="AY40" s="1038"/>
      <c r="AZ40" s="1038"/>
      <c r="BA40" s="1038"/>
      <c r="BB40" s="1038"/>
      <c r="BC40" s="1038"/>
      <c r="BD40" s="1038"/>
      <c r="BE40" s="1038"/>
    </row>
    <row r="41" spans="1:57" ht="14.4" thickBot="1" x14ac:dyDescent="0.3">
      <c r="A41" s="1287"/>
      <c r="B41" s="1295" t="s">
        <v>1284</v>
      </c>
      <c r="C41" s="1499" t="e">
        <f>IF(CO2_Capture_Efficiency&gt;0,111907.191316147,0)</f>
        <v>#REF!</v>
      </c>
      <c r="D41" s="1311" t="e">
        <f t="shared" si="0"/>
        <v>#REF!</v>
      </c>
      <c r="E41" s="1591"/>
      <c r="F41" s="1592"/>
      <c r="G41" s="1287"/>
      <c r="H41" s="1600" t="s">
        <v>814</v>
      </c>
      <c r="I41" s="1601"/>
      <c r="J41" s="1336" t="e">
        <f>Det_CO2_seq*tax_ins_rate</f>
        <v>#REF!</v>
      </c>
      <c r="K41" s="1337" t="str">
        <f>+K39</f>
        <v>Total  (2016$)</v>
      </c>
      <c r="L41" s="1287"/>
      <c r="M41" s="1287"/>
      <c r="N41" s="1287"/>
      <c r="O41" s="1287"/>
      <c r="P41" s="1287"/>
      <c r="Q41" s="1287"/>
      <c r="R41" s="1287"/>
      <c r="S41" s="1287"/>
      <c r="T41" s="1287"/>
      <c r="U41" s="1287"/>
      <c r="V41" s="1287"/>
      <c r="W41" s="1287"/>
      <c r="X41" s="1287"/>
      <c r="Y41" s="1287"/>
      <c r="Z41" s="1287"/>
      <c r="AA41" s="1287"/>
      <c r="AB41" s="1287"/>
      <c r="AC41" s="1287"/>
      <c r="AD41" s="1038"/>
      <c r="AE41" s="1038"/>
      <c r="AF41" s="1038"/>
      <c r="AG41" s="1038"/>
      <c r="AH41" s="1038"/>
      <c r="AI41" s="1038"/>
      <c r="AJ41" s="1038"/>
      <c r="AK41" s="1038"/>
      <c r="AL41" s="1038"/>
      <c r="AM41" s="1038"/>
      <c r="AN41" s="1038"/>
      <c r="AO41" s="1038"/>
      <c r="AP41" s="1038"/>
      <c r="AQ41" s="1038"/>
      <c r="AR41" s="1038"/>
      <c r="AS41" s="1038"/>
      <c r="AT41" s="1038"/>
      <c r="AU41" s="1038"/>
      <c r="AV41" s="1038"/>
      <c r="AW41" s="1038"/>
      <c r="AX41" s="1038"/>
      <c r="AY41" s="1038"/>
      <c r="AZ41" s="1038"/>
      <c r="BA41" s="1038"/>
      <c r="BB41" s="1038"/>
      <c r="BC41" s="1038"/>
      <c r="BD41" s="1038"/>
      <c r="BE41" s="1038"/>
    </row>
    <row r="42" spans="1:57" ht="13.8" thickBot="1" x14ac:dyDescent="0.3">
      <c r="A42" s="1287"/>
      <c r="B42" s="1295" t="s">
        <v>1285</v>
      </c>
      <c r="C42" s="1499" t="e">
        <f>IF(CO2_Capture_Efficiency&gt;0,AB145*C54*C55,0)</f>
        <v>#REF!</v>
      </c>
      <c r="D42" s="1311" t="e">
        <f t="shared" si="0"/>
        <v>#REF!</v>
      </c>
      <c r="E42" s="1591"/>
      <c r="F42" s="1592"/>
      <c r="G42" s="1287"/>
      <c r="H42" s="1287"/>
      <c r="I42" s="1287"/>
      <c r="J42" s="1287"/>
      <c r="K42" s="1287"/>
      <c r="L42" s="1287"/>
      <c r="M42" s="1287"/>
      <c r="N42" s="1287"/>
      <c r="O42" s="1287"/>
      <c r="P42" s="1287"/>
      <c r="Q42" s="1287"/>
      <c r="R42" s="1287"/>
      <c r="S42" s="1287"/>
      <c r="T42" s="1287"/>
      <c r="U42" s="1287"/>
      <c r="V42" s="1287"/>
      <c r="W42" s="1287"/>
      <c r="X42" s="1287"/>
      <c r="Y42" s="1287"/>
      <c r="Z42" s="1287"/>
      <c r="AA42" s="1287"/>
      <c r="AB42" s="1287"/>
      <c r="AC42" s="1287"/>
      <c r="AD42" s="1038"/>
      <c r="AE42" s="1038"/>
      <c r="AF42" s="1038"/>
      <c r="AG42" s="1038"/>
      <c r="AH42" s="1038"/>
      <c r="AI42" s="1038"/>
      <c r="AJ42" s="1038"/>
      <c r="AK42" s="1038"/>
      <c r="AL42" s="1038"/>
      <c r="AM42" s="1038"/>
      <c r="AN42" s="1038"/>
      <c r="AO42" s="1038"/>
      <c r="AP42" s="1038"/>
      <c r="AQ42" s="1038"/>
      <c r="AR42" s="1038"/>
      <c r="AS42" s="1038"/>
      <c r="AT42" s="1038"/>
      <c r="AU42" s="1038"/>
      <c r="AV42" s="1038"/>
      <c r="AW42" s="1038"/>
      <c r="AX42" s="1038"/>
      <c r="AY42" s="1038"/>
      <c r="AZ42" s="1038"/>
      <c r="BA42" s="1038"/>
      <c r="BB42" s="1038"/>
      <c r="BC42" s="1038"/>
      <c r="BD42" s="1038"/>
      <c r="BE42" s="1038"/>
    </row>
    <row r="43" spans="1:57" ht="14.7" customHeight="1" x14ac:dyDescent="0.25">
      <c r="A43" s="1287"/>
      <c r="B43" s="1295" t="s">
        <v>1310</v>
      </c>
      <c r="C43" s="1499" t="e">
        <f>IF(CO2_Capture_Efficiency&gt;0,C275,0)</f>
        <v>#REF!</v>
      </c>
      <c r="D43" s="1311" t="e">
        <f t="shared" si="0"/>
        <v>#REF!</v>
      </c>
      <c r="E43" s="1591"/>
      <c r="F43" s="1592"/>
      <c r="G43" s="1287"/>
      <c r="H43" s="1595" t="s">
        <v>1336</v>
      </c>
      <c r="I43" s="1596"/>
      <c r="J43" s="1596"/>
      <c r="K43" s="1052" t="e">
        <f>IF(CO2_Capture_Efficiency,ROUND(CO2_eCostpY/(Feed_CO2_MTpY*CO2_Capture_Efficiency),1),0)</f>
        <v>#REF!</v>
      </c>
      <c r="L43" s="1287"/>
      <c r="M43" s="1287"/>
      <c r="N43" s="1287"/>
      <c r="O43" s="1287"/>
      <c r="P43" s="1287"/>
      <c r="Q43" s="1287"/>
      <c r="R43" s="1287"/>
      <c r="S43" s="1287"/>
      <c r="T43" s="1287"/>
      <c r="U43" s="1287"/>
      <c r="V43" s="1287"/>
      <c r="W43" s="1287"/>
      <c r="X43" s="1287"/>
      <c r="Y43" s="1287"/>
      <c r="Z43" s="1287"/>
      <c r="AA43" s="1287"/>
      <c r="AB43" s="1287"/>
      <c r="AC43" s="1287"/>
      <c r="AD43" s="1038"/>
      <c r="AE43" s="1038"/>
      <c r="AF43" s="1038"/>
      <c r="AG43" s="1038"/>
      <c r="AH43" s="1038"/>
      <c r="AI43" s="1038"/>
      <c r="AJ43" s="1038"/>
      <c r="AK43" s="1038"/>
      <c r="AL43" s="1038"/>
      <c r="AM43" s="1038"/>
      <c r="AN43" s="1038"/>
      <c r="AO43" s="1038"/>
      <c r="AP43" s="1038"/>
      <c r="AQ43" s="1038"/>
      <c r="AR43" s="1038"/>
      <c r="AS43" s="1038"/>
      <c r="AT43" s="1038"/>
      <c r="AU43" s="1038"/>
      <c r="AV43" s="1038"/>
      <c r="AW43" s="1038"/>
      <c r="AX43" s="1038"/>
      <c r="AY43" s="1038"/>
      <c r="AZ43" s="1038"/>
      <c r="BA43" s="1038"/>
      <c r="BB43" s="1038"/>
      <c r="BC43" s="1038"/>
      <c r="BD43" s="1038"/>
      <c r="BE43" s="1038"/>
    </row>
    <row r="44" spans="1:57" ht="15" customHeight="1" x14ac:dyDescent="0.25">
      <c r="A44" s="1287"/>
      <c r="B44" s="1295" t="s">
        <v>1311</v>
      </c>
      <c r="C44" s="1499" t="e">
        <f>IF(CO2_Capture_Efficiency&gt;0,D275,0)</f>
        <v>#REF!</v>
      </c>
      <c r="D44" s="1311" t="e">
        <f t="shared" si="0"/>
        <v>#REF!</v>
      </c>
      <c r="E44" s="1591"/>
      <c r="F44" s="1592"/>
      <c r="G44" s="1287"/>
      <c r="H44" s="1597" t="s">
        <v>1337</v>
      </c>
      <c r="I44" s="1594"/>
      <c r="J44" s="1594"/>
      <c r="K44" s="1053" t="e">
        <f>IF(CO2_Capture_Efficiency,ROUND((Det_CO2_OandMcost+ CCS_tax_insurance)/(Feed_CO2_MTpY*CO2_Capture_Efficiency),1),0)</f>
        <v>#REF!</v>
      </c>
      <c r="L44" s="1287"/>
      <c r="M44" s="1287"/>
      <c r="N44" s="1287"/>
      <c r="O44" s="1287"/>
      <c r="P44" s="1287"/>
      <c r="Q44" s="1287"/>
      <c r="R44" s="1287"/>
      <c r="S44" s="1287"/>
      <c r="T44" s="1287"/>
      <c r="U44" s="1287"/>
      <c r="V44" s="1287"/>
      <c r="W44" s="1287"/>
      <c r="X44" s="1287"/>
      <c r="Y44" s="1287"/>
      <c r="Z44" s="1287"/>
      <c r="AA44" s="1287"/>
      <c r="AB44" s="1287"/>
      <c r="AC44" s="1287"/>
      <c r="AD44" s="1038"/>
      <c r="AE44" s="1038"/>
      <c r="AF44" s="1038"/>
      <c r="AG44" s="1038"/>
      <c r="AH44" s="1038"/>
      <c r="AI44" s="1038"/>
      <c r="AJ44" s="1038"/>
      <c r="AK44" s="1038"/>
      <c r="AL44" s="1038"/>
      <c r="AM44" s="1038"/>
      <c r="AN44" s="1038"/>
      <c r="AO44" s="1038"/>
      <c r="AP44" s="1038"/>
      <c r="AQ44" s="1038"/>
      <c r="AR44" s="1038"/>
      <c r="AS44" s="1038"/>
      <c r="AT44" s="1038"/>
      <c r="AU44" s="1038"/>
      <c r="AV44" s="1038"/>
      <c r="AW44" s="1038"/>
      <c r="AX44" s="1038"/>
      <c r="AY44" s="1038"/>
      <c r="AZ44" s="1038"/>
      <c r="BA44" s="1038"/>
      <c r="BB44" s="1038"/>
      <c r="BC44" s="1038"/>
      <c r="BD44" s="1038"/>
      <c r="BE44" s="1038"/>
    </row>
    <row r="45" spans="1:57" ht="15" customHeight="1" thickBot="1" x14ac:dyDescent="0.3">
      <c r="A45" s="1287"/>
      <c r="B45" s="1296" t="s">
        <v>1293</v>
      </c>
      <c r="C45" s="1500" t="e">
        <f>+SUM(C36:C42)*C56</f>
        <v>#REF!</v>
      </c>
      <c r="D45" s="1335" t="e">
        <f t="shared" si="0"/>
        <v>#REF!</v>
      </c>
      <c r="E45" s="1591" t="s">
        <v>1330</v>
      </c>
      <c r="F45" s="1592"/>
      <c r="G45" s="1287"/>
      <c r="H45" s="1598" t="s">
        <v>1338</v>
      </c>
      <c r="I45" s="1599"/>
      <c r="J45" s="1599"/>
      <c r="K45" s="1056" t="e">
        <f>IF(CO2_Capture_Efficiency,ROUND((Det_CO2_seq)*CO2_cap_charge_rate/(Feed_CO2_MTpY*CO2_Capture_Efficiency),1),0)</f>
        <v>#REF!</v>
      </c>
      <c r="L45" s="1287"/>
      <c r="M45" s="1287"/>
      <c r="N45" s="1287"/>
      <c r="O45" s="1287"/>
      <c r="P45" s="1287"/>
      <c r="Q45" s="1287"/>
      <c r="R45" s="1287"/>
      <c r="S45" s="1287"/>
      <c r="T45" s="1287"/>
      <c r="U45" s="1287"/>
      <c r="V45" s="1287"/>
      <c r="W45" s="1287"/>
      <c r="X45" s="1287"/>
      <c r="Y45" s="1287"/>
      <c r="Z45" s="1287"/>
      <c r="AA45" s="1287"/>
      <c r="AB45" s="1287"/>
      <c r="AC45" s="1287"/>
      <c r="AD45" s="1038"/>
      <c r="AE45" s="1038"/>
      <c r="AF45" s="1038"/>
      <c r="AG45" s="1038"/>
      <c r="AH45" s="1038"/>
      <c r="AI45" s="1038"/>
      <c r="AJ45" s="1038"/>
      <c r="AK45" s="1038"/>
      <c r="AL45" s="1038"/>
      <c r="AM45" s="1038"/>
      <c r="AN45" s="1038"/>
      <c r="AO45" s="1038"/>
      <c r="AP45" s="1038"/>
      <c r="AQ45" s="1038"/>
      <c r="AR45" s="1038"/>
      <c r="AS45" s="1038"/>
      <c r="AT45" s="1038"/>
      <c r="AU45" s="1038"/>
      <c r="AV45" s="1038"/>
      <c r="AW45" s="1038"/>
      <c r="AX45" s="1038"/>
      <c r="AY45" s="1038"/>
      <c r="AZ45" s="1038"/>
      <c r="BA45" s="1038"/>
      <c r="BB45" s="1038"/>
      <c r="BC45" s="1038"/>
      <c r="BD45" s="1038"/>
      <c r="BE45" s="1038"/>
    </row>
    <row r="46" spans="1:57" ht="15" customHeight="1" thickTop="1" thickBot="1" x14ac:dyDescent="0.3">
      <c r="A46" s="1313"/>
      <c r="B46" s="1349" t="s">
        <v>57</v>
      </c>
      <c r="C46" s="1501"/>
      <c r="D46" s="1311" t="e">
        <f>+SUM(D36:D45)</f>
        <v>#REF!</v>
      </c>
      <c r="E46" s="1402"/>
      <c r="F46" s="1403"/>
      <c r="G46" s="1287"/>
      <c r="H46" s="1314" t="s">
        <v>1194</v>
      </c>
      <c r="I46" s="1315"/>
      <c r="J46" s="1315"/>
      <c r="K46" s="1055" t="e">
        <f>SUM(K43:K45)</f>
        <v>#REF!</v>
      </c>
      <c r="L46" s="1287"/>
      <c r="M46" s="1287"/>
      <c r="N46" s="1287"/>
      <c r="O46" s="1287"/>
      <c r="P46" s="1287"/>
      <c r="Q46" s="1287"/>
      <c r="R46" s="1287"/>
      <c r="S46" s="1287"/>
      <c r="T46" s="1287"/>
      <c r="U46" s="1287"/>
      <c r="V46" s="1287"/>
      <c r="W46" s="1287"/>
      <c r="X46" s="1287"/>
      <c r="Y46" s="1287"/>
      <c r="Z46" s="1287"/>
      <c r="AA46" s="1287"/>
      <c r="AB46" s="1287"/>
      <c r="AC46" s="1287"/>
      <c r="AD46" s="1038"/>
      <c r="AE46" s="1038"/>
      <c r="AF46" s="1038"/>
      <c r="AG46" s="1038"/>
      <c r="AH46" s="1038"/>
      <c r="AI46" s="1038"/>
      <c r="AJ46" s="1038"/>
      <c r="AK46" s="1038"/>
      <c r="AL46" s="1038"/>
      <c r="AM46" s="1038"/>
      <c r="AN46" s="1038"/>
      <c r="AO46" s="1038"/>
      <c r="AP46" s="1038"/>
      <c r="AQ46" s="1038"/>
      <c r="AR46" s="1038"/>
      <c r="AS46" s="1038"/>
      <c r="AT46" s="1038"/>
      <c r="AU46" s="1038"/>
      <c r="AV46" s="1038"/>
      <c r="AW46" s="1038"/>
      <c r="AX46" s="1038"/>
      <c r="AY46" s="1038"/>
      <c r="AZ46" s="1038"/>
      <c r="BA46" s="1038"/>
      <c r="BB46" s="1038"/>
      <c r="BC46" s="1038"/>
      <c r="BD46" s="1038"/>
      <c r="BE46" s="1038"/>
    </row>
    <row r="47" spans="1:57" ht="15" customHeight="1" thickTop="1" x14ac:dyDescent="0.25">
      <c r="A47" s="1313"/>
      <c r="B47" s="1404" t="s">
        <v>1319</v>
      </c>
      <c r="C47" s="1502"/>
      <c r="D47" s="1311" t="e">
        <f>+D46-D45</f>
        <v>#REF!</v>
      </c>
      <c r="E47" s="1402"/>
      <c r="F47" s="1403"/>
      <c r="G47" s="1287"/>
      <c r="H47" s="1287"/>
      <c r="I47" s="1287"/>
      <c r="J47" s="1287"/>
      <c r="K47" s="1287"/>
      <c r="L47" s="1287"/>
      <c r="M47" s="1287"/>
      <c r="N47" s="1287"/>
      <c r="O47" s="1287"/>
      <c r="P47" s="1287"/>
      <c r="Q47" s="1287"/>
      <c r="R47" s="1287"/>
      <c r="S47" s="1287"/>
      <c r="T47" s="1287"/>
      <c r="U47" s="1287"/>
      <c r="V47" s="1287"/>
      <c r="W47" s="1287"/>
      <c r="X47" s="1287"/>
      <c r="Y47" s="1287"/>
      <c r="Z47" s="1287"/>
      <c r="AA47" s="1287"/>
      <c r="AB47" s="1287"/>
      <c r="AC47" s="1287"/>
      <c r="AD47" s="1038"/>
      <c r="AE47" s="1038"/>
      <c r="AF47" s="1038"/>
      <c r="AG47" s="1038"/>
      <c r="AH47" s="1038"/>
      <c r="AI47" s="1038"/>
      <c r="AJ47" s="1038"/>
      <c r="AK47" s="1038"/>
      <c r="AL47" s="1038"/>
      <c r="AM47" s="1038"/>
      <c r="AN47" s="1038"/>
      <c r="AO47" s="1038"/>
      <c r="AP47" s="1038"/>
      <c r="AQ47" s="1038"/>
      <c r="AR47" s="1038"/>
      <c r="AS47" s="1038"/>
      <c r="AT47" s="1038"/>
      <c r="AU47" s="1038"/>
      <c r="AV47" s="1038"/>
      <c r="AW47" s="1038"/>
      <c r="AX47" s="1038"/>
      <c r="AY47" s="1038"/>
      <c r="AZ47" s="1038"/>
      <c r="BA47" s="1038"/>
      <c r="BB47" s="1038"/>
      <c r="BC47" s="1038"/>
      <c r="BD47" s="1038"/>
      <c r="BE47" s="1038"/>
    </row>
    <row r="48" spans="1:57" ht="15" customHeight="1" thickBot="1" x14ac:dyDescent="0.3">
      <c r="A48" s="1287"/>
      <c r="B48" s="1348" t="s">
        <v>1320</v>
      </c>
      <c r="C48" s="1503"/>
      <c r="D48" s="1312" t="e">
        <f>IF(CO2_Capture_Efficiency,D46-D45-D37,0)</f>
        <v>#REF!</v>
      </c>
      <c r="E48" s="1405"/>
      <c r="F48" s="1406"/>
      <c r="G48" s="1287"/>
      <c r="H48" s="1287"/>
      <c r="I48" s="1287"/>
      <c r="J48" s="1287"/>
      <c r="K48" s="1287"/>
      <c r="L48" s="1287"/>
      <c r="M48" s="1287"/>
      <c r="N48" s="1287"/>
      <c r="O48" s="1287"/>
      <c r="P48" s="1287"/>
      <c r="Q48" s="1287"/>
      <c r="R48" s="1287"/>
      <c r="S48" s="1287"/>
      <c r="T48" s="1287"/>
      <c r="U48" s="1287"/>
      <c r="V48" s="1287"/>
      <c r="W48" s="1287"/>
      <c r="X48" s="1287"/>
      <c r="Y48" s="1287"/>
      <c r="Z48" s="1287"/>
      <c r="AA48" s="1287"/>
      <c r="AB48" s="1287"/>
      <c r="AC48" s="1287"/>
      <c r="AD48" s="1038"/>
      <c r="AE48" s="1038"/>
      <c r="AF48" s="1038"/>
      <c r="AG48" s="1038"/>
      <c r="AH48" s="1038"/>
      <c r="AI48" s="1038"/>
      <c r="AJ48" s="1038"/>
      <c r="AK48" s="1038"/>
      <c r="AL48" s="1038"/>
      <c r="AM48" s="1038"/>
      <c r="AN48" s="1038"/>
      <c r="AO48" s="1038"/>
      <c r="AP48" s="1038"/>
      <c r="AQ48" s="1038"/>
      <c r="AR48" s="1038"/>
      <c r="AS48" s="1038"/>
      <c r="AT48" s="1038"/>
      <c r="AU48" s="1038"/>
      <c r="AV48" s="1038"/>
      <c r="AW48" s="1038"/>
      <c r="AX48" s="1038"/>
      <c r="AY48" s="1038"/>
      <c r="AZ48" s="1038"/>
      <c r="BA48" s="1038"/>
      <c r="BB48" s="1038"/>
      <c r="BC48" s="1038"/>
      <c r="BD48" s="1038"/>
      <c r="BE48" s="1038"/>
    </row>
    <row r="49" spans="1:57" x14ac:dyDescent="0.25">
      <c r="A49" s="1287"/>
      <c r="B49" s="1287"/>
      <c r="C49" s="1496"/>
      <c r="D49" s="1287"/>
      <c r="E49" s="1287"/>
      <c r="F49" s="1287"/>
      <c r="G49" s="1287"/>
      <c r="H49" s="1287"/>
      <c r="I49" s="1287"/>
      <c r="J49" s="1287"/>
      <c r="K49" s="1287"/>
      <c r="L49" s="1287"/>
      <c r="M49" s="1287"/>
      <c r="N49" s="1287"/>
      <c r="O49" s="1287"/>
      <c r="P49" s="1287"/>
      <c r="Q49" s="1287"/>
      <c r="R49" s="1287"/>
      <c r="S49" s="1287"/>
      <c r="T49" s="1287"/>
      <c r="U49" s="1287"/>
      <c r="V49" s="1287"/>
      <c r="W49" s="1287"/>
      <c r="X49" s="1287"/>
      <c r="Y49" s="1287"/>
      <c r="Z49" s="1287"/>
      <c r="AA49" s="1287"/>
      <c r="AB49" s="1287"/>
      <c r="AC49" s="1287"/>
      <c r="AD49" s="1038"/>
      <c r="AE49" s="1038"/>
      <c r="AF49" s="1038"/>
      <c r="AG49" s="1038"/>
      <c r="AH49" s="1038"/>
      <c r="AI49" s="1038"/>
      <c r="AJ49" s="1038"/>
      <c r="AK49" s="1038"/>
      <c r="AL49" s="1038"/>
      <c r="AM49" s="1038"/>
      <c r="AN49" s="1038"/>
      <c r="AO49" s="1038"/>
      <c r="AP49" s="1038"/>
      <c r="AQ49" s="1038"/>
      <c r="AR49" s="1038"/>
      <c r="AS49" s="1038"/>
      <c r="AT49" s="1038"/>
      <c r="AU49" s="1038"/>
      <c r="AV49" s="1038"/>
      <c r="AW49" s="1038"/>
      <c r="AX49" s="1038"/>
      <c r="AY49" s="1038"/>
      <c r="AZ49" s="1038"/>
      <c r="BA49" s="1038"/>
      <c r="BB49" s="1038"/>
      <c r="BC49" s="1038"/>
      <c r="BD49" s="1038"/>
      <c r="BE49" s="1038"/>
    </row>
    <row r="50" spans="1:57" ht="13.8" x14ac:dyDescent="0.3">
      <c r="A50" s="1287"/>
      <c r="B50" s="1297" t="s">
        <v>1318</v>
      </c>
      <c r="C50" s="1504">
        <v>2011</v>
      </c>
      <c r="D50" s="1287"/>
      <c r="E50" s="1287"/>
      <c r="F50" s="1287"/>
      <c r="G50" s="1287"/>
      <c r="H50" s="1287"/>
      <c r="I50" s="1287"/>
      <c r="J50" s="1287"/>
      <c r="K50" s="1287"/>
      <c r="L50" s="1407"/>
      <c r="M50" s="1407"/>
      <c r="N50" s="1287"/>
      <c r="O50" s="1287"/>
      <c r="P50" s="1287"/>
      <c r="Q50" s="1287"/>
      <c r="R50" s="1287"/>
      <c r="S50" s="1287"/>
      <c r="T50" s="1287"/>
      <c r="U50" s="1287"/>
      <c r="V50" s="1287"/>
      <c r="W50" s="1287"/>
      <c r="X50" s="1287"/>
      <c r="Y50" s="1287"/>
      <c r="Z50" s="1287"/>
      <c r="AA50" s="1287"/>
      <c r="AB50" s="1287"/>
      <c r="AC50" s="1287"/>
      <c r="AD50" s="1038"/>
      <c r="AE50" s="1038"/>
      <c r="AF50" s="1038"/>
      <c r="AG50" s="1038"/>
      <c r="AH50" s="1038"/>
      <c r="AI50" s="1038"/>
      <c r="AJ50" s="1038"/>
      <c r="AK50" s="1038"/>
      <c r="AL50" s="1038"/>
      <c r="AM50" s="1038"/>
      <c r="AN50" s="1038"/>
      <c r="AO50" s="1038"/>
      <c r="AP50" s="1038"/>
      <c r="AQ50" s="1038"/>
      <c r="AR50" s="1038"/>
      <c r="AS50" s="1038"/>
      <c r="AT50" s="1038"/>
      <c r="AU50" s="1038"/>
      <c r="AV50" s="1038"/>
      <c r="AW50" s="1038"/>
      <c r="AX50" s="1038"/>
      <c r="AY50" s="1038"/>
      <c r="AZ50" s="1038"/>
      <c r="BA50" s="1038"/>
      <c r="BB50" s="1038"/>
      <c r="BC50" s="1038"/>
      <c r="BD50" s="1038"/>
      <c r="BE50" s="1038"/>
    </row>
    <row r="51" spans="1:57" x14ac:dyDescent="0.25">
      <c r="A51" s="1287"/>
      <c r="B51" s="1297" t="s">
        <v>1295</v>
      </c>
      <c r="C51" s="1505">
        <f>VLOOKUP(C50,Tbl_PlantCostIndexes,2,FALSE)/VLOOKUP(BasisYear,Tbl_PlantCostIndexes,2,FALSE)</f>
        <v>1.2509611277231953</v>
      </c>
      <c r="D51" s="1287"/>
      <c r="E51" s="1287"/>
      <c r="F51" s="1287"/>
      <c r="G51" s="1287"/>
      <c r="H51" s="1287"/>
      <c r="I51" s="1287"/>
      <c r="J51" s="1287"/>
      <c r="K51" s="1287"/>
      <c r="L51" s="1407"/>
      <c r="M51" s="1407"/>
      <c r="N51" s="1287"/>
      <c r="O51" s="1287"/>
      <c r="P51" s="1287"/>
      <c r="Q51" s="1287"/>
      <c r="R51" s="1287"/>
      <c r="S51" s="1287"/>
      <c r="T51" s="1287"/>
      <c r="U51" s="1287"/>
      <c r="V51" s="1287"/>
      <c r="W51" s="1287"/>
      <c r="X51" s="1287"/>
      <c r="Y51" s="1287"/>
      <c r="Z51" s="1287"/>
      <c r="AA51" s="1287"/>
      <c r="AB51" s="1287"/>
      <c r="AC51" s="1287"/>
      <c r="AD51" s="1038"/>
      <c r="AE51" s="1038"/>
      <c r="AF51" s="1038"/>
      <c r="AG51" s="1038"/>
      <c r="AH51" s="1038"/>
      <c r="AI51" s="1038"/>
      <c r="AJ51" s="1038"/>
      <c r="AK51" s="1038"/>
      <c r="AL51" s="1038"/>
      <c r="AM51" s="1038"/>
      <c r="AN51" s="1038"/>
      <c r="AO51" s="1038"/>
      <c r="AP51" s="1038"/>
      <c r="AQ51" s="1038"/>
      <c r="AR51" s="1038"/>
      <c r="AS51" s="1038"/>
      <c r="AT51" s="1038"/>
      <c r="AU51" s="1038"/>
      <c r="AV51" s="1038"/>
      <c r="AW51" s="1038"/>
      <c r="AX51" s="1038"/>
      <c r="AY51" s="1038"/>
      <c r="AZ51" s="1038"/>
      <c r="BA51" s="1038"/>
      <c r="BB51" s="1038"/>
      <c r="BC51" s="1038"/>
      <c r="BD51" s="1038"/>
      <c r="BE51" s="1038"/>
    </row>
    <row r="52" spans="1:57" x14ac:dyDescent="0.25">
      <c r="A52" s="1287"/>
      <c r="B52" s="1297" t="s">
        <v>1296</v>
      </c>
      <c r="C52" s="1505">
        <f>VLOOKUP(ref_year,DeflatorTable,2,FALSE)/VLOOKUP(C50,DeflatorTable,2,FALSE)</f>
        <v>1.0771767810026385</v>
      </c>
      <c r="D52" s="1287"/>
      <c r="E52" s="1287"/>
      <c r="F52" s="1287"/>
      <c r="G52" s="1287"/>
      <c r="H52" s="1287"/>
      <c r="I52" s="1287"/>
      <c r="J52" s="1287"/>
      <c r="K52" s="1287"/>
      <c r="L52" s="1407"/>
      <c r="M52" s="1407"/>
      <c r="N52" s="1287"/>
      <c r="O52" s="1287"/>
      <c r="P52" s="1287"/>
      <c r="Q52" s="1287"/>
      <c r="R52" s="1287"/>
      <c r="S52" s="1287"/>
      <c r="T52" s="1287"/>
      <c r="U52" s="1287"/>
      <c r="V52" s="1287"/>
      <c r="W52" s="1287"/>
      <c r="X52" s="1287"/>
      <c r="Y52" s="1287"/>
      <c r="Z52" s="1287"/>
      <c r="AA52" s="1287"/>
      <c r="AB52" s="1287"/>
      <c r="AC52" s="1287"/>
      <c r="AD52" s="1038"/>
      <c r="AE52" s="1038"/>
      <c r="AF52" s="1038"/>
      <c r="AG52" s="1038"/>
      <c r="AH52" s="1038"/>
      <c r="AI52" s="1038"/>
      <c r="AJ52" s="1038"/>
      <c r="AK52" s="1038"/>
      <c r="AL52" s="1038"/>
      <c r="AM52" s="1038"/>
      <c r="AN52" s="1038"/>
      <c r="AO52" s="1038"/>
      <c r="AP52" s="1038"/>
      <c r="AQ52" s="1038"/>
      <c r="AR52" s="1038"/>
      <c r="AS52" s="1038"/>
      <c r="AT52" s="1038"/>
      <c r="AU52" s="1038"/>
      <c r="AV52" s="1038"/>
      <c r="AW52" s="1038"/>
      <c r="AX52" s="1038"/>
      <c r="AY52" s="1038"/>
      <c r="AZ52" s="1038"/>
      <c r="BA52" s="1038"/>
      <c r="BB52" s="1038"/>
      <c r="BC52" s="1038"/>
      <c r="BD52" s="1038"/>
      <c r="BE52" s="1038"/>
    </row>
    <row r="53" spans="1:57" x14ac:dyDescent="0.25">
      <c r="A53" s="1287"/>
      <c r="B53" s="1287"/>
      <c r="C53" s="1496"/>
      <c r="D53" s="1287"/>
      <c r="E53" s="1287"/>
      <c r="F53" s="1287"/>
      <c r="G53" s="1287"/>
      <c r="H53" s="1287"/>
      <c r="I53" s="1287"/>
      <c r="J53" s="1287"/>
      <c r="K53" s="1287"/>
      <c r="L53" s="1407"/>
      <c r="M53" s="1407"/>
      <c r="N53" s="1287"/>
      <c r="O53" s="1287"/>
      <c r="P53" s="1287"/>
      <c r="Q53" s="1287"/>
      <c r="R53" s="1287"/>
      <c r="S53" s="1287"/>
      <c r="T53" s="1287"/>
      <c r="U53" s="1287"/>
      <c r="V53" s="1287"/>
      <c r="W53" s="1287"/>
      <c r="X53" s="1287"/>
      <c r="Y53" s="1287"/>
      <c r="Z53" s="1287"/>
      <c r="AA53" s="1287"/>
      <c r="AB53" s="1287"/>
      <c r="AC53" s="1287"/>
      <c r="AD53" s="1038"/>
      <c r="AE53" s="1038"/>
      <c r="AF53" s="1038"/>
      <c r="AG53" s="1038"/>
      <c r="AH53" s="1038"/>
      <c r="AI53" s="1038"/>
      <c r="AJ53" s="1038"/>
      <c r="AK53" s="1038"/>
      <c r="AL53" s="1038"/>
      <c r="AM53" s="1038"/>
      <c r="AN53" s="1038"/>
      <c r="AO53" s="1038"/>
      <c r="AP53" s="1038"/>
      <c r="AQ53" s="1038"/>
      <c r="AR53" s="1038"/>
      <c r="AS53" s="1038"/>
      <c r="AT53" s="1038"/>
      <c r="AU53" s="1038"/>
      <c r="AV53" s="1038"/>
      <c r="AW53" s="1038"/>
      <c r="AX53" s="1038"/>
      <c r="AY53" s="1038"/>
      <c r="AZ53" s="1038"/>
      <c r="BA53" s="1038"/>
      <c r="BB53" s="1038"/>
      <c r="BC53" s="1038"/>
      <c r="BD53" s="1038"/>
      <c r="BE53" s="1038"/>
    </row>
    <row r="54" spans="1:57" x14ac:dyDescent="0.25">
      <c r="A54" s="1287"/>
      <c r="B54" s="1289" t="s">
        <v>1275</v>
      </c>
      <c r="C54" s="1506">
        <f>+CO2_PipeLength*1.609344</f>
        <v>160.93440000000001</v>
      </c>
      <c r="D54" s="1287"/>
      <c r="E54" s="1287"/>
      <c r="F54" s="1287"/>
      <c r="G54" s="1287"/>
      <c r="H54" s="1287"/>
      <c r="I54" s="1287"/>
      <c r="J54" s="1287"/>
      <c r="K54" s="1287"/>
      <c r="L54" s="1407"/>
      <c r="M54" s="1407"/>
      <c r="N54" s="1287"/>
      <c r="O54" s="1287"/>
      <c r="P54" s="1287"/>
      <c r="Q54" s="1287"/>
      <c r="R54" s="1287"/>
      <c r="S54" s="1287"/>
      <c r="T54" s="1287"/>
      <c r="U54" s="1287"/>
      <c r="V54" s="1287"/>
      <c r="W54" s="1287"/>
      <c r="X54" s="1287"/>
      <c r="Y54" s="1287"/>
      <c r="Z54" s="1287"/>
      <c r="AA54" s="1287"/>
      <c r="AB54" s="1287"/>
      <c r="AC54" s="1287"/>
      <c r="AD54" s="1038"/>
      <c r="AE54" s="1038"/>
      <c r="AF54" s="1038"/>
      <c r="AG54" s="1038"/>
      <c r="AH54" s="1038"/>
      <c r="AI54" s="1038"/>
      <c r="AJ54" s="1038"/>
      <c r="AK54" s="1038"/>
      <c r="AL54" s="1038"/>
      <c r="AM54" s="1038"/>
      <c r="AN54" s="1038"/>
      <c r="AO54" s="1038"/>
      <c r="AP54" s="1038"/>
      <c r="AQ54" s="1038"/>
      <c r="AR54" s="1038"/>
      <c r="AS54" s="1038"/>
      <c r="AT54" s="1038"/>
      <c r="AU54" s="1038"/>
      <c r="AV54" s="1038"/>
      <c r="AW54" s="1038"/>
      <c r="AX54" s="1038"/>
      <c r="AY54" s="1038"/>
      <c r="AZ54" s="1038"/>
      <c r="BA54" s="1038"/>
      <c r="BB54" s="1038"/>
      <c r="BC54" s="1038"/>
      <c r="BD54" s="1038"/>
      <c r="BE54" s="1038"/>
    </row>
    <row r="55" spans="1:57" x14ac:dyDescent="0.25">
      <c r="A55" s="1287"/>
      <c r="B55" s="1289" t="s">
        <v>1302</v>
      </c>
      <c r="C55" s="1507" t="e">
        <f ca="1">+C21*CO2_Capture_Efficiency/1000000</f>
        <v>#REF!</v>
      </c>
      <c r="D55" s="1287"/>
      <c r="E55" s="1287"/>
      <c r="F55" s="1287"/>
      <c r="G55" s="1287"/>
      <c r="H55" s="1287"/>
      <c r="I55" s="1287"/>
      <c r="J55" s="1287"/>
      <c r="K55" s="1287"/>
      <c r="L55" s="1407"/>
      <c r="M55" s="1407"/>
      <c r="N55" s="1287"/>
      <c r="O55" s="1287"/>
      <c r="P55" s="1287"/>
      <c r="Q55" s="1287"/>
      <c r="R55" s="1287"/>
      <c r="S55" s="1287"/>
      <c r="T55" s="1287"/>
      <c r="U55" s="1287"/>
      <c r="V55" s="1287"/>
      <c r="W55" s="1287"/>
      <c r="X55" s="1287"/>
      <c r="Y55" s="1287"/>
      <c r="Z55" s="1287"/>
      <c r="AA55" s="1287"/>
      <c r="AB55" s="1287"/>
      <c r="AC55" s="1287"/>
      <c r="AD55" s="1038"/>
      <c r="AE55" s="1038"/>
      <c r="AF55" s="1038"/>
      <c r="AG55" s="1038"/>
      <c r="AH55" s="1038"/>
      <c r="AI55" s="1038"/>
      <c r="AJ55" s="1038"/>
      <c r="AK55" s="1038"/>
      <c r="AL55" s="1038"/>
      <c r="AM55" s="1038"/>
      <c r="AN55" s="1038"/>
      <c r="AO55" s="1038"/>
      <c r="AP55" s="1038"/>
      <c r="AQ55" s="1038"/>
      <c r="AR55" s="1038"/>
      <c r="AS55" s="1038"/>
      <c r="AT55" s="1038"/>
      <c r="AU55" s="1038"/>
      <c r="AV55" s="1038"/>
      <c r="AW55" s="1038"/>
      <c r="AX55" s="1038"/>
      <c r="AY55" s="1038"/>
      <c r="AZ55" s="1038"/>
      <c r="BA55" s="1038"/>
      <c r="BB55" s="1038"/>
      <c r="BC55" s="1038"/>
      <c r="BD55" s="1038"/>
      <c r="BE55" s="1038"/>
    </row>
    <row r="56" spans="1:57" x14ac:dyDescent="0.25">
      <c r="A56" s="1287"/>
      <c r="B56" s="1289" t="s">
        <v>1276</v>
      </c>
      <c r="C56" s="1508">
        <v>0.15</v>
      </c>
      <c r="D56" s="1287"/>
      <c r="E56" s="1287"/>
      <c r="F56" s="1287"/>
      <c r="G56" s="1287"/>
      <c r="H56" s="1287"/>
      <c r="I56" s="1287"/>
      <c r="J56" s="1287"/>
      <c r="K56" s="1287"/>
      <c r="L56" s="1407"/>
      <c r="M56" s="1407"/>
      <c r="N56" s="1287"/>
      <c r="O56" s="1287"/>
      <c r="P56" s="1287"/>
      <c r="Q56" s="1287"/>
      <c r="R56" s="1287"/>
      <c r="S56" s="1287"/>
      <c r="T56" s="1287"/>
      <c r="U56" s="1287"/>
      <c r="V56" s="1287"/>
      <c r="W56" s="1287"/>
      <c r="X56" s="1287"/>
      <c r="Y56" s="1287"/>
      <c r="Z56" s="1287"/>
      <c r="AA56" s="1287"/>
      <c r="AB56" s="1287"/>
      <c r="AC56" s="1287"/>
      <c r="AD56" s="1038"/>
      <c r="AE56" s="1038"/>
      <c r="AF56" s="1038"/>
      <c r="AG56" s="1038"/>
      <c r="AH56" s="1038"/>
      <c r="AI56" s="1038"/>
      <c r="AJ56" s="1038"/>
      <c r="AK56" s="1038"/>
      <c r="AL56" s="1038"/>
      <c r="AM56" s="1038"/>
      <c r="AN56" s="1038"/>
      <c r="AO56" s="1038"/>
      <c r="AP56" s="1038"/>
      <c r="AQ56" s="1038"/>
      <c r="AR56" s="1038"/>
      <c r="AS56" s="1038"/>
      <c r="AT56" s="1038"/>
      <c r="AU56" s="1038"/>
      <c r="AV56" s="1038"/>
      <c r="AW56" s="1038"/>
      <c r="AX56" s="1038"/>
      <c r="AY56" s="1038"/>
      <c r="AZ56" s="1038"/>
      <c r="BA56" s="1038"/>
      <c r="BB56" s="1038"/>
      <c r="BC56" s="1038"/>
      <c r="BD56" s="1038"/>
      <c r="BE56" s="1038"/>
    </row>
    <row r="57" spans="1:57" ht="13.8" x14ac:dyDescent="0.25">
      <c r="A57" s="1287"/>
      <c r="B57" s="1289" t="s">
        <v>1303</v>
      </c>
      <c r="C57" s="1509" t="e">
        <f ca="1">+AB169*C54</f>
        <v>#REF!</v>
      </c>
      <c r="D57" s="1287"/>
      <c r="E57" s="1287"/>
      <c r="F57" s="1287"/>
      <c r="G57" s="1287"/>
      <c r="H57" s="1287"/>
      <c r="I57" s="1287"/>
      <c r="J57" s="1287"/>
      <c r="K57" s="1287"/>
      <c r="L57" s="1407"/>
      <c r="M57" s="1407"/>
      <c r="N57" s="1287"/>
      <c r="O57" s="1287"/>
      <c r="P57" s="1287"/>
      <c r="Q57" s="1287"/>
      <c r="R57" s="1287"/>
      <c r="S57" s="1287"/>
      <c r="T57" s="1287"/>
      <c r="U57" s="1287"/>
      <c r="V57" s="1287"/>
      <c r="W57" s="1287"/>
      <c r="X57" s="1287"/>
      <c r="Y57" s="1287"/>
      <c r="Z57" s="1287"/>
      <c r="AA57" s="1287"/>
      <c r="AB57" s="1287"/>
      <c r="AC57" s="1287"/>
      <c r="AD57" s="1038"/>
      <c r="AE57" s="1038"/>
      <c r="AF57" s="1038"/>
      <c r="AG57" s="1038"/>
      <c r="AH57" s="1038"/>
      <c r="AI57" s="1038"/>
      <c r="AJ57" s="1038"/>
      <c r="AK57" s="1038"/>
      <c r="AL57" s="1038"/>
      <c r="AM57" s="1038"/>
      <c r="AN57" s="1038"/>
      <c r="AO57" s="1038"/>
      <c r="AP57" s="1038"/>
      <c r="AQ57" s="1038"/>
      <c r="AR57" s="1038"/>
      <c r="AS57" s="1038"/>
      <c r="AT57" s="1038"/>
      <c r="AU57" s="1038"/>
      <c r="AV57" s="1038"/>
      <c r="AW57" s="1038"/>
      <c r="AX57" s="1038"/>
      <c r="AY57" s="1038"/>
      <c r="AZ57" s="1038"/>
      <c r="BA57" s="1038"/>
      <c r="BB57" s="1038"/>
      <c r="BC57" s="1038"/>
      <c r="BD57" s="1038"/>
      <c r="BE57" s="1038"/>
    </row>
    <row r="58" spans="1:57" x14ac:dyDescent="0.25">
      <c r="A58" s="1287"/>
      <c r="B58" s="1289" t="s">
        <v>1286</v>
      </c>
      <c r="C58" s="1509" t="e">
        <f ca="1">+C57*CO2_flowrate_GTpY*1000000/output_kgyear</f>
        <v>#REF!</v>
      </c>
      <c r="D58" s="1287"/>
      <c r="E58" s="1287"/>
      <c r="F58" s="1287"/>
      <c r="G58" s="1287"/>
      <c r="H58" s="1287"/>
      <c r="I58" s="1287"/>
      <c r="J58" s="1287"/>
      <c r="K58" s="1287"/>
      <c r="L58" s="1407"/>
      <c r="M58" s="1407"/>
      <c r="N58" s="1287"/>
      <c r="O58" s="1287"/>
      <c r="P58" s="1287"/>
      <c r="Q58" s="1287"/>
      <c r="R58" s="1287"/>
      <c r="S58" s="1287"/>
      <c r="T58" s="1287"/>
      <c r="U58" s="1287"/>
      <c r="V58" s="1287"/>
      <c r="W58" s="1287"/>
      <c r="X58" s="1287"/>
      <c r="Y58" s="1287"/>
      <c r="Z58" s="1287"/>
      <c r="AA58" s="1287"/>
      <c r="AB58" s="1287"/>
      <c r="AC58" s="1287"/>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row>
    <row r="59" spans="1:57" x14ac:dyDescent="0.25">
      <c r="A59" s="1287"/>
      <c r="B59" s="1289" t="s">
        <v>1304</v>
      </c>
      <c r="C59" s="1506" t="e">
        <f ca="1">+C57*CO2_flowrate_GTpY*1000000</f>
        <v>#REF!</v>
      </c>
      <c r="D59" s="1287"/>
      <c r="E59" s="1287"/>
      <c r="F59" s="1287"/>
      <c r="G59" s="1287"/>
      <c r="H59" s="1287"/>
      <c r="I59" s="1287"/>
      <c r="J59" s="1287"/>
      <c r="K59" s="1287"/>
      <c r="L59" s="1407"/>
      <c r="M59" s="1407"/>
      <c r="N59" s="1287"/>
      <c r="O59" s="1287"/>
      <c r="P59" s="1287"/>
      <c r="Q59" s="1287"/>
      <c r="R59" s="1287"/>
      <c r="S59" s="1287"/>
      <c r="T59" s="1287"/>
      <c r="U59" s="1287"/>
      <c r="V59" s="1287"/>
      <c r="W59" s="1287"/>
      <c r="X59" s="1287"/>
      <c r="Y59" s="1287"/>
      <c r="Z59" s="1287"/>
      <c r="AA59" s="1287"/>
      <c r="AB59" s="1287"/>
      <c r="AC59" s="1287"/>
      <c r="AD59" s="1038"/>
      <c r="AE59" s="1038"/>
      <c r="AF59" s="1038"/>
      <c r="AG59" s="1038"/>
      <c r="AH59" s="1038"/>
      <c r="AI59" s="1038"/>
      <c r="AJ59" s="1038"/>
      <c r="AK59" s="1038"/>
      <c r="AL59" s="1038"/>
      <c r="AM59" s="1038"/>
      <c r="AN59" s="1038"/>
      <c r="AO59" s="1038"/>
      <c r="AP59" s="1038"/>
      <c r="AQ59" s="1038"/>
      <c r="AR59" s="1038"/>
      <c r="AS59" s="1038"/>
      <c r="AT59" s="1038"/>
      <c r="AU59" s="1038"/>
      <c r="AV59" s="1038"/>
      <c r="AW59" s="1038"/>
      <c r="AX59" s="1038"/>
      <c r="AY59" s="1038"/>
      <c r="AZ59" s="1038"/>
      <c r="BA59" s="1038"/>
      <c r="BB59" s="1038"/>
      <c r="BC59" s="1038"/>
      <c r="BD59" s="1038"/>
      <c r="BE59" s="1038"/>
    </row>
    <row r="60" spans="1:57" x14ac:dyDescent="0.25">
      <c r="A60" s="1287"/>
      <c r="B60" s="1287"/>
      <c r="C60" s="1496"/>
      <c r="D60" s="1287"/>
      <c r="E60" s="1287"/>
      <c r="F60" s="1287"/>
      <c r="G60" s="1287"/>
      <c r="H60" s="1287"/>
      <c r="I60" s="1287"/>
      <c r="J60" s="1287"/>
      <c r="K60" s="1287"/>
      <c r="L60" s="1407"/>
      <c r="M60" s="1407"/>
      <c r="N60" s="1287"/>
      <c r="O60" s="1287"/>
      <c r="P60" s="1287"/>
      <c r="Q60" s="1287"/>
      <c r="R60" s="1287"/>
      <c r="S60" s="1287"/>
      <c r="T60" s="1287"/>
      <c r="U60" s="1287"/>
      <c r="V60" s="1287"/>
      <c r="W60" s="1287"/>
      <c r="X60" s="1287"/>
      <c r="Y60" s="1287"/>
      <c r="Z60" s="1287"/>
      <c r="AA60" s="1287"/>
      <c r="AB60" s="1287"/>
      <c r="AC60" s="1287"/>
      <c r="AD60" s="1038"/>
      <c r="AE60" s="1038"/>
      <c r="AF60" s="1038"/>
      <c r="AG60" s="1038"/>
      <c r="AH60" s="1038"/>
      <c r="AI60" s="1038"/>
      <c r="AJ60" s="1038"/>
      <c r="AK60" s="1038"/>
      <c r="AL60" s="1038"/>
      <c r="AM60" s="1038"/>
      <c r="AN60" s="1038"/>
      <c r="AO60" s="1038"/>
      <c r="AP60" s="1038"/>
      <c r="AQ60" s="1038"/>
      <c r="AR60" s="1038"/>
      <c r="AS60" s="1038"/>
      <c r="AT60" s="1038"/>
      <c r="AU60" s="1038"/>
      <c r="AV60" s="1038"/>
      <c r="AW60" s="1038"/>
      <c r="AX60" s="1038"/>
      <c r="AY60" s="1038"/>
      <c r="AZ60" s="1038"/>
      <c r="BA60" s="1038"/>
      <c r="BB60" s="1038"/>
      <c r="BC60" s="1038"/>
      <c r="BD60" s="1038"/>
      <c r="BE60" s="1038"/>
    </row>
    <row r="61" spans="1:57" x14ac:dyDescent="0.25">
      <c r="A61" s="1287"/>
      <c r="B61" s="1289" t="s">
        <v>1287</v>
      </c>
      <c r="C61" s="1508">
        <v>0.12</v>
      </c>
      <c r="D61" s="1287"/>
      <c r="E61" s="1287"/>
      <c r="F61" s="1287"/>
      <c r="G61" s="1287"/>
      <c r="H61" s="1287"/>
      <c r="I61" s="1287"/>
      <c r="J61" s="1287"/>
      <c r="K61" s="1287"/>
      <c r="L61" s="1407"/>
      <c r="M61" s="1407"/>
      <c r="N61" s="1287"/>
      <c r="O61" s="1287"/>
      <c r="P61" s="1287"/>
      <c r="Q61" s="1287"/>
      <c r="R61" s="1287"/>
      <c r="S61" s="1287"/>
      <c r="T61" s="1287"/>
      <c r="U61" s="1287"/>
      <c r="V61" s="1287"/>
      <c r="W61" s="1287"/>
      <c r="X61" s="1287"/>
      <c r="Y61" s="1287"/>
      <c r="Z61" s="1287"/>
      <c r="AA61" s="1287"/>
      <c r="AB61" s="1287"/>
      <c r="AC61" s="1287"/>
      <c r="AD61" s="1038"/>
      <c r="AE61" s="1038"/>
      <c r="AF61" s="1038"/>
      <c r="AG61" s="1038"/>
      <c r="AH61" s="1038"/>
      <c r="AI61" s="1038"/>
      <c r="AJ61" s="1038"/>
      <c r="AK61" s="1038"/>
      <c r="AL61" s="1038"/>
      <c r="AM61" s="1038"/>
      <c r="AN61" s="1038"/>
      <c r="AO61" s="1038"/>
      <c r="AP61" s="1038"/>
      <c r="AQ61" s="1038"/>
      <c r="AR61" s="1038"/>
      <c r="AS61" s="1038"/>
      <c r="AT61" s="1038"/>
      <c r="AU61" s="1038"/>
      <c r="AV61" s="1038"/>
      <c r="AW61" s="1038"/>
      <c r="AX61" s="1038"/>
      <c r="AY61" s="1038"/>
      <c r="AZ61" s="1038"/>
      <c r="BA61" s="1038"/>
      <c r="BB61" s="1038"/>
      <c r="BC61" s="1038"/>
      <c r="BD61" s="1038"/>
      <c r="BE61" s="1038"/>
    </row>
    <row r="62" spans="1:57" x14ac:dyDescent="0.25">
      <c r="A62" s="1287"/>
      <c r="B62" s="1289" t="s">
        <v>1288</v>
      </c>
      <c r="C62" s="1508">
        <v>0.38</v>
      </c>
      <c r="D62" s="1287"/>
      <c r="E62" s="1287"/>
      <c r="F62" s="1287"/>
      <c r="G62" s="1287"/>
      <c r="H62" s="1287"/>
      <c r="I62" s="1287"/>
      <c r="J62" s="1287"/>
      <c r="K62" s="1287"/>
      <c r="L62" s="1407"/>
      <c r="M62" s="1407"/>
      <c r="N62" s="1287"/>
      <c r="O62" s="1287"/>
      <c r="P62" s="1287"/>
      <c r="Q62" s="1287"/>
      <c r="R62" s="1287"/>
      <c r="S62" s="1287"/>
      <c r="T62" s="1287"/>
      <c r="U62" s="1287"/>
      <c r="V62" s="1287"/>
      <c r="W62" s="1287"/>
      <c r="X62" s="1287"/>
      <c r="Y62" s="1287"/>
      <c r="Z62" s="1287"/>
      <c r="AA62" s="1287"/>
      <c r="AB62" s="1287"/>
      <c r="AC62" s="1287"/>
      <c r="AD62" s="1038"/>
      <c r="AE62" s="1038"/>
      <c r="AF62" s="1038"/>
      <c r="AG62" s="1038"/>
      <c r="AH62" s="1038"/>
      <c r="AI62" s="1038"/>
      <c r="AJ62" s="1038"/>
      <c r="AK62" s="1038"/>
      <c r="AL62" s="1038"/>
      <c r="AM62" s="1038"/>
      <c r="AN62" s="1038"/>
      <c r="AO62" s="1038"/>
      <c r="AP62" s="1038"/>
      <c r="AQ62" s="1038"/>
      <c r="AR62" s="1038"/>
      <c r="AS62" s="1038"/>
      <c r="AT62" s="1038"/>
      <c r="AU62" s="1038"/>
      <c r="AV62" s="1038"/>
      <c r="AW62" s="1038"/>
      <c r="AX62" s="1038"/>
      <c r="AY62" s="1038"/>
      <c r="AZ62" s="1038"/>
      <c r="BA62" s="1038"/>
      <c r="BB62" s="1038"/>
      <c r="BC62" s="1038"/>
      <c r="BD62" s="1038"/>
      <c r="BE62" s="1038"/>
    </row>
    <row r="63" spans="1:57" x14ac:dyDescent="0.25">
      <c r="A63" s="1287"/>
      <c r="B63" s="1289" t="s">
        <v>1289</v>
      </c>
      <c r="C63" s="1508">
        <v>0.5</v>
      </c>
      <c r="D63" s="1287"/>
      <c r="E63" s="1287"/>
      <c r="F63" s="1287"/>
      <c r="G63" s="1287"/>
      <c r="H63" s="1287"/>
      <c r="I63" s="1287"/>
      <c r="J63" s="1287"/>
      <c r="K63" s="1287"/>
      <c r="L63" s="1407"/>
      <c r="M63" s="1407"/>
      <c r="N63" s="1287"/>
      <c r="O63" s="1287"/>
      <c r="P63" s="1287"/>
      <c r="Q63" s="1287"/>
      <c r="R63" s="1287"/>
      <c r="S63" s="1287"/>
      <c r="T63" s="1287"/>
      <c r="U63" s="1287"/>
      <c r="V63" s="1287"/>
      <c r="W63" s="1287"/>
      <c r="X63" s="1287"/>
      <c r="Y63" s="1287"/>
      <c r="Z63" s="1287"/>
      <c r="AA63" s="1287"/>
      <c r="AB63" s="1287"/>
      <c r="AC63" s="1287"/>
      <c r="AD63" s="1038"/>
      <c r="AE63" s="1038"/>
      <c r="AF63" s="1038"/>
      <c r="AG63" s="1038"/>
      <c r="AH63" s="1038"/>
      <c r="AI63" s="1038"/>
      <c r="AJ63" s="1038"/>
      <c r="AK63" s="1038"/>
      <c r="AL63" s="1038"/>
      <c r="AM63" s="1038"/>
      <c r="AN63" s="1038"/>
      <c r="AO63" s="1038"/>
      <c r="AP63" s="1038"/>
      <c r="AQ63" s="1038"/>
      <c r="AR63" s="1038"/>
      <c r="AS63" s="1038"/>
      <c r="AT63" s="1038"/>
      <c r="AU63" s="1038"/>
      <c r="AV63" s="1038"/>
      <c r="AW63" s="1038"/>
      <c r="AX63" s="1038"/>
      <c r="AY63" s="1038"/>
      <c r="AZ63" s="1038"/>
      <c r="BA63" s="1038"/>
      <c r="BB63" s="1038"/>
      <c r="BC63" s="1038"/>
      <c r="BD63" s="1038"/>
      <c r="BE63" s="1038"/>
    </row>
    <row r="64" spans="1:57" x14ac:dyDescent="0.25">
      <c r="A64" s="1287"/>
      <c r="B64" s="1289" t="s">
        <v>1291</v>
      </c>
      <c r="C64" s="1499" t="e">
        <f ca="1">+AB217*C54</f>
        <v>#REF!</v>
      </c>
      <c r="D64" s="1287"/>
      <c r="E64" s="1287"/>
      <c r="F64" s="1287"/>
      <c r="G64" s="1287"/>
      <c r="H64" s="1287"/>
      <c r="I64" s="1287"/>
      <c r="J64" s="1287"/>
      <c r="K64" s="1287"/>
      <c r="L64" s="1407"/>
      <c r="M64" s="1407"/>
      <c r="N64" s="1287"/>
      <c r="O64" s="1287"/>
      <c r="P64" s="1287"/>
      <c r="Q64" s="1287"/>
      <c r="R64" s="1287"/>
      <c r="S64" s="1287"/>
      <c r="T64" s="1287"/>
      <c r="U64" s="1287"/>
      <c r="V64" s="1287"/>
      <c r="W64" s="1287"/>
      <c r="X64" s="1287"/>
      <c r="Y64" s="1287"/>
      <c r="Z64" s="1287"/>
      <c r="AA64" s="1287"/>
      <c r="AB64" s="1287"/>
      <c r="AC64" s="1287"/>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row>
    <row r="65" spans="1:57" x14ac:dyDescent="0.25">
      <c r="A65" s="1287"/>
      <c r="B65" s="1289" t="s">
        <v>1294</v>
      </c>
      <c r="C65" s="1506">
        <v>30</v>
      </c>
      <c r="D65" s="1287"/>
      <c r="E65" s="1287"/>
      <c r="F65" s="1287"/>
      <c r="G65" s="1287"/>
      <c r="H65" s="1287"/>
      <c r="I65" s="1287"/>
      <c r="J65" s="1287"/>
      <c r="K65" s="1287"/>
      <c r="L65" s="1407"/>
      <c r="M65" s="1407"/>
      <c r="N65" s="1287"/>
      <c r="O65" s="1287"/>
      <c r="P65" s="1287"/>
      <c r="Q65" s="1287"/>
      <c r="R65" s="1287"/>
      <c r="S65" s="1287"/>
      <c r="T65" s="1287"/>
      <c r="U65" s="1287"/>
      <c r="V65" s="1287"/>
      <c r="W65" s="1287"/>
      <c r="X65" s="1287"/>
      <c r="Y65" s="1287"/>
      <c r="Z65" s="1287"/>
      <c r="AA65" s="1287"/>
      <c r="AB65" s="1287"/>
      <c r="AC65" s="1287"/>
      <c r="AD65" s="1038"/>
      <c r="AE65" s="1038"/>
      <c r="AF65" s="1038"/>
      <c r="AG65" s="1038"/>
      <c r="AH65" s="1038"/>
      <c r="AI65" s="1038"/>
      <c r="AJ65" s="1038"/>
      <c r="AK65" s="1038"/>
      <c r="AL65" s="1038"/>
      <c r="AM65" s="1038"/>
      <c r="AN65" s="1038"/>
      <c r="AO65" s="1038"/>
      <c r="AP65" s="1038"/>
      <c r="AQ65" s="1038"/>
      <c r="AR65" s="1038"/>
      <c r="AS65" s="1038"/>
      <c r="AT65" s="1038"/>
      <c r="AU65" s="1038"/>
      <c r="AV65" s="1038"/>
      <c r="AW65" s="1038"/>
      <c r="AX65" s="1038"/>
      <c r="AY65" s="1038"/>
      <c r="AZ65" s="1038"/>
      <c r="BA65" s="1038"/>
      <c r="BB65" s="1038"/>
      <c r="BC65" s="1038"/>
      <c r="BD65" s="1038"/>
      <c r="BE65" s="1038"/>
    </row>
    <row r="66" spans="1:57" x14ac:dyDescent="0.25">
      <c r="A66" s="1287"/>
      <c r="B66" s="1287"/>
      <c r="C66" s="1496"/>
      <c r="D66" s="1287"/>
      <c r="E66" s="1287"/>
      <c r="F66" s="1287"/>
      <c r="G66" s="1287"/>
      <c r="H66" s="1287"/>
      <c r="I66" s="1287"/>
      <c r="J66" s="1287"/>
      <c r="K66" s="1287"/>
      <c r="L66" s="1407"/>
      <c r="M66" s="1407"/>
      <c r="N66" s="1287"/>
      <c r="O66" s="1287"/>
      <c r="P66" s="1287"/>
      <c r="Q66" s="1287"/>
      <c r="R66" s="1287"/>
      <c r="S66" s="1287"/>
      <c r="T66" s="1287"/>
      <c r="U66" s="1287"/>
      <c r="V66" s="1287"/>
      <c r="W66" s="1287"/>
      <c r="X66" s="1287"/>
      <c r="Y66" s="1287"/>
      <c r="Z66" s="1287"/>
      <c r="AA66" s="1287"/>
      <c r="AB66" s="1287"/>
      <c r="AC66" s="1287"/>
      <c r="AD66" s="1038"/>
      <c r="AE66" s="1038"/>
      <c r="AF66" s="1038"/>
      <c r="AG66" s="1038"/>
      <c r="AH66" s="1038"/>
      <c r="AI66" s="1038"/>
      <c r="AJ66" s="1038"/>
      <c r="AK66" s="1038"/>
      <c r="AL66" s="1038"/>
      <c r="AM66" s="1038"/>
      <c r="AN66" s="1038"/>
      <c r="AO66" s="1038"/>
      <c r="AP66" s="1038"/>
      <c r="AQ66" s="1038"/>
      <c r="AR66" s="1038"/>
      <c r="AS66" s="1038"/>
      <c r="AT66" s="1038"/>
      <c r="AU66" s="1038"/>
      <c r="AV66" s="1038"/>
      <c r="AW66" s="1038"/>
      <c r="AX66" s="1038"/>
      <c r="AY66" s="1038"/>
      <c r="AZ66" s="1038"/>
      <c r="BA66" s="1038"/>
      <c r="BB66" s="1038"/>
      <c r="BC66" s="1038"/>
      <c r="BD66" s="1038"/>
      <c r="BE66" s="1038"/>
    </row>
    <row r="67" spans="1:57" x14ac:dyDescent="0.25">
      <c r="A67" s="1287"/>
      <c r="B67" s="1287"/>
      <c r="C67" s="1496"/>
      <c r="D67" s="1287"/>
      <c r="E67" s="1287"/>
      <c r="F67" s="1287"/>
      <c r="G67" s="1287"/>
      <c r="H67" s="1287"/>
      <c r="I67" s="1287"/>
      <c r="J67" s="1287"/>
      <c r="K67" s="1287"/>
      <c r="L67" s="1407"/>
      <c r="M67" s="1407"/>
      <c r="N67" s="1287"/>
      <c r="O67" s="1287"/>
      <c r="P67" s="1287"/>
      <c r="Q67" s="1287"/>
      <c r="R67" s="1287"/>
      <c r="S67" s="1287"/>
      <c r="T67" s="1287"/>
      <c r="U67" s="1287"/>
      <c r="V67" s="1287"/>
      <c r="W67" s="1287"/>
      <c r="X67" s="1287"/>
      <c r="Y67" s="1287"/>
      <c r="Z67" s="1287"/>
      <c r="AA67" s="1287"/>
      <c r="AB67" s="1287"/>
      <c r="AC67" s="1287"/>
      <c r="AD67" s="1038"/>
      <c r="AE67" s="1038"/>
      <c r="AF67" s="1038"/>
      <c r="AG67" s="1038"/>
      <c r="AH67" s="1038"/>
      <c r="AI67" s="1038"/>
      <c r="AJ67" s="1038"/>
      <c r="AK67" s="1038"/>
      <c r="AL67" s="1038"/>
      <c r="AM67" s="1038"/>
      <c r="AN67" s="1038"/>
      <c r="AO67" s="1038"/>
      <c r="AP67" s="1038"/>
      <c r="AQ67" s="1038"/>
      <c r="AR67" s="1038"/>
      <c r="AS67" s="1038"/>
      <c r="AT67" s="1038"/>
      <c r="AU67" s="1038"/>
      <c r="AV67" s="1038"/>
      <c r="AW67" s="1038"/>
      <c r="AX67" s="1038"/>
      <c r="AY67" s="1038"/>
      <c r="AZ67" s="1038"/>
      <c r="BA67" s="1038"/>
      <c r="BB67" s="1038"/>
      <c r="BC67" s="1038"/>
      <c r="BD67" s="1038"/>
      <c r="BE67" s="1038"/>
    </row>
    <row r="68" spans="1:57" ht="13.8" thickBot="1" x14ac:dyDescent="0.3">
      <c r="A68" s="1287"/>
      <c r="B68" s="1287"/>
      <c r="C68" s="1496"/>
      <c r="D68" s="1287"/>
      <c r="E68" s="1287"/>
      <c r="F68" s="1287"/>
      <c r="G68" s="1287"/>
      <c r="H68" s="1287"/>
      <c r="I68" s="1287"/>
      <c r="J68" s="1287"/>
      <c r="K68" s="1287"/>
      <c r="L68" s="1407"/>
      <c r="M68" s="1407"/>
      <c r="N68" s="1287"/>
      <c r="O68" s="1287"/>
      <c r="P68" s="1287"/>
      <c r="Q68" s="1287"/>
      <c r="R68" s="1287"/>
      <c r="S68" s="1287"/>
      <c r="T68" s="1287"/>
      <c r="U68" s="1287"/>
      <c r="V68" s="1287"/>
      <c r="W68" s="1287"/>
      <c r="X68" s="1287"/>
      <c r="Y68" s="1287"/>
      <c r="Z68" s="1287"/>
      <c r="AA68" s="1287"/>
      <c r="AB68" s="1287"/>
      <c r="AC68" s="1287"/>
      <c r="AD68" s="1038"/>
      <c r="AE68" s="1038"/>
      <c r="AF68" s="1038"/>
      <c r="AG68" s="1038"/>
      <c r="AH68" s="1038"/>
      <c r="AI68" s="1038"/>
      <c r="AJ68" s="1038"/>
      <c r="AK68" s="1038"/>
      <c r="AL68" s="1038"/>
      <c r="AM68" s="1038"/>
      <c r="AN68" s="1038"/>
      <c r="AO68" s="1038"/>
      <c r="AP68" s="1038"/>
      <c r="AQ68" s="1038"/>
      <c r="AR68" s="1038"/>
      <c r="AS68" s="1038"/>
      <c r="AT68" s="1038"/>
      <c r="AU68" s="1038"/>
      <c r="AV68" s="1038"/>
      <c r="AW68" s="1038"/>
      <c r="AX68" s="1038"/>
      <c r="AY68" s="1038"/>
      <c r="AZ68" s="1038"/>
      <c r="BA68" s="1038"/>
      <c r="BB68" s="1038"/>
      <c r="BC68" s="1038"/>
      <c r="BD68" s="1038"/>
      <c r="BE68" s="1038"/>
    </row>
    <row r="69" spans="1:57" ht="13.8" thickBot="1" x14ac:dyDescent="0.3">
      <c r="A69" s="1287"/>
      <c r="B69" s="1589" t="s">
        <v>1329</v>
      </c>
      <c r="C69" s="1590"/>
      <c r="D69" s="1287"/>
      <c r="E69" s="1287"/>
      <c r="F69" s="1287"/>
      <c r="G69" s="1287"/>
      <c r="H69" s="1287"/>
      <c r="I69" s="1287"/>
      <c r="J69" s="1287"/>
      <c r="K69" s="1287"/>
      <c r="L69" s="1407"/>
      <c r="M69" s="1407"/>
      <c r="N69" s="1287"/>
      <c r="O69" s="1287"/>
      <c r="P69" s="1287"/>
      <c r="Q69" s="1287"/>
      <c r="R69" s="1287"/>
      <c r="S69" s="1287"/>
      <c r="T69" s="1287"/>
      <c r="U69" s="1287"/>
      <c r="V69" s="1287"/>
      <c r="W69" s="1287"/>
      <c r="X69" s="1287"/>
      <c r="Y69" s="1287"/>
      <c r="Z69" s="1287"/>
      <c r="AA69" s="1287"/>
      <c r="AB69" s="1287"/>
      <c r="AC69" s="1287"/>
      <c r="AD69" s="1038"/>
      <c r="AE69" s="1038"/>
      <c r="AF69" s="1038"/>
      <c r="AG69" s="1038"/>
      <c r="AH69" s="1038"/>
      <c r="AI69" s="1038"/>
      <c r="AJ69" s="1038"/>
      <c r="AK69" s="1038"/>
      <c r="AL69" s="1038"/>
      <c r="AM69" s="1038"/>
      <c r="AN69" s="1038"/>
      <c r="AO69" s="1038"/>
      <c r="AP69" s="1038"/>
      <c r="AQ69" s="1038"/>
      <c r="AR69" s="1038"/>
      <c r="AS69" s="1038"/>
      <c r="AT69" s="1038"/>
      <c r="AU69" s="1038"/>
      <c r="AV69" s="1038"/>
      <c r="AW69" s="1038"/>
      <c r="AX69" s="1038"/>
      <c r="AY69" s="1038"/>
      <c r="AZ69" s="1038"/>
      <c r="BA69" s="1038"/>
      <c r="BB69" s="1038"/>
      <c r="BC69" s="1038"/>
      <c r="BD69" s="1038"/>
      <c r="BE69" s="1038"/>
    </row>
    <row r="70" spans="1:57" ht="13.8" thickBot="1" x14ac:dyDescent="0.3">
      <c r="A70" s="1287"/>
      <c r="B70" s="1287"/>
      <c r="C70" s="1496"/>
      <c r="D70" s="1287"/>
      <c r="E70" s="1287"/>
      <c r="F70" s="1287"/>
      <c r="G70" s="1287"/>
      <c r="H70" s="1287"/>
      <c r="I70" s="1287"/>
      <c r="J70" s="1287"/>
      <c r="K70" s="1287"/>
      <c r="L70" s="1408"/>
      <c r="M70" s="1287"/>
      <c r="N70" s="1287"/>
      <c r="O70" s="1287"/>
      <c r="P70" s="1287"/>
      <c r="Q70" s="1287"/>
      <c r="R70" s="1287"/>
      <c r="S70" s="1287"/>
      <c r="T70" s="1287"/>
      <c r="U70" s="1287"/>
      <c r="V70" s="1287"/>
      <c r="W70" s="1287"/>
      <c r="X70" s="1287"/>
      <c r="Y70" s="1287"/>
      <c r="Z70" s="1287"/>
      <c r="AA70" s="1287"/>
      <c r="AB70" s="1287"/>
      <c r="AC70" s="1287"/>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row>
    <row r="71" spans="1:57" ht="13.8" x14ac:dyDescent="0.25">
      <c r="A71" s="1287"/>
      <c r="B71" s="1338" t="s">
        <v>1271</v>
      </c>
      <c r="C71" s="1510" t="s">
        <v>1333</v>
      </c>
      <c r="D71" s="1397"/>
      <c r="E71" s="1397"/>
      <c r="F71" s="1397"/>
      <c r="G71" s="1397"/>
      <c r="H71" s="1397"/>
      <c r="I71" s="1397"/>
      <c r="J71" s="1397"/>
      <c r="K71" s="1397"/>
      <c r="L71" s="1397"/>
      <c r="M71" s="1397"/>
      <c r="N71" s="1397"/>
      <c r="O71" s="1397"/>
      <c r="P71" s="1397"/>
      <c r="Q71" s="1397"/>
      <c r="R71" s="1397"/>
      <c r="S71" s="1397"/>
      <c r="T71" s="1397"/>
      <c r="U71" s="1397"/>
      <c r="V71" s="1397"/>
      <c r="W71" s="1397"/>
      <c r="X71" s="1397"/>
      <c r="Y71" s="1397"/>
      <c r="Z71" s="1397"/>
      <c r="AA71" s="1397"/>
      <c r="AB71" s="1401"/>
      <c r="AC71" s="1287"/>
      <c r="AD71" s="1038"/>
      <c r="AE71" s="1038"/>
      <c r="AF71" s="1038"/>
      <c r="AG71" s="1038"/>
      <c r="AH71" s="1038"/>
      <c r="AI71" s="1038"/>
      <c r="AJ71" s="1038"/>
      <c r="AK71" s="1038"/>
      <c r="AL71" s="1038"/>
      <c r="AM71" s="1038"/>
      <c r="AN71" s="1038"/>
      <c r="AO71" s="1038"/>
      <c r="AP71" s="1038"/>
      <c r="AQ71" s="1038"/>
      <c r="AR71" s="1038"/>
      <c r="AS71" s="1038"/>
      <c r="AT71" s="1038"/>
      <c r="AU71" s="1038"/>
      <c r="AV71" s="1038"/>
      <c r="AW71" s="1038"/>
      <c r="AX71" s="1038"/>
      <c r="AY71" s="1038"/>
      <c r="AZ71" s="1038"/>
      <c r="BA71" s="1038"/>
      <c r="BB71" s="1038"/>
      <c r="BC71" s="1038"/>
      <c r="BD71" s="1038"/>
      <c r="BE71" s="1038"/>
    </row>
    <row r="72" spans="1:57" ht="39.6" x14ac:dyDescent="0.25">
      <c r="A72" s="1287"/>
      <c r="B72" s="1426" t="s">
        <v>1332</v>
      </c>
      <c r="C72" s="1511">
        <v>50</v>
      </c>
      <c r="D72" s="1428">
        <v>57</v>
      </c>
      <c r="E72" s="1428">
        <v>66</v>
      </c>
      <c r="F72" s="1428">
        <v>75</v>
      </c>
      <c r="G72" s="1428">
        <v>86</v>
      </c>
      <c r="H72" s="1428">
        <v>99</v>
      </c>
      <c r="I72" s="1428">
        <v>113</v>
      </c>
      <c r="J72" s="1428">
        <v>130</v>
      </c>
      <c r="K72" s="1428">
        <v>149</v>
      </c>
      <c r="L72" s="1428">
        <v>170</v>
      </c>
      <c r="M72" s="1428">
        <v>195</v>
      </c>
      <c r="N72" s="1428">
        <v>224</v>
      </c>
      <c r="O72" s="1428">
        <v>256</v>
      </c>
      <c r="P72" s="1428">
        <v>294</v>
      </c>
      <c r="Q72" s="1428">
        <v>336</v>
      </c>
      <c r="R72" s="1428">
        <v>386</v>
      </c>
      <c r="S72" s="1428">
        <v>442</v>
      </c>
      <c r="T72" s="1428">
        <v>506</v>
      </c>
      <c r="U72" s="1428">
        <v>580</v>
      </c>
      <c r="V72" s="1428">
        <v>665</v>
      </c>
      <c r="W72" s="1428">
        <v>762</v>
      </c>
      <c r="X72" s="1428">
        <v>873</v>
      </c>
      <c r="Y72" s="1428">
        <v>1000</v>
      </c>
      <c r="Z72" s="1409"/>
      <c r="AA72" s="1289" t="str">
        <f>"Values at "&amp;ROUND(C54,0)&amp;" km distance"</f>
        <v>Values at 161 km distance</v>
      </c>
      <c r="AB72" s="1339" t="e">
        <f ca="1">"Value at "&amp;ROUND($C$55,2)&amp;" million metric tonnes/y"</f>
        <v>#REF!</v>
      </c>
      <c r="AC72" s="1287"/>
      <c r="AD72" s="1038"/>
      <c r="AE72" s="1038"/>
      <c r="AF72" s="1038"/>
      <c r="AG72" s="1038"/>
      <c r="AH72" s="1038"/>
      <c r="AI72" s="1038"/>
      <c r="AJ72" s="1038"/>
      <c r="AK72" s="1038"/>
      <c r="AL72" s="1038"/>
      <c r="AM72" s="1038"/>
      <c r="AN72" s="1038"/>
      <c r="AO72" s="1038"/>
      <c r="AP72" s="1038"/>
      <c r="AQ72" s="1038"/>
      <c r="AR72" s="1038"/>
      <c r="AS72" s="1038"/>
      <c r="AT72" s="1038"/>
      <c r="AU72" s="1038"/>
      <c r="AV72" s="1038"/>
      <c r="AW72" s="1038"/>
      <c r="AX72" s="1038"/>
      <c r="AY72" s="1038"/>
      <c r="AZ72" s="1038"/>
      <c r="BA72" s="1038"/>
      <c r="BB72" s="1038"/>
      <c r="BC72" s="1038"/>
      <c r="BD72" s="1038"/>
      <c r="BE72" s="1038"/>
    </row>
    <row r="73" spans="1:57" x14ac:dyDescent="0.25">
      <c r="A73" s="1287"/>
      <c r="B73" s="1427">
        <v>0.5</v>
      </c>
      <c r="C73" s="1506">
        <v>55128.085986206912</v>
      </c>
      <c r="D73" s="1286">
        <v>54955.168059205505</v>
      </c>
      <c r="E73" s="1286">
        <v>54786.741506931387</v>
      </c>
      <c r="F73" s="1286">
        <v>54658.737327203089</v>
      </c>
      <c r="G73" s="1286">
        <v>54538.671391178847</v>
      </c>
      <c r="H73" s="1286">
        <v>54431.174341019403</v>
      </c>
      <c r="I73" s="1286">
        <v>54343.069202563333</v>
      </c>
      <c r="J73" s="1286">
        <v>54261.59615419984</v>
      </c>
      <c r="K73" s="1286">
        <v>54192.538659199272</v>
      </c>
      <c r="L73" s="1286">
        <v>54134.171178904682</v>
      </c>
      <c r="M73" s="1286">
        <v>54081.077439198358</v>
      </c>
      <c r="N73" s="1286">
        <v>54034.335986206905</v>
      </c>
      <c r="O73" s="1286">
        <v>53995.048989080475</v>
      </c>
      <c r="P73" s="1286">
        <v>53959.503610727967</v>
      </c>
      <c r="Q73" s="1286">
        <v>53929.57066053641</v>
      </c>
      <c r="R73" s="1286">
        <v>53902.429384455972</v>
      </c>
      <c r="S73" s="1286">
        <v>53879.321228314373</v>
      </c>
      <c r="T73" s="1286">
        <v>53859.174987160979</v>
      </c>
      <c r="U73" s="1286">
        <v>53841.423283075725</v>
      </c>
      <c r="V73" s="1286">
        <v>53825.908127767696</v>
      </c>
      <c r="W73" s="1286">
        <v>53812.431477503262</v>
      </c>
      <c r="X73" s="1286">
        <v>53800.684108680609</v>
      </c>
      <c r="Y73" s="1286">
        <v>53790.442308045996</v>
      </c>
      <c r="Z73" s="1409"/>
      <c r="AA73" s="1410">
        <f t="shared" ref="AA73:AA95" ca="1" si="1">FORECAST($C$54,OFFSET(G73:Y73,0,MATCH($C$54,$G$72:$Y$72,1)-1,1,2), OFFSET($G$72:$Y$72,0,MATCH($C$54,$G$72:$Y$72,1)-1,1,2))</f>
        <v>54159.368142207473</v>
      </c>
      <c r="AB73" s="1411" t="e">
        <f ca="1">FORECAST($C$55,OFFSET(AA73:AA95,MATCH($C$55,$B$73:$B$95,1)-1,0,2), OFFSET($B$73:$B$95,MATCH($C$55,$B$73:$B$95,1)-1,0,2))</f>
        <v>#REF!</v>
      </c>
      <c r="AC73" s="1287"/>
      <c r="AD73" s="1038"/>
      <c r="AE73" s="1038"/>
      <c r="AF73" s="1038"/>
      <c r="AG73" s="1038"/>
      <c r="AH73" s="1038"/>
      <c r="AI73" s="1038"/>
      <c r="AJ73" s="1038"/>
      <c r="AK73" s="1038"/>
      <c r="AL73" s="1038"/>
      <c r="AM73" s="1038"/>
      <c r="AN73" s="1038"/>
      <c r="AO73" s="1038"/>
      <c r="AP73" s="1038"/>
      <c r="AQ73" s="1038"/>
      <c r="AR73" s="1038"/>
      <c r="AS73" s="1038"/>
      <c r="AT73" s="1038"/>
      <c r="AU73" s="1038"/>
      <c r="AV73" s="1038"/>
      <c r="AW73" s="1038"/>
      <c r="AX73" s="1038"/>
      <c r="AY73" s="1038"/>
      <c r="AZ73" s="1038"/>
      <c r="BA73" s="1038"/>
      <c r="BB73" s="1038"/>
      <c r="BC73" s="1038"/>
      <c r="BD73" s="1038"/>
      <c r="BE73" s="1038"/>
    </row>
    <row r="74" spans="1:57" x14ac:dyDescent="0.25">
      <c r="A74" s="1287"/>
      <c r="B74" s="1427">
        <v>0.56999999999999995</v>
      </c>
      <c r="C74" s="1506">
        <v>55128.085986206912</v>
      </c>
      <c r="D74" s="1286">
        <v>54955.168059205505</v>
      </c>
      <c r="E74" s="1286">
        <v>54786.741506931387</v>
      </c>
      <c r="F74" s="1286">
        <v>54658.737327203089</v>
      </c>
      <c r="G74" s="1286">
        <v>54538.671391178847</v>
      </c>
      <c r="H74" s="1286">
        <v>54431.174341019403</v>
      </c>
      <c r="I74" s="1286">
        <v>54343.069202563333</v>
      </c>
      <c r="J74" s="1286">
        <v>54261.59615419984</v>
      </c>
      <c r="K74" s="1286">
        <v>54192.538659199272</v>
      </c>
      <c r="L74" s="1286">
        <v>54134.171178904682</v>
      </c>
      <c r="M74" s="1286">
        <v>54081.077439198358</v>
      </c>
      <c r="N74" s="1286">
        <v>54034.335986206905</v>
      </c>
      <c r="O74" s="1286">
        <v>53995.048989080475</v>
      </c>
      <c r="P74" s="1286">
        <v>53959.503610727967</v>
      </c>
      <c r="Q74" s="1286">
        <v>53929.57066053641</v>
      </c>
      <c r="R74" s="1286">
        <v>53902.429384455972</v>
      </c>
      <c r="S74" s="1286">
        <v>53879.321228314373</v>
      </c>
      <c r="T74" s="1286">
        <v>53859.174987160979</v>
      </c>
      <c r="U74" s="1286">
        <v>53841.423283075725</v>
      </c>
      <c r="V74" s="1286">
        <v>53825.908127767696</v>
      </c>
      <c r="W74" s="1286">
        <v>53812.431477503262</v>
      </c>
      <c r="X74" s="1286">
        <v>53800.684108680609</v>
      </c>
      <c r="Y74" s="1286">
        <v>53790.442308045996</v>
      </c>
      <c r="Z74" s="1409"/>
      <c r="AA74" s="1410">
        <f t="shared" ca="1" si="1"/>
        <v>54159.368142207473</v>
      </c>
      <c r="AB74" s="1412"/>
      <c r="AC74" s="1287"/>
      <c r="AD74" s="1038"/>
      <c r="AE74" s="1038"/>
      <c r="AF74" s="1038"/>
      <c r="AG74" s="1038"/>
      <c r="AH74" s="1038"/>
      <c r="AI74" s="1038"/>
      <c r="AJ74" s="1038"/>
      <c r="AK74" s="1038"/>
      <c r="AL74" s="1038"/>
      <c r="AM74" s="1038"/>
      <c r="AN74" s="1038"/>
      <c r="AO74" s="1038"/>
      <c r="AP74" s="1038"/>
      <c r="AQ74" s="1038"/>
      <c r="AR74" s="1038"/>
      <c r="AS74" s="1038"/>
      <c r="AT74" s="1038"/>
      <c r="AU74" s="1038"/>
      <c r="AV74" s="1038"/>
      <c r="AW74" s="1038"/>
      <c r="AX74" s="1038"/>
      <c r="AY74" s="1038"/>
      <c r="AZ74" s="1038"/>
      <c r="BA74" s="1038"/>
      <c r="BB74" s="1038"/>
      <c r="BC74" s="1038"/>
      <c r="BD74" s="1038"/>
      <c r="BE74" s="1038"/>
    </row>
    <row r="75" spans="1:57" x14ac:dyDescent="0.25">
      <c r="A75" s="1287"/>
      <c r="B75" s="1427">
        <v>0.65</v>
      </c>
      <c r="C75" s="1506">
        <v>55128.085986206912</v>
      </c>
      <c r="D75" s="1286">
        <v>54955.168059205505</v>
      </c>
      <c r="E75" s="1286">
        <v>54786.741506931387</v>
      </c>
      <c r="F75" s="1286">
        <v>54658.737327203089</v>
      </c>
      <c r="G75" s="1286">
        <v>54538.671391178847</v>
      </c>
      <c r="H75" s="1286">
        <v>54431.174341019403</v>
      </c>
      <c r="I75" s="1286">
        <v>54343.069202563333</v>
      </c>
      <c r="J75" s="1286">
        <v>54261.59615419984</v>
      </c>
      <c r="K75" s="1286">
        <v>54192.538659199272</v>
      </c>
      <c r="L75" s="1286">
        <v>54134.171178904682</v>
      </c>
      <c r="M75" s="1286">
        <v>54081.077439198358</v>
      </c>
      <c r="N75" s="1286">
        <v>54034.335986206905</v>
      </c>
      <c r="O75" s="1286">
        <v>53995.048989080475</v>
      </c>
      <c r="P75" s="1286">
        <v>53959.503610727967</v>
      </c>
      <c r="Q75" s="1286">
        <v>53929.57066053641</v>
      </c>
      <c r="R75" s="1286">
        <v>53902.429384455972</v>
      </c>
      <c r="S75" s="1286">
        <v>53879.321228314373</v>
      </c>
      <c r="T75" s="1286">
        <v>53859.174987160979</v>
      </c>
      <c r="U75" s="1286">
        <v>53841.423283075725</v>
      </c>
      <c r="V75" s="1286">
        <v>53825.908127767696</v>
      </c>
      <c r="W75" s="1286">
        <v>53812.431477503262</v>
      </c>
      <c r="X75" s="1286">
        <v>53800.684108680609</v>
      </c>
      <c r="Y75" s="1286">
        <v>53790.442308045996</v>
      </c>
      <c r="Z75" s="1409"/>
      <c r="AA75" s="1410">
        <f t="shared" ca="1" si="1"/>
        <v>54159.368142207473</v>
      </c>
      <c r="AB75" s="1412"/>
      <c r="AC75" s="1287"/>
      <c r="AD75" s="1038"/>
      <c r="AE75" s="1038"/>
      <c r="AF75" s="1038"/>
      <c r="AG75" s="1038"/>
      <c r="AH75" s="1038"/>
      <c r="AI75" s="1038"/>
      <c r="AJ75" s="1038"/>
      <c r="AK75" s="1038"/>
      <c r="AL75" s="1038"/>
      <c r="AM75" s="1038"/>
      <c r="AN75" s="1038"/>
      <c r="AO75" s="1038"/>
      <c r="AP75" s="1038"/>
      <c r="AQ75" s="1038"/>
      <c r="AR75" s="1038"/>
      <c r="AS75" s="1038"/>
      <c r="AT75" s="1038"/>
      <c r="AU75" s="1038"/>
      <c r="AV75" s="1038"/>
      <c r="AW75" s="1038"/>
      <c r="AX75" s="1038"/>
      <c r="AY75" s="1038"/>
      <c r="AZ75" s="1038"/>
      <c r="BA75" s="1038"/>
      <c r="BB75" s="1038"/>
      <c r="BC75" s="1038"/>
      <c r="BD75" s="1038"/>
      <c r="BE75" s="1038"/>
    </row>
    <row r="76" spans="1:57" x14ac:dyDescent="0.25">
      <c r="A76" s="1287"/>
      <c r="B76" s="1427">
        <v>0.74</v>
      </c>
      <c r="C76" s="1506">
        <v>55128.085986206912</v>
      </c>
      <c r="D76" s="1286">
        <v>54955.168059205505</v>
      </c>
      <c r="E76" s="1286">
        <v>54786.741506931387</v>
      </c>
      <c r="F76" s="1286">
        <v>54658.737327203089</v>
      </c>
      <c r="G76" s="1286">
        <v>54538.671391178847</v>
      </c>
      <c r="H76" s="1286">
        <v>54431.174341019403</v>
      </c>
      <c r="I76" s="1286">
        <v>54343.069202563333</v>
      </c>
      <c r="J76" s="1286">
        <v>54261.59615419984</v>
      </c>
      <c r="K76" s="1286">
        <v>54192.538659199272</v>
      </c>
      <c r="L76" s="1286">
        <v>54134.171178904682</v>
      </c>
      <c r="M76" s="1286">
        <v>54081.077439198358</v>
      </c>
      <c r="N76" s="1286">
        <v>54034.335986206905</v>
      </c>
      <c r="O76" s="1286">
        <v>53995.048989080475</v>
      </c>
      <c r="P76" s="1286">
        <v>53959.503610727967</v>
      </c>
      <c r="Q76" s="1286">
        <v>53929.57066053641</v>
      </c>
      <c r="R76" s="1286">
        <v>53902.429384455972</v>
      </c>
      <c r="S76" s="1286">
        <v>53879.321228314373</v>
      </c>
      <c r="T76" s="1286">
        <v>53859.174987160979</v>
      </c>
      <c r="U76" s="1286">
        <v>53841.423283075725</v>
      </c>
      <c r="V76" s="1286">
        <v>53825.908127767696</v>
      </c>
      <c r="W76" s="1286">
        <v>53812.431477503262</v>
      </c>
      <c r="X76" s="1286">
        <v>53800.684108680609</v>
      </c>
      <c r="Y76" s="1286">
        <v>53790.442308045996</v>
      </c>
      <c r="Z76" s="1409"/>
      <c r="AA76" s="1410">
        <f t="shared" ca="1" si="1"/>
        <v>54159.368142207473</v>
      </c>
      <c r="AB76" s="1412"/>
      <c r="AC76" s="1287"/>
      <c r="AD76" s="1038"/>
      <c r="AE76" s="1038"/>
      <c r="AF76" s="1038"/>
      <c r="AG76" s="1038"/>
      <c r="AH76" s="1038"/>
      <c r="AI76" s="1038"/>
      <c r="AJ76" s="1038"/>
      <c r="AK76" s="1038"/>
      <c r="AL76" s="1038"/>
      <c r="AM76" s="1038"/>
      <c r="AN76" s="1038"/>
      <c r="AO76" s="1038"/>
      <c r="AP76" s="1038"/>
      <c r="AQ76" s="1038"/>
      <c r="AR76" s="1038"/>
      <c r="AS76" s="1038"/>
      <c r="AT76" s="1038"/>
      <c r="AU76" s="1038"/>
      <c r="AV76" s="1038"/>
      <c r="AW76" s="1038"/>
      <c r="AX76" s="1038"/>
      <c r="AY76" s="1038"/>
      <c r="AZ76" s="1038"/>
      <c r="BA76" s="1038"/>
      <c r="BB76" s="1038"/>
      <c r="BC76" s="1038"/>
      <c r="BD76" s="1038"/>
      <c r="BE76" s="1038"/>
    </row>
    <row r="77" spans="1:57" x14ac:dyDescent="0.25">
      <c r="A77" s="1287"/>
      <c r="B77" s="1427">
        <v>0.85</v>
      </c>
      <c r="C77" s="1506">
        <v>55128.085986206912</v>
      </c>
      <c r="D77" s="1286">
        <v>54955.168059205505</v>
      </c>
      <c r="E77" s="1286">
        <v>68070.515011299212</v>
      </c>
      <c r="F77" s="1286">
        <v>67942.510831570893</v>
      </c>
      <c r="G77" s="1286">
        <v>54538.671391178847</v>
      </c>
      <c r="H77" s="1286">
        <v>54431.174341019403</v>
      </c>
      <c r="I77" s="1286">
        <v>54343.069202563333</v>
      </c>
      <c r="J77" s="1286">
        <v>67545.369658567637</v>
      </c>
      <c r="K77" s="1286">
        <v>54192.538659199272</v>
      </c>
      <c r="L77" s="1286">
        <v>54134.171178904682</v>
      </c>
      <c r="M77" s="1286">
        <v>67364.850943566184</v>
      </c>
      <c r="N77" s="1286">
        <v>54034.335986206905</v>
      </c>
      <c r="O77" s="1286">
        <v>53995.048989080475</v>
      </c>
      <c r="P77" s="1286">
        <v>67243.277115095785</v>
      </c>
      <c r="Q77" s="1286">
        <v>53929.57066053641</v>
      </c>
      <c r="R77" s="1286">
        <v>53902.429384455972</v>
      </c>
      <c r="S77" s="1286">
        <v>67163.094732682192</v>
      </c>
      <c r="T77" s="1286">
        <v>67142.94849152879</v>
      </c>
      <c r="U77" s="1286">
        <v>67125.19678744355</v>
      </c>
      <c r="V77" s="1286">
        <v>53825.908127767696</v>
      </c>
      <c r="W77" s="1286">
        <v>53812.431477503262</v>
      </c>
      <c r="X77" s="1286">
        <v>67084.457613048435</v>
      </c>
      <c r="Y77" s="1286">
        <v>67074.215812413822</v>
      </c>
      <c r="Z77" s="1409"/>
      <c r="AA77" s="1410">
        <f t="shared" ca="1" si="1"/>
        <v>54159.368142207473</v>
      </c>
      <c r="AB77" s="1412"/>
      <c r="AC77" s="1287"/>
      <c r="AD77" s="1038"/>
      <c r="AE77" s="1038"/>
      <c r="AF77" s="1038"/>
      <c r="AG77" s="1038"/>
      <c r="AH77" s="1038"/>
      <c r="AI77" s="1038"/>
      <c r="AJ77" s="1038"/>
      <c r="AK77" s="1038"/>
      <c r="AL77" s="1038"/>
      <c r="AM77" s="1038"/>
      <c r="AN77" s="1038"/>
      <c r="AO77" s="1038"/>
      <c r="AP77" s="1038"/>
      <c r="AQ77" s="1038"/>
      <c r="AR77" s="1038"/>
      <c r="AS77" s="1038"/>
      <c r="AT77" s="1038"/>
      <c r="AU77" s="1038"/>
      <c r="AV77" s="1038"/>
      <c r="AW77" s="1038"/>
      <c r="AX77" s="1038"/>
      <c r="AY77" s="1038"/>
      <c r="AZ77" s="1038"/>
      <c r="BA77" s="1038"/>
      <c r="BB77" s="1038"/>
      <c r="BC77" s="1038"/>
      <c r="BD77" s="1038"/>
      <c r="BE77" s="1038"/>
    </row>
    <row r="78" spans="1:57" x14ac:dyDescent="0.25">
      <c r="A78" s="1287"/>
      <c r="B78" s="1427">
        <v>0.96</v>
      </c>
      <c r="C78" s="1506">
        <v>68411.859490574745</v>
      </c>
      <c r="D78" s="1286">
        <v>68238.941563573317</v>
      </c>
      <c r="E78" s="1286">
        <v>68070.515011299212</v>
      </c>
      <c r="F78" s="1286">
        <v>67942.510831570893</v>
      </c>
      <c r="G78" s="1286">
        <v>54538.671391178847</v>
      </c>
      <c r="H78" s="1286">
        <v>67714.947845387229</v>
      </c>
      <c r="I78" s="1286">
        <v>67626.842706931173</v>
      </c>
      <c r="J78" s="1286">
        <v>67545.369658567637</v>
      </c>
      <c r="K78" s="1286">
        <v>67476.312163567112</v>
      </c>
      <c r="L78" s="1286">
        <v>67417.944683272523</v>
      </c>
      <c r="M78" s="1286">
        <v>67364.850943566184</v>
      </c>
      <c r="N78" s="1286">
        <v>67318.10949057473</v>
      </c>
      <c r="O78" s="1286">
        <v>67278.822493448301</v>
      </c>
      <c r="P78" s="1286">
        <v>67243.277115095785</v>
      </c>
      <c r="Q78" s="1286">
        <v>67213.344164904236</v>
      </c>
      <c r="R78" s="1286">
        <v>67186.202888823798</v>
      </c>
      <c r="S78" s="1286">
        <v>67163.094732682192</v>
      </c>
      <c r="T78" s="1286">
        <v>67142.94849152879</v>
      </c>
      <c r="U78" s="1286">
        <v>67125.19678744355</v>
      </c>
      <c r="V78" s="1286">
        <v>67109.681632135529</v>
      </c>
      <c r="W78" s="1286">
        <v>67096.20498187108</v>
      </c>
      <c r="X78" s="1286">
        <v>67084.457613048435</v>
      </c>
      <c r="Y78" s="1286">
        <v>67074.215812413822</v>
      </c>
      <c r="Z78" s="1409"/>
      <c r="AA78" s="1410">
        <f t="shared" ca="1" si="1"/>
        <v>67443.141646575314</v>
      </c>
      <c r="AB78" s="1412"/>
      <c r="AC78" s="1287"/>
      <c r="AD78" s="1038"/>
      <c r="AE78" s="1038"/>
      <c r="AF78" s="1038"/>
      <c r="AG78" s="1038"/>
      <c r="AH78" s="1038"/>
      <c r="AI78" s="1038"/>
      <c r="AJ78" s="1038"/>
      <c r="AK78" s="1038"/>
      <c r="AL78" s="1038"/>
      <c r="AM78" s="1038"/>
      <c r="AN78" s="1038"/>
      <c r="AO78" s="1038"/>
      <c r="AP78" s="1038"/>
      <c r="AQ78" s="1038"/>
      <c r="AR78" s="1038"/>
      <c r="AS78" s="1038"/>
      <c r="AT78" s="1038"/>
      <c r="AU78" s="1038"/>
      <c r="AV78" s="1038"/>
      <c r="AW78" s="1038"/>
      <c r="AX78" s="1038"/>
      <c r="AY78" s="1038"/>
      <c r="AZ78" s="1038"/>
      <c r="BA78" s="1038"/>
      <c r="BB78" s="1038"/>
      <c r="BC78" s="1038"/>
      <c r="BD78" s="1038"/>
      <c r="BE78" s="1038"/>
    </row>
    <row r="79" spans="1:57" x14ac:dyDescent="0.25">
      <c r="A79" s="1287"/>
      <c r="B79" s="1427">
        <v>1.1000000000000001</v>
      </c>
      <c r="C79" s="1506">
        <v>68411.859490574745</v>
      </c>
      <c r="D79" s="1286">
        <v>68238.941563573317</v>
      </c>
      <c r="E79" s="1286">
        <v>68070.515011299212</v>
      </c>
      <c r="F79" s="1286">
        <v>67942.510831570893</v>
      </c>
      <c r="G79" s="1286">
        <v>67822.444895546665</v>
      </c>
      <c r="H79" s="1286">
        <v>67714.947845387229</v>
      </c>
      <c r="I79" s="1286">
        <v>67626.842706931173</v>
      </c>
      <c r="J79" s="1286">
        <v>67545.369658567637</v>
      </c>
      <c r="K79" s="1286">
        <v>67476.312163567112</v>
      </c>
      <c r="L79" s="1286">
        <v>67417.944683272523</v>
      </c>
      <c r="M79" s="1286">
        <v>67364.850943566184</v>
      </c>
      <c r="N79" s="1286">
        <v>67318.10949057473</v>
      </c>
      <c r="O79" s="1286">
        <v>67278.822493448301</v>
      </c>
      <c r="P79" s="1286">
        <v>67243.277115095785</v>
      </c>
      <c r="Q79" s="1286">
        <v>67213.344164904236</v>
      </c>
      <c r="R79" s="1286">
        <v>67186.202888823798</v>
      </c>
      <c r="S79" s="1286">
        <v>67163.094732682192</v>
      </c>
      <c r="T79" s="1286">
        <v>67142.94849152879</v>
      </c>
      <c r="U79" s="1286">
        <v>67125.19678744355</v>
      </c>
      <c r="V79" s="1286">
        <v>67109.681632135529</v>
      </c>
      <c r="W79" s="1286">
        <v>67096.20498187108</v>
      </c>
      <c r="X79" s="1286">
        <v>67084.457613048435</v>
      </c>
      <c r="Y79" s="1286">
        <v>67074.215812413822</v>
      </c>
      <c r="Z79" s="1409"/>
      <c r="AA79" s="1410">
        <f t="shared" ca="1" si="1"/>
        <v>67443.141646575314</v>
      </c>
      <c r="AB79" s="1412"/>
      <c r="AC79" s="1287"/>
      <c r="AD79" s="1038"/>
      <c r="AE79" s="1038"/>
      <c r="AF79" s="1038"/>
      <c r="AG79" s="1038"/>
      <c r="AH79" s="1038"/>
      <c r="AI79" s="1038"/>
      <c r="AJ79" s="1038"/>
      <c r="AK79" s="1038"/>
      <c r="AL79" s="1038"/>
      <c r="AM79" s="1038"/>
      <c r="AN79" s="1038"/>
      <c r="AO79" s="1038"/>
      <c r="AP79" s="1038"/>
      <c r="AQ79" s="1038"/>
      <c r="AR79" s="1038"/>
      <c r="AS79" s="1038"/>
      <c r="AT79" s="1038"/>
      <c r="AU79" s="1038"/>
      <c r="AV79" s="1038"/>
      <c r="AW79" s="1038"/>
      <c r="AX79" s="1038"/>
      <c r="AY79" s="1038"/>
      <c r="AZ79" s="1038"/>
      <c r="BA79" s="1038"/>
      <c r="BB79" s="1038"/>
      <c r="BC79" s="1038"/>
      <c r="BD79" s="1038"/>
      <c r="BE79" s="1038"/>
    </row>
    <row r="80" spans="1:57" x14ac:dyDescent="0.25">
      <c r="A80" s="1287"/>
      <c r="B80" s="1427">
        <v>1.25</v>
      </c>
      <c r="C80" s="1506">
        <v>68411.859490574745</v>
      </c>
      <c r="D80" s="1286">
        <v>68238.941563573317</v>
      </c>
      <c r="E80" s="1286">
        <v>68070.515011299212</v>
      </c>
      <c r="F80" s="1286">
        <v>67942.510831570893</v>
      </c>
      <c r="G80" s="1286">
        <v>67822.444895546665</v>
      </c>
      <c r="H80" s="1286">
        <v>67714.947845387229</v>
      </c>
      <c r="I80" s="1286">
        <v>67626.842706931173</v>
      </c>
      <c r="J80" s="1286">
        <v>67545.369658567637</v>
      </c>
      <c r="K80" s="1286">
        <v>67476.312163567112</v>
      </c>
      <c r="L80" s="1286">
        <v>67417.944683272523</v>
      </c>
      <c r="M80" s="1286">
        <v>67364.850943566184</v>
      </c>
      <c r="N80" s="1286">
        <v>67318.10949057473</v>
      </c>
      <c r="O80" s="1286">
        <v>67278.822493448301</v>
      </c>
      <c r="P80" s="1286">
        <v>67243.277115095785</v>
      </c>
      <c r="Q80" s="1286">
        <v>67213.344164904236</v>
      </c>
      <c r="R80" s="1286">
        <v>67186.202888823798</v>
      </c>
      <c r="S80" s="1286">
        <v>67163.094732682192</v>
      </c>
      <c r="T80" s="1286">
        <v>67142.94849152879</v>
      </c>
      <c r="U80" s="1286">
        <v>67125.19678744355</v>
      </c>
      <c r="V80" s="1286">
        <v>67109.681632135529</v>
      </c>
      <c r="W80" s="1286">
        <v>67096.20498187108</v>
      </c>
      <c r="X80" s="1286">
        <v>67084.457613048435</v>
      </c>
      <c r="Y80" s="1286">
        <v>67074.215812413822</v>
      </c>
      <c r="Z80" s="1409"/>
      <c r="AA80" s="1410">
        <f t="shared" ca="1" si="1"/>
        <v>67443.141646575314</v>
      </c>
      <c r="AB80" s="1412"/>
      <c r="AC80" s="1287"/>
      <c r="AD80" s="1038"/>
      <c r="AE80" s="1038"/>
      <c r="AF80" s="1038"/>
      <c r="AG80" s="1038"/>
      <c r="AH80" s="1038"/>
      <c r="AI80" s="1038"/>
      <c r="AJ80" s="1038"/>
      <c r="AK80" s="1038"/>
      <c r="AL80" s="1038"/>
      <c r="AM80" s="1038"/>
      <c r="AN80" s="1038"/>
      <c r="AO80" s="1038"/>
      <c r="AP80" s="1038"/>
      <c r="AQ80" s="1038"/>
      <c r="AR80" s="1038"/>
      <c r="AS80" s="1038"/>
      <c r="AT80" s="1038"/>
      <c r="AU80" s="1038"/>
      <c r="AV80" s="1038"/>
      <c r="AW80" s="1038"/>
      <c r="AX80" s="1038"/>
      <c r="AY80" s="1038"/>
      <c r="AZ80" s="1038"/>
      <c r="BA80" s="1038"/>
      <c r="BB80" s="1038"/>
      <c r="BC80" s="1038"/>
      <c r="BD80" s="1038"/>
      <c r="BE80" s="1038"/>
    </row>
    <row r="81" spans="1:57" x14ac:dyDescent="0.25">
      <c r="A81" s="1287"/>
      <c r="B81" s="1427">
        <v>1.43</v>
      </c>
      <c r="C81" s="1506">
        <v>68411.859490574745</v>
      </c>
      <c r="D81" s="1286">
        <v>68238.941563573317</v>
      </c>
      <c r="E81" s="1286">
        <v>68070.515011299212</v>
      </c>
      <c r="F81" s="1286">
        <v>67942.510831570893</v>
      </c>
      <c r="G81" s="1286">
        <v>67822.444895546665</v>
      </c>
      <c r="H81" s="1286">
        <v>67714.947845387229</v>
      </c>
      <c r="I81" s="1286">
        <v>67626.842706931173</v>
      </c>
      <c r="J81" s="1286">
        <v>67545.369658567637</v>
      </c>
      <c r="K81" s="1286">
        <v>67476.312163567112</v>
      </c>
      <c r="L81" s="1286">
        <v>67417.944683272523</v>
      </c>
      <c r="M81" s="1286">
        <v>67364.850943566184</v>
      </c>
      <c r="N81" s="1286">
        <v>67318.10949057473</v>
      </c>
      <c r="O81" s="1286">
        <v>67278.822493448301</v>
      </c>
      <c r="P81" s="1286">
        <v>67243.277115095785</v>
      </c>
      <c r="Q81" s="1286">
        <v>67213.344164904236</v>
      </c>
      <c r="R81" s="1286">
        <v>67186.202888823798</v>
      </c>
      <c r="S81" s="1286">
        <v>67163.094732682192</v>
      </c>
      <c r="T81" s="1286">
        <v>67142.94849152879</v>
      </c>
      <c r="U81" s="1286">
        <v>67125.19678744355</v>
      </c>
      <c r="V81" s="1286">
        <v>67109.681632135529</v>
      </c>
      <c r="W81" s="1286">
        <v>67096.20498187108</v>
      </c>
      <c r="X81" s="1286">
        <v>67084.457613048435</v>
      </c>
      <c r="Y81" s="1286">
        <v>67074.215812413822</v>
      </c>
      <c r="Z81" s="1409"/>
      <c r="AA81" s="1410">
        <f t="shared" ca="1" si="1"/>
        <v>67443.141646575314</v>
      </c>
      <c r="AB81" s="1412"/>
      <c r="AC81" s="1287"/>
      <c r="AD81" s="1038"/>
      <c r="AE81" s="1038"/>
      <c r="AF81" s="1038"/>
      <c r="AG81" s="1038"/>
      <c r="AH81" s="1038"/>
      <c r="AI81" s="1038"/>
      <c r="AJ81" s="1038"/>
      <c r="AK81" s="1038"/>
      <c r="AL81" s="1038"/>
      <c r="AM81" s="1038"/>
      <c r="AN81" s="1038"/>
      <c r="AO81" s="1038"/>
      <c r="AP81" s="1038"/>
      <c r="AQ81" s="1038"/>
      <c r="AR81" s="1038"/>
      <c r="AS81" s="1038"/>
      <c r="AT81" s="1038"/>
      <c r="AU81" s="1038"/>
      <c r="AV81" s="1038"/>
      <c r="AW81" s="1038"/>
      <c r="AX81" s="1038"/>
      <c r="AY81" s="1038"/>
      <c r="AZ81" s="1038"/>
      <c r="BA81" s="1038"/>
      <c r="BB81" s="1038"/>
      <c r="BC81" s="1038"/>
      <c r="BD81" s="1038"/>
      <c r="BE81" s="1038"/>
    </row>
    <row r="82" spans="1:57" x14ac:dyDescent="0.25">
      <c r="A82" s="1287"/>
      <c r="B82" s="1427">
        <v>1.63</v>
      </c>
      <c r="C82" s="1506">
        <v>68411.859490574745</v>
      </c>
      <c r="D82" s="1286">
        <v>68238.941563573317</v>
      </c>
      <c r="E82" s="1286">
        <v>68070.515011299212</v>
      </c>
      <c r="F82" s="1286">
        <v>67942.510831570893</v>
      </c>
      <c r="G82" s="1286">
        <v>67822.444895546665</v>
      </c>
      <c r="H82" s="1286">
        <v>67714.947845387229</v>
      </c>
      <c r="I82" s="1286">
        <v>67626.842706931173</v>
      </c>
      <c r="J82" s="1286">
        <v>67545.369658567637</v>
      </c>
      <c r="K82" s="1286">
        <v>67476.312163567112</v>
      </c>
      <c r="L82" s="1286">
        <v>67417.944683272523</v>
      </c>
      <c r="M82" s="1286">
        <v>67364.850943566184</v>
      </c>
      <c r="N82" s="1286">
        <v>67318.10949057473</v>
      </c>
      <c r="O82" s="1286">
        <v>67278.822493448301</v>
      </c>
      <c r="P82" s="1286">
        <v>67243.277115095785</v>
      </c>
      <c r="Q82" s="1286">
        <v>67213.344164904236</v>
      </c>
      <c r="R82" s="1286">
        <v>67186.202888823798</v>
      </c>
      <c r="S82" s="1286">
        <v>67163.094732682192</v>
      </c>
      <c r="T82" s="1286">
        <v>67142.94849152879</v>
      </c>
      <c r="U82" s="1286">
        <v>67125.19678744355</v>
      </c>
      <c r="V82" s="1286">
        <v>67109.681632135529</v>
      </c>
      <c r="W82" s="1286">
        <v>67096.20498187108</v>
      </c>
      <c r="X82" s="1286">
        <v>67084.457613048435</v>
      </c>
      <c r="Y82" s="1286">
        <v>67074.215812413822</v>
      </c>
      <c r="Z82" s="1409"/>
      <c r="AA82" s="1410">
        <f t="shared" ca="1" si="1"/>
        <v>67443.141646575314</v>
      </c>
      <c r="AB82" s="1412"/>
      <c r="AC82" s="1287"/>
      <c r="AD82" s="1038"/>
      <c r="AE82" s="1038"/>
      <c r="AF82" s="1038"/>
      <c r="AG82" s="1038"/>
      <c r="AH82" s="1038"/>
      <c r="AI82" s="1038"/>
      <c r="AJ82" s="1038"/>
      <c r="AK82" s="1038"/>
      <c r="AL82" s="1038"/>
      <c r="AM82" s="1038"/>
      <c r="AN82" s="1038"/>
      <c r="AO82" s="1038"/>
      <c r="AP82" s="1038"/>
      <c r="AQ82" s="1038"/>
      <c r="AR82" s="1038"/>
      <c r="AS82" s="1038"/>
      <c r="AT82" s="1038"/>
      <c r="AU82" s="1038"/>
      <c r="AV82" s="1038"/>
      <c r="AW82" s="1038"/>
      <c r="AX82" s="1038"/>
      <c r="AY82" s="1038"/>
      <c r="AZ82" s="1038"/>
      <c r="BA82" s="1038"/>
      <c r="BB82" s="1038"/>
      <c r="BC82" s="1038"/>
      <c r="BD82" s="1038"/>
      <c r="BE82" s="1038"/>
    </row>
    <row r="83" spans="1:57" x14ac:dyDescent="0.25">
      <c r="A83" s="1287"/>
      <c r="B83" s="1427">
        <v>1.86</v>
      </c>
      <c r="C83" s="1506">
        <v>68411.859490574745</v>
      </c>
      <c r="D83" s="1286">
        <v>104720.5732012745</v>
      </c>
      <c r="E83" s="1286">
        <v>68070.515011299212</v>
      </c>
      <c r="F83" s="1286">
        <v>67942.510831570893</v>
      </c>
      <c r="G83" s="1286">
        <v>67822.444895546665</v>
      </c>
      <c r="H83" s="1286">
        <v>67714.947845387229</v>
      </c>
      <c r="I83" s="1286">
        <v>104108.47434463236</v>
      </c>
      <c r="J83" s="1286">
        <v>104027.00129626883</v>
      </c>
      <c r="K83" s="1286">
        <v>67476.312163567112</v>
      </c>
      <c r="L83" s="1286">
        <v>103899.57632097369</v>
      </c>
      <c r="M83" s="1286">
        <v>103846.48258126734</v>
      </c>
      <c r="N83" s="1286">
        <v>103799.7411282759</v>
      </c>
      <c r="O83" s="1286">
        <v>103760.45413114945</v>
      </c>
      <c r="P83" s="1286">
        <v>103724.90875279695</v>
      </c>
      <c r="Q83" s="1286">
        <v>103694.97580260543</v>
      </c>
      <c r="R83" s="1286">
        <v>103667.83452652495</v>
      </c>
      <c r="S83" s="1286">
        <v>103644.72637038333</v>
      </c>
      <c r="T83" s="1286">
        <v>103624.58012922997</v>
      </c>
      <c r="U83" s="1286">
        <v>103606.82842514472</v>
      </c>
      <c r="V83" s="1286">
        <v>103591.31326983674</v>
      </c>
      <c r="W83" s="1286">
        <v>103577.83661957226</v>
      </c>
      <c r="X83" s="1286">
        <v>103566.0892507496</v>
      </c>
      <c r="Y83" s="1286">
        <v>103555.84745011499</v>
      </c>
      <c r="Z83" s="1409"/>
      <c r="AA83" s="1410">
        <f t="shared" ca="1" si="1"/>
        <v>88175.826628336363</v>
      </c>
      <c r="AB83" s="1412"/>
      <c r="AC83" s="1287"/>
      <c r="AD83" s="1038"/>
      <c r="AE83" s="1038"/>
      <c r="AF83" s="1038"/>
      <c r="AG83" s="1038"/>
      <c r="AH83" s="1038"/>
      <c r="AI83" s="1038"/>
      <c r="AJ83" s="1038"/>
      <c r="AK83" s="1038"/>
      <c r="AL83" s="1038"/>
      <c r="AM83" s="1038"/>
      <c r="AN83" s="1038"/>
      <c r="AO83" s="1038"/>
      <c r="AP83" s="1038"/>
      <c r="AQ83" s="1038"/>
      <c r="AR83" s="1038"/>
      <c r="AS83" s="1038"/>
      <c r="AT83" s="1038"/>
      <c r="AU83" s="1038"/>
      <c r="AV83" s="1038"/>
      <c r="AW83" s="1038"/>
      <c r="AX83" s="1038"/>
      <c r="AY83" s="1038"/>
      <c r="AZ83" s="1038"/>
      <c r="BA83" s="1038"/>
      <c r="BB83" s="1038"/>
      <c r="BC83" s="1038"/>
      <c r="BD83" s="1038"/>
      <c r="BE83" s="1038"/>
    </row>
    <row r="84" spans="1:57" x14ac:dyDescent="0.25">
      <c r="A84" s="1287"/>
      <c r="B84" s="1427">
        <v>2.12</v>
      </c>
      <c r="C84" s="1506">
        <v>104893.4911282759</v>
      </c>
      <c r="D84" s="1286">
        <v>104720.5732012745</v>
      </c>
      <c r="E84" s="1286">
        <v>104552.14664900038</v>
      </c>
      <c r="F84" s="1286">
        <v>67942.510831570893</v>
      </c>
      <c r="G84" s="1286">
        <v>104304.07653324782</v>
      </c>
      <c r="H84" s="1286">
        <v>104196.57948308837</v>
      </c>
      <c r="I84" s="1286">
        <v>104108.47434463236</v>
      </c>
      <c r="J84" s="1286">
        <v>104027.00129626883</v>
      </c>
      <c r="K84" s="1286">
        <v>103957.94380126824</v>
      </c>
      <c r="L84" s="1286">
        <v>103899.57632097369</v>
      </c>
      <c r="M84" s="1286">
        <v>103846.48258126734</v>
      </c>
      <c r="N84" s="1286">
        <v>103799.7411282759</v>
      </c>
      <c r="O84" s="1286">
        <v>103760.45413114945</v>
      </c>
      <c r="P84" s="1286">
        <v>103724.90875279695</v>
      </c>
      <c r="Q84" s="1286">
        <v>103694.97580260543</v>
      </c>
      <c r="R84" s="1286">
        <v>103667.83452652495</v>
      </c>
      <c r="S84" s="1286">
        <v>103644.72637038333</v>
      </c>
      <c r="T84" s="1286">
        <v>103624.58012922997</v>
      </c>
      <c r="U84" s="1286">
        <v>103606.82842514472</v>
      </c>
      <c r="V84" s="1286">
        <v>103591.31326983674</v>
      </c>
      <c r="W84" s="1286">
        <v>103577.83661957226</v>
      </c>
      <c r="X84" s="1286">
        <v>103566.0892507496</v>
      </c>
      <c r="Y84" s="1286">
        <v>103555.84745011499</v>
      </c>
      <c r="Z84" s="1409"/>
      <c r="AA84" s="1410">
        <f t="shared" ca="1" si="1"/>
        <v>103924.77328427647</v>
      </c>
      <c r="AB84" s="1412"/>
      <c r="AC84" s="1287"/>
      <c r="AD84" s="1038"/>
      <c r="AE84" s="1038"/>
      <c r="AF84" s="1038"/>
      <c r="AG84" s="1038"/>
      <c r="AH84" s="1038"/>
      <c r="AI84" s="1038"/>
      <c r="AJ84" s="1038"/>
      <c r="AK84" s="1038"/>
      <c r="AL84" s="1038"/>
      <c r="AM84" s="1038"/>
      <c r="AN84" s="1038"/>
      <c r="AO84" s="1038"/>
      <c r="AP84" s="1038"/>
      <c r="AQ84" s="1038"/>
      <c r="AR84" s="1038"/>
      <c r="AS84" s="1038"/>
      <c r="AT84" s="1038"/>
      <c r="AU84" s="1038"/>
      <c r="AV84" s="1038"/>
      <c r="AW84" s="1038"/>
      <c r="AX84" s="1038"/>
      <c r="AY84" s="1038"/>
      <c r="AZ84" s="1038"/>
      <c r="BA84" s="1038"/>
      <c r="BB84" s="1038"/>
      <c r="BC84" s="1038"/>
      <c r="BD84" s="1038"/>
      <c r="BE84" s="1038"/>
    </row>
    <row r="85" spans="1:57" x14ac:dyDescent="0.25">
      <c r="A85" s="1287"/>
      <c r="B85" s="1427">
        <v>2.42</v>
      </c>
      <c r="C85" s="1506">
        <v>104893.4911282759</v>
      </c>
      <c r="D85" s="1286">
        <v>104720.5732012745</v>
      </c>
      <c r="E85" s="1286">
        <v>104552.14664900038</v>
      </c>
      <c r="F85" s="1286">
        <v>104424.14246927205</v>
      </c>
      <c r="G85" s="1286">
        <v>104304.07653324782</v>
      </c>
      <c r="H85" s="1286">
        <v>104196.57948308837</v>
      </c>
      <c r="I85" s="1286">
        <v>104108.47434463236</v>
      </c>
      <c r="J85" s="1286">
        <v>104027.00129626883</v>
      </c>
      <c r="K85" s="1286">
        <v>103957.94380126824</v>
      </c>
      <c r="L85" s="1286">
        <v>103899.57632097369</v>
      </c>
      <c r="M85" s="1286">
        <v>103846.48258126734</v>
      </c>
      <c r="N85" s="1286">
        <v>103799.7411282759</v>
      </c>
      <c r="O85" s="1286">
        <v>103760.45413114945</v>
      </c>
      <c r="P85" s="1286">
        <v>103724.90875279695</v>
      </c>
      <c r="Q85" s="1286">
        <v>103694.97580260543</v>
      </c>
      <c r="R85" s="1286">
        <v>103667.83452652495</v>
      </c>
      <c r="S85" s="1286">
        <v>103644.72637038333</v>
      </c>
      <c r="T85" s="1286">
        <v>103624.58012922997</v>
      </c>
      <c r="U85" s="1286">
        <v>103606.82842514472</v>
      </c>
      <c r="V85" s="1286">
        <v>103591.31326983674</v>
      </c>
      <c r="W85" s="1286">
        <v>103577.83661957226</v>
      </c>
      <c r="X85" s="1286">
        <v>103566.0892507496</v>
      </c>
      <c r="Y85" s="1286">
        <v>103555.84745011499</v>
      </c>
      <c r="Z85" s="1409"/>
      <c r="AA85" s="1410">
        <f t="shared" ca="1" si="1"/>
        <v>103924.77328427647</v>
      </c>
      <c r="AB85" s="1412"/>
      <c r="AC85" s="1287"/>
      <c r="AD85" s="1038"/>
      <c r="AE85" s="1038"/>
      <c r="AF85" s="1038"/>
      <c r="AG85" s="1038"/>
      <c r="AH85" s="1038"/>
      <c r="AI85" s="1038"/>
      <c r="AJ85" s="1038"/>
      <c r="AK85" s="1038"/>
      <c r="AL85" s="1038"/>
      <c r="AM85" s="1038"/>
      <c r="AN85" s="1038"/>
      <c r="AO85" s="1038"/>
      <c r="AP85" s="1038"/>
      <c r="AQ85" s="1038"/>
      <c r="AR85" s="1038"/>
      <c r="AS85" s="1038"/>
      <c r="AT85" s="1038"/>
      <c r="AU85" s="1038"/>
      <c r="AV85" s="1038"/>
      <c r="AW85" s="1038"/>
      <c r="AX85" s="1038"/>
      <c r="AY85" s="1038"/>
      <c r="AZ85" s="1038"/>
      <c r="BA85" s="1038"/>
      <c r="BB85" s="1038"/>
      <c r="BC85" s="1038"/>
      <c r="BD85" s="1038"/>
      <c r="BE85" s="1038"/>
    </row>
    <row r="86" spans="1:57" x14ac:dyDescent="0.25">
      <c r="A86" s="1287"/>
      <c r="B86" s="1427">
        <v>2.76</v>
      </c>
      <c r="C86" s="1506">
        <v>104893.4911282759</v>
      </c>
      <c r="D86" s="1286">
        <v>104720.5732012745</v>
      </c>
      <c r="E86" s="1286">
        <v>104552.14664900038</v>
      </c>
      <c r="F86" s="1286">
        <v>104424.14246927205</v>
      </c>
      <c r="G86" s="1286">
        <v>104304.07653324782</v>
      </c>
      <c r="H86" s="1286">
        <v>104196.57948308837</v>
      </c>
      <c r="I86" s="1286">
        <v>104108.47434463236</v>
      </c>
      <c r="J86" s="1286">
        <v>104027.00129626883</v>
      </c>
      <c r="K86" s="1286">
        <v>103957.94380126824</v>
      </c>
      <c r="L86" s="1286">
        <v>103899.57632097369</v>
      </c>
      <c r="M86" s="1286">
        <v>103846.48258126734</v>
      </c>
      <c r="N86" s="1286">
        <v>103799.7411282759</v>
      </c>
      <c r="O86" s="1286">
        <v>103760.45413114945</v>
      </c>
      <c r="P86" s="1286">
        <v>103724.90875279695</v>
      </c>
      <c r="Q86" s="1286">
        <v>103694.97580260543</v>
      </c>
      <c r="R86" s="1286">
        <v>103667.83452652495</v>
      </c>
      <c r="S86" s="1286">
        <v>103644.72637038333</v>
      </c>
      <c r="T86" s="1286">
        <v>103624.58012922997</v>
      </c>
      <c r="U86" s="1286">
        <v>103606.82842514472</v>
      </c>
      <c r="V86" s="1286">
        <v>103591.31326983674</v>
      </c>
      <c r="W86" s="1286">
        <v>103577.83661957226</v>
      </c>
      <c r="X86" s="1286">
        <v>103566.0892507496</v>
      </c>
      <c r="Y86" s="1286">
        <v>103555.84745011499</v>
      </c>
      <c r="Z86" s="1409"/>
      <c r="AA86" s="1410">
        <f t="shared" ca="1" si="1"/>
        <v>103924.77328427647</v>
      </c>
      <c r="AB86" s="1412"/>
      <c r="AC86" s="1287"/>
      <c r="AD86" s="1038"/>
      <c r="AE86" s="1038"/>
      <c r="AF86" s="1038"/>
      <c r="AG86" s="1038"/>
      <c r="AH86" s="1038"/>
      <c r="AI86" s="1038"/>
      <c r="AJ86" s="1038"/>
      <c r="AK86" s="1038"/>
      <c r="AL86" s="1038"/>
      <c r="AM86" s="1038"/>
      <c r="AN86" s="1038"/>
      <c r="AO86" s="1038"/>
      <c r="AP86" s="1038"/>
      <c r="AQ86" s="1038"/>
      <c r="AR86" s="1038"/>
      <c r="AS86" s="1038"/>
      <c r="AT86" s="1038"/>
      <c r="AU86" s="1038"/>
      <c r="AV86" s="1038"/>
      <c r="AW86" s="1038"/>
      <c r="AX86" s="1038"/>
      <c r="AY86" s="1038"/>
      <c r="AZ86" s="1038"/>
      <c r="BA86" s="1038"/>
      <c r="BB86" s="1038"/>
      <c r="BC86" s="1038"/>
      <c r="BD86" s="1287"/>
      <c r="BE86" s="1287"/>
    </row>
    <row r="87" spans="1:57" x14ac:dyDescent="0.25">
      <c r="A87" s="1287"/>
      <c r="B87" s="1427">
        <v>3.15</v>
      </c>
      <c r="C87" s="1506">
        <v>104893.4911282759</v>
      </c>
      <c r="D87" s="1286">
        <v>104720.5732012745</v>
      </c>
      <c r="E87" s="1286">
        <v>104552.14664900038</v>
      </c>
      <c r="F87" s="1286">
        <v>104424.14246927205</v>
      </c>
      <c r="G87" s="1286">
        <v>104304.07653324782</v>
      </c>
      <c r="H87" s="1286">
        <v>104196.57948308837</v>
      </c>
      <c r="I87" s="1286">
        <v>104108.47434463236</v>
      </c>
      <c r="J87" s="1286">
        <v>104027.00129626883</v>
      </c>
      <c r="K87" s="1286">
        <v>103957.94380126824</v>
      </c>
      <c r="L87" s="1286">
        <v>103899.57632097369</v>
      </c>
      <c r="M87" s="1286">
        <v>103846.48258126734</v>
      </c>
      <c r="N87" s="1286">
        <v>103799.7411282759</v>
      </c>
      <c r="O87" s="1286">
        <v>103760.45413114945</v>
      </c>
      <c r="P87" s="1286">
        <v>103724.90875279695</v>
      </c>
      <c r="Q87" s="1286">
        <v>103694.97580260543</v>
      </c>
      <c r="R87" s="1286">
        <v>103667.83452652495</v>
      </c>
      <c r="S87" s="1286">
        <v>103644.72637038333</v>
      </c>
      <c r="T87" s="1286">
        <v>103624.58012922997</v>
      </c>
      <c r="U87" s="1286">
        <v>103606.82842514472</v>
      </c>
      <c r="V87" s="1286">
        <v>103591.31326983674</v>
      </c>
      <c r="W87" s="1286">
        <v>103577.83661957226</v>
      </c>
      <c r="X87" s="1286">
        <v>103566.0892507496</v>
      </c>
      <c r="Y87" s="1286">
        <v>103555.84745011499</v>
      </c>
      <c r="Z87" s="1409"/>
      <c r="AA87" s="1410">
        <f t="shared" ca="1" si="1"/>
        <v>103924.77328427647</v>
      </c>
      <c r="AB87" s="1412"/>
      <c r="AC87" s="1287"/>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1038"/>
      <c r="BA87" s="1038"/>
      <c r="BB87" s="1038"/>
      <c r="BC87" s="1038"/>
      <c r="BD87" s="1287"/>
      <c r="BE87" s="1287"/>
    </row>
    <row r="88" spans="1:57" x14ac:dyDescent="0.25">
      <c r="A88" s="1287"/>
      <c r="B88" s="1427">
        <v>3.59</v>
      </c>
      <c r="C88" s="1506">
        <v>104893.4911282759</v>
      </c>
      <c r="D88" s="1286">
        <v>104720.5732012745</v>
      </c>
      <c r="E88" s="1286">
        <v>104552.14664900038</v>
      </c>
      <c r="F88" s="1286">
        <v>104424.14246927205</v>
      </c>
      <c r="G88" s="1286">
        <v>104304.07653324782</v>
      </c>
      <c r="H88" s="1286">
        <v>104196.57948308837</v>
      </c>
      <c r="I88" s="1286">
        <v>104108.47434463236</v>
      </c>
      <c r="J88" s="1286">
        <v>104027.00129626883</v>
      </c>
      <c r="K88" s="1286">
        <v>103957.94380126824</v>
      </c>
      <c r="L88" s="1286">
        <v>103899.57632097369</v>
      </c>
      <c r="M88" s="1286">
        <v>103846.48258126734</v>
      </c>
      <c r="N88" s="1286">
        <v>103799.7411282759</v>
      </c>
      <c r="O88" s="1286">
        <v>103760.45413114945</v>
      </c>
      <c r="P88" s="1286">
        <v>103724.90875279695</v>
      </c>
      <c r="Q88" s="1286">
        <v>103694.97580260543</v>
      </c>
      <c r="R88" s="1286">
        <v>103667.83452652495</v>
      </c>
      <c r="S88" s="1286">
        <v>103644.72637038333</v>
      </c>
      <c r="T88" s="1286">
        <v>103624.58012922997</v>
      </c>
      <c r="U88" s="1286">
        <v>103606.82842514472</v>
      </c>
      <c r="V88" s="1286">
        <v>103591.31326983674</v>
      </c>
      <c r="W88" s="1286">
        <v>103577.83661957226</v>
      </c>
      <c r="X88" s="1286">
        <v>103566.0892507496</v>
      </c>
      <c r="Y88" s="1286">
        <v>103555.84745011499</v>
      </c>
      <c r="Z88" s="1409"/>
      <c r="AA88" s="1410">
        <f t="shared" ca="1" si="1"/>
        <v>103924.77328427647</v>
      </c>
      <c r="AB88" s="1412"/>
      <c r="AC88" s="1287"/>
      <c r="AD88" s="1038"/>
      <c r="AE88" s="1038"/>
      <c r="AF88" s="1038"/>
      <c r="AG88" s="1038"/>
      <c r="AH88" s="1038"/>
      <c r="AI88" s="1038"/>
      <c r="AJ88" s="1038"/>
      <c r="AK88" s="1038"/>
      <c r="AL88" s="1038"/>
      <c r="AM88" s="1038"/>
      <c r="AN88" s="1038"/>
      <c r="AO88" s="1038"/>
      <c r="AP88" s="1038"/>
      <c r="AQ88" s="1038"/>
      <c r="AR88" s="1038"/>
      <c r="AS88" s="1038"/>
      <c r="AT88" s="1038"/>
      <c r="AU88" s="1038"/>
      <c r="AV88" s="1038"/>
      <c r="AW88" s="1038"/>
      <c r="AX88" s="1038"/>
      <c r="AY88" s="1038"/>
      <c r="AZ88" s="1038"/>
      <c r="BA88" s="1038"/>
      <c r="BB88" s="1038"/>
      <c r="BC88" s="1038"/>
      <c r="BD88" s="1287"/>
      <c r="BE88" s="1287"/>
    </row>
    <row r="89" spans="1:57" x14ac:dyDescent="0.25">
      <c r="A89" s="1287"/>
      <c r="B89" s="1427">
        <v>4.09</v>
      </c>
      <c r="C89" s="1506">
        <v>104893.4911282759</v>
      </c>
      <c r="D89" s="1286">
        <v>104720.5732012745</v>
      </c>
      <c r="E89" s="1286">
        <v>104552.14664900038</v>
      </c>
      <c r="F89" s="1286">
        <v>104424.14246927205</v>
      </c>
      <c r="G89" s="1286">
        <v>104304.07653324782</v>
      </c>
      <c r="H89" s="1286">
        <v>104196.57948308837</v>
      </c>
      <c r="I89" s="1286">
        <v>104108.47434463236</v>
      </c>
      <c r="J89" s="1286">
        <v>104027.00129626883</v>
      </c>
      <c r="K89" s="1286">
        <v>103957.94380126824</v>
      </c>
      <c r="L89" s="1286">
        <v>103899.57632097369</v>
      </c>
      <c r="M89" s="1286">
        <v>103846.48258126734</v>
      </c>
      <c r="N89" s="1286">
        <v>103799.7411282759</v>
      </c>
      <c r="O89" s="1286">
        <v>103760.45413114945</v>
      </c>
      <c r="P89" s="1286">
        <v>103724.90875279695</v>
      </c>
      <c r="Q89" s="1286">
        <v>103694.97580260543</v>
      </c>
      <c r="R89" s="1286">
        <v>103667.83452652495</v>
      </c>
      <c r="S89" s="1286">
        <v>103644.72637038333</v>
      </c>
      <c r="T89" s="1286">
        <v>103624.58012922997</v>
      </c>
      <c r="U89" s="1286">
        <v>103606.82842514472</v>
      </c>
      <c r="V89" s="1286">
        <v>103591.31326983674</v>
      </c>
      <c r="W89" s="1286">
        <v>103577.83661957226</v>
      </c>
      <c r="X89" s="1286">
        <v>103566.0892507496</v>
      </c>
      <c r="Y89" s="1286">
        <v>103555.84745011499</v>
      </c>
      <c r="Z89" s="1409"/>
      <c r="AA89" s="1410">
        <f t="shared" ca="1" si="1"/>
        <v>103924.77328427647</v>
      </c>
      <c r="AB89" s="1412"/>
      <c r="AC89" s="1287"/>
      <c r="AD89" s="1038"/>
      <c r="AE89" s="1038"/>
      <c r="AF89" s="1038"/>
      <c r="AG89" s="1038"/>
      <c r="AH89" s="1038"/>
      <c r="AI89" s="1038"/>
      <c r="AJ89" s="1038"/>
      <c r="AK89" s="1038"/>
      <c r="AL89" s="1038"/>
      <c r="AM89" s="1038"/>
      <c r="AN89" s="1038"/>
      <c r="AO89" s="1038"/>
      <c r="AP89" s="1038"/>
      <c r="AQ89" s="1038"/>
      <c r="AR89" s="1038"/>
      <c r="AS89" s="1038"/>
      <c r="AT89" s="1038"/>
      <c r="AU89" s="1038"/>
      <c r="AV89" s="1038"/>
      <c r="AW89" s="1038"/>
      <c r="AX89" s="1038"/>
      <c r="AY89" s="1038"/>
      <c r="AZ89" s="1038"/>
      <c r="BA89" s="1038"/>
      <c r="BB89" s="1038"/>
      <c r="BC89" s="1038"/>
      <c r="BD89" s="1287"/>
      <c r="BE89" s="1287"/>
    </row>
    <row r="90" spans="1:57" x14ac:dyDescent="0.25">
      <c r="A90" s="1287"/>
      <c r="B90" s="1427">
        <v>4.67</v>
      </c>
      <c r="C90" s="1506">
        <v>104893.4911282759</v>
      </c>
      <c r="D90" s="1286">
        <v>104720.5732012745</v>
      </c>
      <c r="E90" s="1286">
        <v>104552.14664900038</v>
      </c>
      <c r="F90" s="1286">
        <v>172619.50004573187</v>
      </c>
      <c r="G90" s="1286">
        <v>172485.02619738472</v>
      </c>
      <c r="H90" s="1286">
        <v>104196.57948308837</v>
      </c>
      <c r="I90" s="1286">
        <v>104108.47434463236</v>
      </c>
      <c r="J90" s="1286">
        <v>104027.00129626883</v>
      </c>
      <c r="K90" s="1286">
        <v>172097.35753756762</v>
      </c>
      <c r="L90" s="1286">
        <v>172031.98595963765</v>
      </c>
      <c r="M90" s="1286">
        <v>103846.48258126734</v>
      </c>
      <c r="N90" s="1286">
        <v>171920.17054381614</v>
      </c>
      <c r="O90" s="1286">
        <v>103760.45413114945</v>
      </c>
      <c r="P90" s="1286">
        <v>103724.90875279695</v>
      </c>
      <c r="Q90" s="1286">
        <v>103694.97580260543</v>
      </c>
      <c r="R90" s="1286">
        <v>103667.83452652495</v>
      </c>
      <c r="S90" s="1286">
        <v>171746.55401497649</v>
      </c>
      <c r="T90" s="1286">
        <v>103624.58012922997</v>
      </c>
      <c r="U90" s="1286">
        <v>103606.82842514472</v>
      </c>
      <c r="V90" s="1286">
        <v>103591.31326983674</v>
      </c>
      <c r="W90" s="1286">
        <v>103577.83661957226</v>
      </c>
      <c r="X90" s="1286">
        <v>103566.0892507496</v>
      </c>
      <c r="Y90" s="1286">
        <v>103555.84745011499</v>
      </c>
      <c r="Z90" s="1409"/>
      <c r="AA90" s="1410">
        <f t="shared" ca="1" si="1"/>
        <v>172060.2065585368</v>
      </c>
      <c r="AB90" s="1412"/>
      <c r="AC90" s="1287"/>
      <c r="AD90" s="1038"/>
      <c r="AE90" s="1038"/>
      <c r="AF90" s="1038"/>
      <c r="AG90" s="1038"/>
      <c r="AH90" s="1038"/>
      <c r="AI90" s="1038"/>
      <c r="AJ90" s="1038"/>
      <c r="AK90" s="1038"/>
      <c r="AL90" s="1038"/>
      <c r="AM90" s="1038"/>
      <c r="AN90" s="1038"/>
      <c r="AO90" s="1038"/>
      <c r="AP90" s="1038"/>
      <c r="AQ90" s="1038"/>
      <c r="AR90" s="1038"/>
      <c r="AS90" s="1038"/>
      <c r="AT90" s="1038"/>
      <c r="AU90" s="1038"/>
      <c r="AV90" s="1038"/>
      <c r="AW90" s="1038"/>
      <c r="AX90" s="1038"/>
      <c r="AY90" s="1038"/>
      <c r="AZ90" s="1038"/>
      <c r="BA90" s="1038"/>
      <c r="BB90" s="1038"/>
      <c r="BC90" s="1038"/>
      <c r="BD90" s="1287"/>
      <c r="BE90" s="1287"/>
    </row>
    <row r="91" spans="1:57" x14ac:dyDescent="0.25">
      <c r="A91" s="1287"/>
      <c r="B91" s="1427">
        <v>5.32</v>
      </c>
      <c r="C91" s="1506">
        <v>104893.4911282759</v>
      </c>
      <c r="D91" s="1286">
        <v>172951.50246557462</v>
      </c>
      <c r="E91" s="1286">
        <v>172762.8647270276</v>
      </c>
      <c r="F91" s="1286">
        <v>172619.50004573187</v>
      </c>
      <c r="G91" s="1286">
        <v>172485.02619738472</v>
      </c>
      <c r="H91" s="1286">
        <v>172364.62950120613</v>
      </c>
      <c r="I91" s="1286">
        <v>172265.95174613537</v>
      </c>
      <c r="J91" s="1286">
        <v>172174.70193196827</v>
      </c>
      <c r="K91" s="1286">
        <v>172097.35753756762</v>
      </c>
      <c r="L91" s="1286">
        <v>172031.98595963765</v>
      </c>
      <c r="M91" s="1286">
        <v>171972.52097116658</v>
      </c>
      <c r="N91" s="1286">
        <v>171920.17054381614</v>
      </c>
      <c r="O91" s="1286">
        <v>171876.16910703457</v>
      </c>
      <c r="P91" s="1286">
        <v>171836.35828327975</v>
      </c>
      <c r="Q91" s="1286">
        <v>171802.83337906524</v>
      </c>
      <c r="R91" s="1286">
        <v>171772.43514985513</v>
      </c>
      <c r="S91" s="1286">
        <v>171746.55401497649</v>
      </c>
      <c r="T91" s="1286">
        <v>171723.99022488468</v>
      </c>
      <c r="U91" s="1286">
        <v>171704.1083163092</v>
      </c>
      <c r="V91" s="1286">
        <v>171686.73134236431</v>
      </c>
      <c r="W91" s="1286">
        <v>171671.63749406807</v>
      </c>
      <c r="X91" s="1286">
        <v>171658.48044098669</v>
      </c>
      <c r="Y91" s="1286">
        <v>171647.00962427593</v>
      </c>
      <c r="Z91" s="1409"/>
      <c r="AA91" s="1410">
        <f t="shared" ca="1" si="1"/>
        <v>172060.2065585368</v>
      </c>
      <c r="AB91" s="1412"/>
      <c r="AC91" s="1287"/>
      <c r="AD91" s="1038"/>
      <c r="AE91" s="1038"/>
      <c r="AF91" s="1038"/>
      <c r="AG91" s="1038"/>
      <c r="AH91" s="1038"/>
      <c r="AI91" s="1038"/>
      <c r="AJ91" s="1038"/>
      <c r="AK91" s="1038"/>
      <c r="AL91" s="1038"/>
      <c r="AM91" s="1038"/>
      <c r="AN91" s="1038"/>
      <c r="AO91" s="1038"/>
      <c r="AP91" s="1038"/>
      <c r="AQ91" s="1038"/>
      <c r="AR91" s="1038"/>
      <c r="AS91" s="1038"/>
      <c r="AT91" s="1038"/>
      <c r="AU91" s="1038"/>
      <c r="AV91" s="1038"/>
      <c r="AW91" s="1038"/>
      <c r="AX91" s="1038"/>
      <c r="AY91" s="1038"/>
      <c r="AZ91" s="1038"/>
      <c r="BA91" s="1038"/>
      <c r="BB91" s="1038"/>
      <c r="BC91" s="1038"/>
      <c r="BD91" s="1287"/>
      <c r="BE91" s="1287"/>
    </row>
    <row r="92" spans="1:57" x14ac:dyDescent="0.25">
      <c r="A92" s="1287"/>
      <c r="B92" s="1427">
        <v>6.07</v>
      </c>
      <c r="C92" s="1506">
        <v>173145.17054381617</v>
      </c>
      <c r="D92" s="1286">
        <v>172951.50246557462</v>
      </c>
      <c r="E92" s="1286">
        <v>172762.8647270276</v>
      </c>
      <c r="F92" s="1286">
        <v>172619.50004573187</v>
      </c>
      <c r="G92" s="1286">
        <v>172485.02619738472</v>
      </c>
      <c r="H92" s="1286">
        <v>172364.62950120613</v>
      </c>
      <c r="I92" s="1286">
        <v>172265.95174613537</v>
      </c>
      <c r="J92" s="1286">
        <v>172174.70193196827</v>
      </c>
      <c r="K92" s="1286">
        <v>172097.35753756762</v>
      </c>
      <c r="L92" s="1286">
        <v>172031.98595963765</v>
      </c>
      <c r="M92" s="1286">
        <v>171972.52097116658</v>
      </c>
      <c r="N92" s="1286">
        <v>171920.17054381614</v>
      </c>
      <c r="O92" s="1286">
        <v>171876.16910703457</v>
      </c>
      <c r="P92" s="1286">
        <v>171836.35828327975</v>
      </c>
      <c r="Q92" s="1286">
        <v>171802.83337906524</v>
      </c>
      <c r="R92" s="1286">
        <v>171772.43514985513</v>
      </c>
      <c r="S92" s="1286">
        <v>171746.55401497649</v>
      </c>
      <c r="T92" s="1286">
        <v>171723.99022488468</v>
      </c>
      <c r="U92" s="1286">
        <v>171704.1083163092</v>
      </c>
      <c r="V92" s="1286">
        <v>171686.73134236431</v>
      </c>
      <c r="W92" s="1286">
        <v>171671.63749406807</v>
      </c>
      <c r="X92" s="1286">
        <v>171658.48044098669</v>
      </c>
      <c r="Y92" s="1286">
        <v>171647.00962427593</v>
      </c>
      <c r="Z92" s="1409"/>
      <c r="AA92" s="1410">
        <f t="shared" ca="1" si="1"/>
        <v>172060.2065585368</v>
      </c>
      <c r="AB92" s="1412"/>
      <c r="AC92" s="1287"/>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AZ92" s="1038"/>
      <c r="BA92" s="1038"/>
      <c r="BB92" s="1038"/>
      <c r="BC92" s="1038"/>
      <c r="BD92" s="1287"/>
      <c r="BE92" s="1287"/>
    </row>
    <row r="93" spans="1:57" x14ac:dyDescent="0.25">
      <c r="A93" s="1287"/>
      <c r="B93" s="1427">
        <v>6.92</v>
      </c>
      <c r="C93" s="1506">
        <v>173145.17054381617</v>
      </c>
      <c r="D93" s="1286">
        <v>172951.50246557462</v>
      </c>
      <c r="E93" s="1286">
        <v>172762.8647270276</v>
      </c>
      <c r="F93" s="1286">
        <v>172619.50004573187</v>
      </c>
      <c r="G93" s="1286">
        <v>172485.02619738472</v>
      </c>
      <c r="H93" s="1286">
        <v>172364.62950120613</v>
      </c>
      <c r="I93" s="1286">
        <v>255739.1298403581</v>
      </c>
      <c r="J93" s="1286">
        <v>172174.70193196827</v>
      </c>
      <c r="K93" s="1286">
        <v>172097.35753756762</v>
      </c>
      <c r="L93" s="1286">
        <v>172031.98595963765</v>
      </c>
      <c r="M93" s="1286">
        <v>171972.52097116658</v>
      </c>
      <c r="N93" s="1286">
        <v>255374.82464505752</v>
      </c>
      <c r="O93" s="1286">
        <v>171876.16910703457</v>
      </c>
      <c r="P93" s="1286">
        <v>171836.35828327975</v>
      </c>
      <c r="Q93" s="1286">
        <v>255251.20156076638</v>
      </c>
      <c r="R93" s="1286">
        <v>171772.43514985513</v>
      </c>
      <c r="S93" s="1286">
        <v>171746.55401497649</v>
      </c>
      <c r="T93" s="1286">
        <v>171723.99022488468</v>
      </c>
      <c r="U93" s="1286">
        <v>171704.1083163092</v>
      </c>
      <c r="V93" s="1286">
        <v>171686.73134236431</v>
      </c>
      <c r="W93" s="1286">
        <v>171671.63749406807</v>
      </c>
      <c r="X93" s="1286">
        <v>171658.48044098669</v>
      </c>
      <c r="Y93" s="1286">
        <v>171647.00962427593</v>
      </c>
      <c r="Z93" s="1409"/>
      <c r="AA93" s="1410">
        <f t="shared" ca="1" si="1"/>
        <v>172060.2065585368</v>
      </c>
      <c r="AB93" s="1412"/>
      <c r="AC93" s="1287"/>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AZ93" s="1038"/>
      <c r="BA93" s="1038"/>
      <c r="BB93" s="1038"/>
      <c r="BC93" s="1038"/>
      <c r="BD93" s="1287"/>
      <c r="BE93" s="1287"/>
    </row>
    <row r="94" spans="1:57" x14ac:dyDescent="0.25">
      <c r="A94" s="1287"/>
      <c r="B94" s="1427">
        <v>7.89</v>
      </c>
      <c r="C94" s="1506">
        <v>173145.17054381617</v>
      </c>
      <c r="D94" s="1286">
        <v>172951.50246557462</v>
      </c>
      <c r="E94" s="1286">
        <v>172762.8647270276</v>
      </c>
      <c r="F94" s="1286">
        <v>172619.50004573187</v>
      </c>
      <c r="G94" s="1286">
        <v>255969.94042292444</v>
      </c>
      <c r="H94" s="1286">
        <v>255843.09390373621</v>
      </c>
      <c r="I94" s="1286">
        <v>255739.1298403581</v>
      </c>
      <c r="J94" s="1286">
        <v>255642.99164328922</v>
      </c>
      <c r="K94" s="1286">
        <v>172097.35753756762</v>
      </c>
      <c r="L94" s="1286">
        <v>255492.63017244093</v>
      </c>
      <c r="M94" s="1286">
        <v>255429.97955958743</v>
      </c>
      <c r="N94" s="1286">
        <v>255374.82464505752</v>
      </c>
      <c r="O94" s="1286">
        <v>255328.46598844836</v>
      </c>
      <c r="P94" s="1286">
        <v>171836.35828327975</v>
      </c>
      <c r="Q94" s="1286">
        <v>255251.20156076638</v>
      </c>
      <c r="R94" s="1286">
        <v>255219.17485499143</v>
      </c>
      <c r="S94" s="1286">
        <v>255191.90723074434</v>
      </c>
      <c r="T94" s="1286">
        <v>255168.13466618332</v>
      </c>
      <c r="U94" s="1286">
        <v>171704.1083163092</v>
      </c>
      <c r="V94" s="1286">
        <v>255128.87977209929</v>
      </c>
      <c r="W94" s="1286">
        <v>255112.97732478724</v>
      </c>
      <c r="X94" s="1286">
        <v>255099.11542957652</v>
      </c>
      <c r="Y94" s="1286">
        <v>255087.03010482763</v>
      </c>
      <c r="Z94" s="1409"/>
      <c r="AA94" s="1410">
        <f t="shared" ca="1" si="1"/>
        <v>219491.28809631203</v>
      </c>
      <c r="AB94" s="1412"/>
      <c r="AC94" s="1287"/>
      <c r="AD94" s="1038"/>
      <c r="AE94" s="1038"/>
      <c r="AF94" s="1038"/>
      <c r="AG94" s="1038"/>
      <c r="AH94" s="1038"/>
      <c r="AI94" s="1038"/>
      <c r="AJ94" s="1038"/>
      <c r="AK94" s="1038"/>
      <c r="AL94" s="1038"/>
      <c r="AM94" s="1038"/>
      <c r="AN94" s="1038"/>
      <c r="AO94" s="1038"/>
      <c r="AP94" s="1038"/>
      <c r="AQ94" s="1038"/>
      <c r="AR94" s="1038"/>
      <c r="AS94" s="1038"/>
      <c r="AT94" s="1038"/>
      <c r="AU94" s="1038"/>
      <c r="AV94" s="1038"/>
      <c r="AW94" s="1038"/>
      <c r="AX94" s="1038"/>
      <c r="AY94" s="1038"/>
      <c r="AZ94" s="1038"/>
      <c r="BA94" s="1038"/>
      <c r="BB94" s="1038"/>
      <c r="BC94" s="1038"/>
      <c r="BD94" s="1287"/>
      <c r="BE94" s="1287"/>
    </row>
    <row r="95" spans="1:57" x14ac:dyDescent="0.25">
      <c r="A95" s="1287"/>
      <c r="B95" s="1427">
        <v>9</v>
      </c>
      <c r="C95" s="1506">
        <v>173145.17054381617</v>
      </c>
      <c r="D95" s="1286">
        <v>172951.50246557462</v>
      </c>
      <c r="E95" s="1286">
        <v>256262.66315951239</v>
      </c>
      <c r="F95" s="1286">
        <v>256111.61822743306</v>
      </c>
      <c r="G95" s="1286">
        <v>255969.94042292444</v>
      </c>
      <c r="H95" s="1286">
        <v>255843.09390373621</v>
      </c>
      <c r="I95" s="1286">
        <v>255739.1298403581</v>
      </c>
      <c r="J95" s="1286">
        <v>255642.99164328922</v>
      </c>
      <c r="K95" s="1286">
        <v>255561.50379918856</v>
      </c>
      <c r="L95" s="1286">
        <v>255492.63017244093</v>
      </c>
      <c r="M95" s="1286">
        <v>255429.97955958743</v>
      </c>
      <c r="N95" s="1286">
        <v>255374.82464505752</v>
      </c>
      <c r="O95" s="1286">
        <v>255328.46598844836</v>
      </c>
      <c r="P95" s="1286">
        <v>255286.52244199233</v>
      </c>
      <c r="Q95" s="1286">
        <v>255251.20156076638</v>
      </c>
      <c r="R95" s="1286">
        <v>255219.17485499143</v>
      </c>
      <c r="S95" s="1286">
        <v>255191.90723074434</v>
      </c>
      <c r="T95" s="1286">
        <v>255168.13466618332</v>
      </c>
      <c r="U95" s="1286">
        <v>255147.18765536268</v>
      </c>
      <c r="V95" s="1286">
        <v>255128.87977209929</v>
      </c>
      <c r="W95" s="1286">
        <v>255112.97732478724</v>
      </c>
      <c r="X95" s="1286">
        <v>255099.11542957652</v>
      </c>
      <c r="Y95" s="1286">
        <v>255087.03010482763</v>
      </c>
      <c r="Z95" s="1409"/>
      <c r="AA95" s="1410">
        <f t="shared" ca="1" si="1"/>
        <v>255522.36258913821</v>
      </c>
      <c r="AB95" s="1413"/>
      <c r="AC95" s="1287"/>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287"/>
      <c r="BE95" s="1287"/>
    </row>
    <row r="96" spans="1:57" x14ac:dyDescent="0.25">
      <c r="A96" s="1287"/>
      <c r="B96" s="1346"/>
      <c r="C96" s="1512"/>
      <c r="D96" s="1407"/>
      <c r="E96" s="1407"/>
      <c r="F96" s="1407"/>
      <c r="G96" s="1407"/>
      <c r="H96" s="1407"/>
      <c r="I96" s="1407"/>
      <c r="J96" s="1407"/>
      <c r="K96" s="1407"/>
      <c r="L96" s="1407"/>
      <c r="M96" s="1407"/>
      <c r="N96" s="1407"/>
      <c r="O96" s="1407"/>
      <c r="P96" s="1407"/>
      <c r="Q96" s="1407"/>
      <c r="R96" s="1407"/>
      <c r="S96" s="1407"/>
      <c r="T96" s="1407"/>
      <c r="U96" s="1407"/>
      <c r="V96" s="1407"/>
      <c r="W96" s="1407"/>
      <c r="X96" s="1407"/>
      <c r="Y96" s="1407"/>
      <c r="Z96" s="1409"/>
      <c r="AA96" s="1414"/>
      <c r="AB96" s="1403"/>
      <c r="AC96" s="1287"/>
      <c r="AD96" s="1038"/>
      <c r="AE96" s="1038"/>
      <c r="AF96" s="1038"/>
      <c r="AG96" s="1038"/>
      <c r="AH96" s="1038"/>
      <c r="AI96" s="1038"/>
      <c r="AJ96" s="1038"/>
      <c r="AK96" s="1038"/>
      <c r="AL96" s="1038"/>
      <c r="AM96" s="1038"/>
      <c r="AN96" s="1038"/>
      <c r="AO96" s="1038"/>
      <c r="AP96" s="1038"/>
      <c r="AQ96" s="1038"/>
      <c r="AR96" s="1038"/>
      <c r="AS96" s="1038"/>
      <c r="AT96" s="1038"/>
      <c r="AU96" s="1038"/>
      <c r="AV96" s="1038"/>
      <c r="AW96" s="1038"/>
      <c r="AX96" s="1038"/>
      <c r="AY96" s="1038"/>
      <c r="AZ96" s="1038"/>
      <c r="BA96" s="1038"/>
      <c r="BB96" s="1038"/>
      <c r="BC96" s="1038"/>
      <c r="BD96" s="1287"/>
      <c r="BE96" s="1287"/>
    </row>
    <row r="97" spans="1:57" x14ac:dyDescent="0.25">
      <c r="A97" s="1287"/>
      <c r="B97" s="1340" t="s">
        <v>1272</v>
      </c>
      <c r="C97" s="1506">
        <v>250926.29779080465</v>
      </c>
      <c r="D97" s="1286">
        <v>250012.30303379725</v>
      </c>
      <c r="E97" s="1286">
        <v>249122.0484003484</v>
      </c>
      <c r="F97" s="1286">
        <v>248445.45487892738</v>
      </c>
      <c r="G97" s="1286">
        <v>247810.82064565635</v>
      </c>
      <c r="H97" s="1286">
        <v>247242.62195195642</v>
      </c>
      <c r="I97" s="1286">
        <v>246776.92336297431</v>
      </c>
      <c r="J97" s="1286">
        <v>246346.28010733871</v>
      </c>
      <c r="K97" s="1286">
        <v>245981.26191947859</v>
      </c>
      <c r="L97" s="1286">
        <v>245672.74809506431</v>
      </c>
      <c r="M97" s="1286">
        <v>245392.10975661658</v>
      </c>
      <c r="N97" s="1286">
        <v>245145.04779080462</v>
      </c>
      <c r="O97" s="1286">
        <v>244937.38794885066</v>
      </c>
      <c r="P97" s="1286">
        <v>244749.50523470176</v>
      </c>
      <c r="Q97" s="1286">
        <v>244591.28821226067</v>
      </c>
      <c r="R97" s="1286">
        <v>244447.82718154968</v>
      </c>
      <c r="S97" s="1286">
        <v>244325.68407051548</v>
      </c>
      <c r="T97" s="1286">
        <v>244219.19679584765</v>
      </c>
      <c r="U97" s="1286">
        <v>244125.36635996838</v>
      </c>
      <c r="V97" s="1286">
        <v>244043.35768191179</v>
      </c>
      <c r="W97" s="1286">
        <v>243972.12395908538</v>
      </c>
      <c r="X97" s="1286">
        <v>243910.03072387999</v>
      </c>
      <c r="Y97" s="1286">
        <v>243855.89549195414</v>
      </c>
      <c r="Z97" s="1409"/>
      <c r="AA97" s="1410">
        <f ca="1">FORECAST($C$54,OFFSET(G97:Y97,0,MATCH($C$54,$G$72:$Y$72,1)-1,1,2), OFFSET($G$72:$Y$72,0,MATCH($C$54,$G$72:$Y$72,1)-1,1,2))</f>
        <v>245805.93204395051</v>
      </c>
      <c r="AB97" s="1411" t="e">
        <f ca="1">FORECAST($C$55,OFFSET(AA97:AA119,MATCH($C$55,$B$73:$B$95,1)-1,0,2), OFFSET($B$73:$B$95,MATCH($C$55,$B$73:$B$95,1)-1,0,2))</f>
        <v>#REF!</v>
      </c>
      <c r="AC97" s="1287"/>
      <c r="AD97" s="1038"/>
      <c r="AE97" s="1038"/>
      <c r="AF97" s="1038"/>
      <c r="AG97" s="1038"/>
      <c r="AH97" s="1038"/>
      <c r="AI97" s="1038"/>
      <c r="AJ97" s="1038"/>
      <c r="AK97" s="1038"/>
      <c r="AL97" s="1038"/>
      <c r="AM97" s="1038"/>
      <c r="AN97" s="1038"/>
      <c r="AO97" s="1038"/>
      <c r="AP97" s="1038"/>
      <c r="AQ97" s="1038"/>
      <c r="AR97" s="1038"/>
      <c r="AS97" s="1038"/>
      <c r="AT97" s="1038"/>
      <c r="AU97" s="1038"/>
      <c r="AV97" s="1038"/>
      <c r="AW97" s="1038"/>
      <c r="AX97" s="1038"/>
      <c r="AY97" s="1038"/>
      <c r="AZ97" s="1038"/>
      <c r="BA97" s="1038"/>
      <c r="BB97" s="1038"/>
      <c r="BC97" s="1038"/>
      <c r="BD97" s="1287"/>
      <c r="BE97" s="1287"/>
    </row>
    <row r="98" spans="1:57" x14ac:dyDescent="0.25">
      <c r="A98" s="1287"/>
      <c r="B98" s="1415"/>
      <c r="C98" s="1506">
        <v>250926.29779080465</v>
      </c>
      <c r="D98" s="1286">
        <v>250012.30303379725</v>
      </c>
      <c r="E98" s="1286">
        <v>249122.0484003484</v>
      </c>
      <c r="F98" s="1286">
        <v>248445.45487892738</v>
      </c>
      <c r="G98" s="1286">
        <v>247810.82064565635</v>
      </c>
      <c r="H98" s="1286">
        <v>247242.62195195642</v>
      </c>
      <c r="I98" s="1286">
        <v>246776.92336297431</v>
      </c>
      <c r="J98" s="1286">
        <v>246346.28010733871</v>
      </c>
      <c r="K98" s="1286">
        <v>245981.26191947859</v>
      </c>
      <c r="L98" s="1286">
        <v>245672.74809506431</v>
      </c>
      <c r="M98" s="1286">
        <v>245392.10975661658</v>
      </c>
      <c r="N98" s="1286">
        <v>245145.04779080462</v>
      </c>
      <c r="O98" s="1286">
        <v>244937.38794885066</v>
      </c>
      <c r="P98" s="1286">
        <v>244749.50523470176</v>
      </c>
      <c r="Q98" s="1286">
        <v>244591.28821226067</v>
      </c>
      <c r="R98" s="1286">
        <v>244447.82718154968</v>
      </c>
      <c r="S98" s="1286">
        <v>244325.68407051548</v>
      </c>
      <c r="T98" s="1286">
        <v>244219.19679584765</v>
      </c>
      <c r="U98" s="1286">
        <v>244125.36635996838</v>
      </c>
      <c r="V98" s="1286">
        <v>244043.35768191179</v>
      </c>
      <c r="W98" s="1286">
        <v>243972.12395908538</v>
      </c>
      <c r="X98" s="1286">
        <v>243910.03072387999</v>
      </c>
      <c r="Y98" s="1286">
        <v>243855.89549195414</v>
      </c>
      <c r="Z98" s="1409"/>
      <c r="AA98" s="1410">
        <f ca="1">FORECAST($C$54,OFFSET(G98:Y98,0,MATCH($C$54,$G$72:$Y$72,1)-1,1,2), OFFSET($G$72:$Y$72,0,MATCH($C$54,$G$72:$Y$72,1)-1,1,2))</f>
        <v>245805.93204395051</v>
      </c>
      <c r="AB98" s="1412"/>
      <c r="AC98" s="1287"/>
      <c r="AD98" s="1038"/>
      <c r="AE98" s="1038"/>
      <c r="AF98" s="1038"/>
      <c r="AG98" s="1038"/>
      <c r="AH98" s="1038"/>
      <c r="AI98" s="1038"/>
      <c r="AJ98" s="1038"/>
      <c r="AK98" s="1038"/>
      <c r="AL98" s="1038"/>
      <c r="AM98" s="1038"/>
      <c r="AN98" s="1038"/>
      <c r="AO98" s="1038"/>
      <c r="AP98" s="1038"/>
      <c r="AQ98" s="1038"/>
      <c r="AR98" s="1038"/>
      <c r="AS98" s="1038"/>
      <c r="AT98" s="1038"/>
      <c r="AU98" s="1038"/>
      <c r="AV98" s="1038"/>
      <c r="AW98" s="1038"/>
      <c r="AX98" s="1038"/>
      <c r="AY98" s="1038"/>
      <c r="AZ98" s="1038"/>
      <c r="BA98" s="1038"/>
      <c r="BB98" s="1038"/>
      <c r="BC98" s="1038"/>
      <c r="BD98" s="1287"/>
      <c r="BE98" s="1287"/>
    </row>
    <row r="99" spans="1:57" x14ac:dyDescent="0.25">
      <c r="A99" s="1287"/>
      <c r="B99" s="1415"/>
      <c r="C99" s="1506">
        <v>250926.29779080465</v>
      </c>
      <c r="D99" s="1286">
        <v>250012.30303379725</v>
      </c>
      <c r="E99" s="1286">
        <v>249122.0484003484</v>
      </c>
      <c r="F99" s="1286">
        <v>248445.45487892738</v>
      </c>
      <c r="G99" s="1286">
        <v>247810.82064565635</v>
      </c>
      <c r="H99" s="1286">
        <v>247242.62195195642</v>
      </c>
      <c r="I99" s="1286">
        <v>246776.92336297431</v>
      </c>
      <c r="J99" s="1286">
        <v>246346.28010733871</v>
      </c>
      <c r="K99" s="1286">
        <v>245981.26191947859</v>
      </c>
      <c r="L99" s="1286">
        <v>245672.74809506431</v>
      </c>
      <c r="M99" s="1286">
        <v>245392.10975661658</v>
      </c>
      <c r="N99" s="1286">
        <v>245145.04779080462</v>
      </c>
      <c r="O99" s="1286">
        <v>244937.38794885066</v>
      </c>
      <c r="P99" s="1286">
        <v>244749.50523470176</v>
      </c>
      <c r="Q99" s="1286">
        <v>244591.28821226067</v>
      </c>
      <c r="R99" s="1286">
        <v>244447.82718154968</v>
      </c>
      <c r="S99" s="1286">
        <v>244325.68407051548</v>
      </c>
      <c r="T99" s="1286">
        <v>244219.19679584765</v>
      </c>
      <c r="U99" s="1286">
        <v>244125.36635996838</v>
      </c>
      <c r="V99" s="1286">
        <v>244043.35768191179</v>
      </c>
      <c r="W99" s="1286">
        <v>243972.12395908538</v>
      </c>
      <c r="X99" s="1286">
        <v>243910.03072387999</v>
      </c>
      <c r="Y99" s="1286">
        <v>243855.89549195414</v>
      </c>
      <c r="Z99" s="1409"/>
      <c r="AA99" s="1410">
        <f ca="1">FORECAST($C$54,OFFSET(G99:Y99,0,MATCH($C$54,$G$72:$Y$72,1)-1,1,2), OFFSET($G$72:$Y$72,0,MATCH($C$54,$G$72:$Y$72,1)-1,1,2))</f>
        <v>245805.93204395051</v>
      </c>
      <c r="AB99" s="1412"/>
      <c r="AC99" s="1287"/>
      <c r="AD99" s="1038"/>
      <c r="AE99" s="1038"/>
      <c r="AF99" s="1038"/>
      <c r="AG99" s="1038"/>
      <c r="AH99" s="1038"/>
      <c r="AI99" s="1038"/>
      <c r="AJ99" s="1038"/>
      <c r="AK99" s="1038"/>
      <c r="AL99" s="1038"/>
      <c r="AM99" s="1038"/>
      <c r="AN99" s="1038"/>
      <c r="AO99" s="1038"/>
      <c r="AP99" s="1038"/>
      <c r="AQ99" s="1038"/>
      <c r="AR99" s="1038"/>
      <c r="AS99" s="1038"/>
      <c r="AT99" s="1038"/>
      <c r="AU99" s="1038"/>
      <c r="AV99" s="1038"/>
      <c r="AW99" s="1038"/>
      <c r="AX99" s="1038"/>
      <c r="AY99" s="1038"/>
      <c r="AZ99" s="1038"/>
      <c r="BA99" s="1038"/>
      <c r="BB99" s="1038"/>
      <c r="BC99" s="1038"/>
      <c r="BD99" s="1287"/>
      <c r="BE99" s="1287"/>
    </row>
    <row r="100" spans="1:57" x14ac:dyDescent="0.25">
      <c r="A100" s="1287"/>
      <c r="B100" s="1415"/>
      <c r="C100" s="1506">
        <v>250926.29779080465</v>
      </c>
      <c r="D100" s="1286">
        <v>250012.30303379725</v>
      </c>
      <c r="E100" s="1286">
        <v>249122.0484003484</v>
      </c>
      <c r="F100" s="1286">
        <v>248445.45487892738</v>
      </c>
      <c r="G100" s="1286">
        <v>247810.82064565635</v>
      </c>
      <c r="H100" s="1286">
        <v>247242.62195195642</v>
      </c>
      <c r="I100" s="1286">
        <v>246776.92336297431</v>
      </c>
      <c r="J100" s="1286">
        <v>246346.28010733871</v>
      </c>
      <c r="K100" s="1286">
        <v>245981.26191947859</v>
      </c>
      <c r="L100" s="1286">
        <v>245672.74809506431</v>
      </c>
      <c r="M100" s="1286">
        <v>245392.10975661658</v>
      </c>
      <c r="N100" s="1286">
        <v>245145.04779080462</v>
      </c>
      <c r="O100" s="1286">
        <v>244937.38794885066</v>
      </c>
      <c r="P100" s="1286">
        <v>244749.50523470176</v>
      </c>
      <c r="Q100" s="1286">
        <v>244591.28821226067</v>
      </c>
      <c r="R100" s="1286">
        <v>244447.82718154968</v>
      </c>
      <c r="S100" s="1286">
        <v>244325.68407051548</v>
      </c>
      <c r="T100" s="1286">
        <v>244219.19679584765</v>
      </c>
      <c r="U100" s="1286">
        <v>244125.36635996838</v>
      </c>
      <c r="V100" s="1286">
        <v>244043.35768191179</v>
      </c>
      <c r="W100" s="1286">
        <v>243972.12395908538</v>
      </c>
      <c r="X100" s="1286">
        <v>243910.03072387999</v>
      </c>
      <c r="Y100" s="1286">
        <v>243855.89549195414</v>
      </c>
      <c r="Z100" s="1409"/>
      <c r="AA100" s="1410">
        <f ca="1">FORECAST($C$54,OFFSET(G100:Y100,0,MATCH($C$54,$G$72:$Y$72,1)-1,1,2), OFFSET($G$72:$Y$72,0,MATCH($C$54,$G$72:$Y$72,1)-1,1,2))</f>
        <v>245805.93204395051</v>
      </c>
      <c r="AB100" s="1412"/>
      <c r="AC100" s="1287"/>
      <c r="AD100" s="1038"/>
      <c r="AE100" s="1038"/>
      <c r="AF100" s="1038"/>
      <c r="AG100" s="1038"/>
      <c r="AH100" s="1038"/>
      <c r="AI100" s="1038"/>
      <c r="AJ100" s="1038"/>
      <c r="AK100" s="1038"/>
      <c r="AL100" s="1038"/>
      <c r="AM100" s="1038"/>
      <c r="AN100" s="1038"/>
      <c r="AO100" s="1038"/>
      <c r="AP100" s="1038"/>
      <c r="AQ100" s="1038"/>
      <c r="AR100" s="1038"/>
      <c r="AS100" s="1038"/>
      <c r="AT100" s="1038"/>
      <c r="AU100" s="1038"/>
      <c r="AV100" s="1038"/>
      <c r="AW100" s="1038"/>
      <c r="AX100" s="1038"/>
      <c r="AY100" s="1038"/>
      <c r="AZ100" s="1038"/>
      <c r="BA100" s="1038"/>
      <c r="BB100" s="1038"/>
      <c r="BC100" s="1038"/>
      <c r="BD100" s="1287"/>
      <c r="BE100" s="1287"/>
    </row>
    <row r="101" spans="1:57" x14ac:dyDescent="0.25">
      <c r="A101" s="1287"/>
      <c r="B101" s="1415"/>
      <c r="C101" s="1506">
        <v>250926.29779080465</v>
      </c>
      <c r="D101" s="1286">
        <v>250012.30303379725</v>
      </c>
      <c r="E101" s="1286">
        <v>266310.46138793457</v>
      </c>
      <c r="F101" s="1286">
        <v>265633.86786651344</v>
      </c>
      <c r="G101" s="1286">
        <v>247810.82064565635</v>
      </c>
      <c r="H101" s="1286">
        <v>247242.62195195642</v>
      </c>
      <c r="I101" s="1286">
        <v>246776.92336297431</v>
      </c>
      <c r="J101" s="1286">
        <v>263534.69309492491</v>
      </c>
      <c r="K101" s="1286">
        <v>245981.26191947859</v>
      </c>
      <c r="L101" s="1286">
        <v>245672.74809506431</v>
      </c>
      <c r="M101" s="1286">
        <v>262580.52274420287</v>
      </c>
      <c r="N101" s="1286">
        <v>245145.04779080462</v>
      </c>
      <c r="O101" s="1286">
        <v>244937.38794885066</v>
      </c>
      <c r="P101" s="1286">
        <v>261937.91822228799</v>
      </c>
      <c r="Q101" s="1286">
        <v>244591.28821226067</v>
      </c>
      <c r="R101" s="1286">
        <v>244447.82718154968</v>
      </c>
      <c r="S101" s="1286">
        <v>261514.09705810167</v>
      </c>
      <c r="T101" s="1286">
        <v>261407.60978343384</v>
      </c>
      <c r="U101" s="1286">
        <v>261313.77934755458</v>
      </c>
      <c r="V101" s="1286">
        <v>244043.35768191179</v>
      </c>
      <c r="W101" s="1286">
        <v>243972.12395908538</v>
      </c>
      <c r="X101" s="1286">
        <v>261098.44371146613</v>
      </c>
      <c r="Y101" s="1286">
        <v>261044.30847954028</v>
      </c>
      <c r="Z101" s="1409"/>
      <c r="AA101" s="1410">
        <f ca="1">FORECAST($C$54,OFFSET(G101:Y101,0,MATCH($C$54,$G$72:$Y$72,1)-1,1,2), OFFSET($G$72:$Y$72,0,MATCH($C$54,$G$72:$Y$72,1)-1,1,2))</f>
        <v>245805.93204395051</v>
      </c>
      <c r="AB101" s="1412"/>
      <c r="AC101" s="1287"/>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287"/>
      <c r="BE101" s="1287"/>
    </row>
    <row r="102" spans="1:57" x14ac:dyDescent="0.25">
      <c r="A102" s="1287"/>
      <c r="B102" s="1415"/>
      <c r="C102" s="1506">
        <v>268114.71077839093</v>
      </c>
      <c r="D102" s="1286">
        <v>267200.71602138347</v>
      </c>
      <c r="E102" s="1286">
        <v>266310.46138793457</v>
      </c>
      <c r="F102" s="1286">
        <v>265633.86786651344</v>
      </c>
      <c r="G102" s="1286">
        <v>247810.82064565635</v>
      </c>
      <c r="H102" s="1286">
        <v>264431.0349395427</v>
      </c>
      <c r="I102" s="1286">
        <v>263965.3363505606</v>
      </c>
      <c r="J102" s="1286">
        <v>263534.69309492491</v>
      </c>
      <c r="K102" s="1286">
        <v>263169.67490706476</v>
      </c>
      <c r="L102" s="1286">
        <v>262861.16108265053</v>
      </c>
      <c r="M102" s="1286">
        <v>262580.52274420287</v>
      </c>
      <c r="N102" s="1286">
        <v>262333.46077839087</v>
      </c>
      <c r="O102" s="1286">
        <v>262125.80093643686</v>
      </c>
      <c r="P102" s="1286">
        <v>261937.91822228799</v>
      </c>
      <c r="Q102" s="1286">
        <v>261779.70119984687</v>
      </c>
      <c r="R102" s="1286">
        <v>261636.24016913591</v>
      </c>
      <c r="S102" s="1286">
        <v>261514.09705810167</v>
      </c>
      <c r="T102" s="1286">
        <v>261407.60978343384</v>
      </c>
      <c r="U102" s="1286">
        <v>261313.77934755458</v>
      </c>
      <c r="V102" s="1286">
        <v>261231.77066949793</v>
      </c>
      <c r="W102" s="1286">
        <v>261160.53694667161</v>
      </c>
      <c r="X102" s="1286">
        <v>261098.44371146613</v>
      </c>
      <c r="Y102" s="1286">
        <v>261044.30847954028</v>
      </c>
      <c r="Z102" s="1409"/>
      <c r="AA102" s="1410">
        <f t="shared" ref="AA102:AA119" ca="1" si="2">FORECAST($C$54,OFFSET(C102:Y102,0,MATCH($C$54,$G$72:$Y$72,1)-1,1,2), OFFSET($G$72:$Y$72,0,MATCH($C$54,$G$72:$Y$72,1)-1,1,2))</f>
        <v>257256.16757274957</v>
      </c>
      <c r="AB102" s="1412"/>
      <c r="AC102" s="1287"/>
      <c r="AD102" s="1038"/>
      <c r="AE102" s="1038"/>
      <c r="AF102" s="1038"/>
      <c r="AG102" s="1038"/>
      <c r="AH102" s="1038"/>
      <c r="AI102" s="1038"/>
      <c r="AJ102" s="1038"/>
      <c r="AK102" s="1038"/>
      <c r="AL102" s="1038"/>
      <c r="AM102" s="1038"/>
      <c r="AN102" s="1038"/>
      <c r="AO102" s="1038"/>
      <c r="AP102" s="1038"/>
      <c r="AQ102" s="1038"/>
      <c r="AR102" s="1038"/>
      <c r="AS102" s="1038"/>
      <c r="AT102" s="1038"/>
      <c r="AU102" s="1038"/>
      <c r="AV102" s="1038"/>
      <c r="AW102" s="1038"/>
      <c r="AX102" s="1038"/>
      <c r="AY102" s="1038"/>
      <c r="AZ102" s="1038"/>
      <c r="BA102" s="1038"/>
      <c r="BB102" s="1038"/>
      <c r="BC102" s="1038"/>
      <c r="BD102" s="1287"/>
      <c r="BE102" s="1287"/>
    </row>
    <row r="103" spans="1:57" x14ac:dyDescent="0.25">
      <c r="A103" s="1287"/>
      <c r="B103" s="1415"/>
      <c r="C103" s="1506">
        <v>268114.71077839093</v>
      </c>
      <c r="D103" s="1286">
        <v>267200.71602138347</v>
      </c>
      <c r="E103" s="1286">
        <v>266310.46138793457</v>
      </c>
      <c r="F103" s="1286">
        <v>265633.86786651344</v>
      </c>
      <c r="G103" s="1286">
        <v>264999.23363324249</v>
      </c>
      <c r="H103" s="1286">
        <v>264431.0349395427</v>
      </c>
      <c r="I103" s="1286">
        <v>263965.3363505606</v>
      </c>
      <c r="J103" s="1286">
        <v>263534.69309492491</v>
      </c>
      <c r="K103" s="1286">
        <v>263169.67490706476</v>
      </c>
      <c r="L103" s="1286">
        <v>262861.16108265053</v>
      </c>
      <c r="M103" s="1286">
        <v>262580.52274420287</v>
      </c>
      <c r="N103" s="1286">
        <v>262333.46077839087</v>
      </c>
      <c r="O103" s="1286">
        <v>262125.80093643686</v>
      </c>
      <c r="P103" s="1286">
        <v>261937.91822228799</v>
      </c>
      <c r="Q103" s="1286">
        <v>261779.70119984687</v>
      </c>
      <c r="R103" s="1286">
        <v>261636.24016913591</v>
      </c>
      <c r="S103" s="1286">
        <v>261514.09705810167</v>
      </c>
      <c r="T103" s="1286">
        <v>261407.60978343384</v>
      </c>
      <c r="U103" s="1286">
        <v>261313.77934755458</v>
      </c>
      <c r="V103" s="1286">
        <v>261231.77066949793</v>
      </c>
      <c r="W103" s="1286">
        <v>261160.53694667161</v>
      </c>
      <c r="X103" s="1286">
        <v>261098.44371146613</v>
      </c>
      <c r="Y103" s="1286">
        <v>261044.30847954028</v>
      </c>
      <c r="Z103" s="1409"/>
      <c r="AA103" s="1410">
        <f t="shared" ca="1" si="2"/>
        <v>264676.32360990479</v>
      </c>
      <c r="AB103" s="1412"/>
      <c r="AC103" s="1287"/>
      <c r="AD103" s="1038"/>
      <c r="AE103" s="1038"/>
      <c r="AF103" s="1038"/>
      <c r="AG103" s="1038"/>
      <c r="AH103" s="1038"/>
      <c r="AI103" s="1038"/>
      <c r="AJ103" s="1038"/>
      <c r="AK103" s="1038"/>
      <c r="AL103" s="1038"/>
      <c r="AM103" s="1038"/>
      <c r="AN103" s="1038"/>
      <c r="AO103" s="1038"/>
      <c r="AP103" s="1038"/>
      <c r="AQ103" s="1038"/>
      <c r="AR103" s="1038"/>
      <c r="AS103" s="1038"/>
      <c r="AT103" s="1038"/>
      <c r="AU103" s="1038"/>
      <c r="AV103" s="1038"/>
      <c r="AW103" s="1038"/>
      <c r="AX103" s="1038"/>
      <c r="AY103" s="1038"/>
      <c r="AZ103" s="1038"/>
      <c r="BA103" s="1038"/>
      <c r="BB103" s="1038"/>
      <c r="BC103" s="1038"/>
      <c r="BD103" s="1287"/>
      <c r="BE103" s="1287"/>
    </row>
    <row r="104" spans="1:57" x14ac:dyDescent="0.25">
      <c r="A104" s="1287"/>
      <c r="B104" s="1415"/>
      <c r="C104" s="1506">
        <v>268114.71077839093</v>
      </c>
      <c r="D104" s="1286">
        <v>267200.71602138347</v>
      </c>
      <c r="E104" s="1286">
        <v>266310.46138793457</v>
      </c>
      <c r="F104" s="1286">
        <v>265633.86786651344</v>
      </c>
      <c r="G104" s="1286">
        <v>264999.23363324249</v>
      </c>
      <c r="H104" s="1286">
        <v>264431.0349395427</v>
      </c>
      <c r="I104" s="1286">
        <v>263965.3363505606</v>
      </c>
      <c r="J104" s="1286">
        <v>263534.69309492491</v>
      </c>
      <c r="K104" s="1286">
        <v>263169.67490706476</v>
      </c>
      <c r="L104" s="1286">
        <v>262861.16108265053</v>
      </c>
      <c r="M104" s="1286">
        <v>262580.52274420287</v>
      </c>
      <c r="N104" s="1286">
        <v>262333.46077839087</v>
      </c>
      <c r="O104" s="1286">
        <v>262125.80093643686</v>
      </c>
      <c r="P104" s="1286">
        <v>261937.91822228799</v>
      </c>
      <c r="Q104" s="1286">
        <v>261779.70119984687</v>
      </c>
      <c r="R104" s="1286">
        <v>261636.24016913591</v>
      </c>
      <c r="S104" s="1286">
        <v>261514.09705810167</v>
      </c>
      <c r="T104" s="1286">
        <v>261407.60978343384</v>
      </c>
      <c r="U104" s="1286">
        <v>261313.77934755458</v>
      </c>
      <c r="V104" s="1286">
        <v>261231.77066949793</v>
      </c>
      <c r="W104" s="1286">
        <v>261160.53694667161</v>
      </c>
      <c r="X104" s="1286">
        <v>261098.44371146613</v>
      </c>
      <c r="Y104" s="1286">
        <v>261044.30847954028</v>
      </c>
      <c r="Z104" s="1409"/>
      <c r="AA104" s="1410">
        <f t="shared" ca="1" si="2"/>
        <v>264676.32360990479</v>
      </c>
      <c r="AB104" s="1412"/>
      <c r="AC104" s="1287"/>
      <c r="AD104" s="1038"/>
      <c r="AE104" s="1038"/>
      <c r="AF104" s="1038"/>
      <c r="AG104" s="1038"/>
      <c r="AH104" s="1038"/>
      <c r="AI104" s="1038"/>
      <c r="AJ104" s="1038"/>
      <c r="AK104" s="1038"/>
      <c r="AL104" s="1038"/>
      <c r="AM104" s="1038"/>
      <c r="AN104" s="1038"/>
      <c r="AO104" s="1038"/>
      <c r="AP104" s="1038"/>
      <c r="AQ104" s="1038"/>
      <c r="AR104" s="1038"/>
      <c r="AS104" s="1038"/>
      <c r="AT104" s="1038"/>
      <c r="AU104" s="1038"/>
      <c r="AV104" s="1038"/>
      <c r="AW104" s="1038"/>
      <c r="AX104" s="1038"/>
      <c r="AY104" s="1038"/>
      <c r="AZ104" s="1038"/>
      <c r="BA104" s="1038"/>
      <c r="BB104" s="1038"/>
      <c r="BC104" s="1038"/>
      <c r="BD104" s="1287"/>
      <c r="BE104" s="1287"/>
    </row>
    <row r="105" spans="1:57" x14ac:dyDescent="0.25">
      <c r="A105" s="1287"/>
      <c r="B105" s="1415"/>
      <c r="C105" s="1506">
        <v>268114.71077839093</v>
      </c>
      <c r="D105" s="1286">
        <v>267200.71602138347</v>
      </c>
      <c r="E105" s="1286">
        <v>266310.46138793457</v>
      </c>
      <c r="F105" s="1286">
        <v>265633.86786651344</v>
      </c>
      <c r="G105" s="1286">
        <v>264999.23363324249</v>
      </c>
      <c r="H105" s="1286">
        <v>264431.0349395427</v>
      </c>
      <c r="I105" s="1286">
        <v>263965.3363505606</v>
      </c>
      <c r="J105" s="1286">
        <v>263534.69309492491</v>
      </c>
      <c r="K105" s="1286">
        <v>263169.67490706476</v>
      </c>
      <c r="L105" s="1286">
        <v>262861.16108265053</v>
      </c>
      <c r="M105" s="1286">
        <v>262580.52274420287</v>
      </c>
      <c r="N105" s="1286">
        <v>262333.46077839087</v>
      </c>
      <c r="O105" s="1286">
        <v>262125.80093643686</v>
      </c>
      <c r="P105" s="1286">
        <v>261937.91822228799</v>
      </c>
      <c r="Q105" s="1286">
        <v>261779.70119984687</v>
      </c>
      <c r="R105" s="1286">
        <v>261636.24016913591</v>
      </c>
      <c r="S105" s="1286">
        <v>261514.09705810167</v>
      </c>
      <c r="T105" s="1286">
        <v>261407.60978343384</v>
      </c>
      <c r="U105" s="1286">
        <v>261313.77934755458</v>
      </c>
      <c r="V105" s="1286">
        <v>261231.77066949793</v>
      </c>
      <c r="W105" s="1286">
        <v>261160.53694667161</v>
      </c>
      <c r="X105" s="1286">
        <v>261098.44371146613</v>
      </c>
      <c r="Y105" s="1286">
        <v>261044.30847954028</v>
      </c>
      <c r="Z105" s="1409"/>
      <c r="AA105" s="1410">
        <f t="shared" ca="1" si="2"/>
        <v>264676.32360990479</v>
      </c>
      <c r="AB105" s="1412"/>
      <c r="AC105" s="1287"/>
      <c r="AD105" s="1038"/>
      <c r="AE105" s="1038"/>
      <c r="AF105" s="1038"/>
      <c r="AG105" s="1038"/>
      <c r="AH105" s="1038"/>
      <c r="AI105" s="1038"/>
      <c r="AJ105" s="1038"/>
      <c r="AK105" s="1038"/>
      <c r="AL105" s="1038"/>
      <c r="AM105" s="1038"/>
      <c r="AN105" s="1038"/>
      <c r="AO105" s="1038"/>
      <c r="AP105" s="1038"/>
      <c r="AQ105" s="1038"/>
      <c r="AR105" s="1038"/>
      <c r="AS105" s="1038"/>
      <c r="AT105" s="1038"/>
      <c r="AU105" s="1038"/>
      <c r="AV105" s="1038"/>
      <c r="AW105" s="1038"/>
      <c r="AX105" s="1038"/>
      <c r="AY105" s="1038"/>
      <c r="AZ105" s="1038"/>
      <c r="BA105" s="1038"/>
      <c r="BB105" s="1038"/>
      <c r="BC105" s="1038"/>
      <c r="BD105" s="1287"/>
      <c r="BE105" s="1287"/>
    </row>
    <row r="106" spans="1:57" x14ac:dyDescent="0.25">
      <c r="A106" s="1287"/>
      <c r="B106" s="1415"/>
      <c r="C106" s="1506">
        <v>268114.71077839093</v>
      </c>
      <c r="D106" s="1286">
        <v>267200.71602138347</v>
      </c>
      <c r="E106" s="1286">
        <v>266310.46138793457</v>
      </c>
      <c r="F106" s="1286">
        <v>265633.86786651344</v>
      </c>
      <c r="G106" s="1286">
        <v>264999.23363324249</v>
      </c>
      <c r="H106" s="1286">
        <v>264431.0349395427</v>
      </c>
      <c r="I106" s="1286">
        <v>263965.3363505606</v>
      </c>
      <c r="J106" s="1286">
        <v>263534.69309492491</v>
      </c>
      <c r="K106" s="1286">
        <v>263169.67490706476</v>
      </c>
      <c r="L106" s="1286">
        <v>262861.16108265053</v>
      </c>
      <c r="M106" s="1286">
        <v>262580.52274420287</v>
      </c>
      <c r="N106" s="1286">
        <v>262333.46077839087</v>
      </c>
      <c r="O106" s="1286">
        <v>262125.80093643686</v>
      </c>
      <c r="P106" s="1286">
        <v>261937.91822228799</v>
      </c>
      <c r="Q106" s="1286">
        <v>261779.70119984687</v>
      </c>
      <c r="R106" s="1286">
        <v>261636.24016913591</v>
      </c>
      <c r="S106" s="1286">
        <v>261514.09705810167</v>
      </c>
      <c r="T106" s="1286">
        <v>261407.60978343384</v>
      </c>
      <c r="U106" s="1286">
        <v>261313.77934755458</v>
      </c>
      <c r="V106" s="1286">
        <v>261231.77066949793</v>
      </c>
      <c r="W106" s="1286">
        <v>261160.53694667161</v>
      </c>
      <c r="X106" s="1286">
        <v>261098.44371146613</v>
      </c>
      <c r="Y106" s="1286">
        <v>261044.30847954028</v>
      </c>
      <c r="Z106" s="1409"/>
      <c r="AA106" s="1410">
        <f t="shared" ca="1" si="2"/>
        <v>264676.32360990479</v>
      </c>
      <c r="AB106" s="1412"/>
      <c r="AC106" s="1287"/>
      <c r="AD106" s="1038"/>
      <c r="AE106" s="1038"/>
      <c r="AF106" s="1038"/>
      <c r="AG106" s="1038"/>
      <c r="AH106" s="1038"/>
      <c r="AI106" s="1038"/>
      <c r="AJ106" s="1038"/>
      <c r="AK106" s="1038"/>
      <c r="AL106" s="1038"/>
      <c r="AM106" s="1038"/>
      <c r="AN106" s="1038"/>
      <c r="AO106" s="1038"/>
      <c r="AP106" s="1038"/>
      <c r="AQ106" s="1038"/>
      <c r="AR106" s="1038"/>
      <c r="AS106" s="1038"/>
      <c r="AT106" s="1038"/>
      <c r="AU106" s="1038"/>
      <c r="AV106" s="1038"/>
      <c r="AW106" s="1038"/>
      <c r="AX106" s="1038"/>
      <c r="AY106" s="1038"/>
      <c r="AZ106" s="1038"/>
      <c r="BA106" s="1038"/>
      <c r="BB106" s="1038"/>
      <c r="BC106" s="1038"/>
      <c r="BD106" s="1287"/>
      <c r="BE106" s="1287"/>
    </row>
    <row r="107" spans="1:57" x14ac:dyDescent="0.25">
      <c r="A107" s="1287"/>
      <c r="B107" s="1415"/>
      <c r="C107" s="1506">
        <v>268114.71077839093</v>
      </c>
      <c r="D107" s="1286">
        <v>311866.59200483171</v>
      </c>
      <c r="E107" s="1286">
        <v>266310.46138793457</v>
      </c>
      <c r="F107" s="1286">
        <v>265633.86786651344</v>
      </c>
      <c r="G107" s="1286">
        <v>264999.23363324249</v>
      </c>
      <c r="H107" s="1286">
        <v>264431.0349395427</v>
      </c>
      <c r="I107" s="1286">
        <v>308631.21233400883</v>
      </c>
      <c r="J107" s="1286">
        <v>308200.56907837314</v>
      </c>
      <c r="K107" s="1286">
        <v>263169.67490706476</v>
      </c>
      <c r="L107" s="1286">
        <v>307527.03706609888</v>
      </c>
      <c r="M107" s="1286">
        <v>307246.3987276511</v>
      </c>
      <c r="N107" s="1286">
        <v>306999.33676183916</v>
      </c>
      <c r="O107" s="1286">
        <v>306791.6769198851</v>
      </c>
      <c r="P107" s="1286">
        <v>306603.79420573625</v>
      </c>
      <c r="Q107" s="1286">
        <v>306445.57718329516</v>
      </c>
      <c r="R107" s="1286">
        <v>306302.11615258415</v>
      </c>
      <c r="S107" s="1286">
        <v>306179.97304154991</v>
      </c>
      <c r="T107" s="1286">
        <v>306073.48576688214</v>
      </c>
      <c r="U107" s="1286">
        <v>305979.65533100296</v>
      </c>
      <c r="V107" s="1286">
        <v>305897.64665294625</v>
      </c>
      <c r="W107" s="1286">
        <v>305826.41293011984</v>
      </c>
      <c r="X107" s="1286">
        <v>305764.31969491445</v>
      </c>
      <c r="Y107" s="1286">
        <v>305710.18446298863</v>
      </c>
      <c r="Z107" s="1409"/>
      <c r="AA107" s="1410">
        <f t="shared" ca="1" si="2"/>
        <v>264676.32360990479</v>
      </c>
      <c r="AB107" s="1412"/>
      <c r="AC107" s="1287"/>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287"/>
      <c r="BE107" s="1287"/>
    </row>
    <row r="108" spans="1:57" x14ac:dyDescent="0.25">
      <c r="A108" s="1287"/>
      <c r="B108" s="1415"/>
      <c r="C108" s="1506">
        <v>312780.58676183922</v>
      </c>
      <c r="D108" s="1286">
        <v>311866.59200483171</v>
      </c>
      <c r="E108" s="1286">
        <v>310976.33737138286</v>
      </c>
      <c r="F108" s="1286">
        <v>265633.86786651344</v>
      </c>
      <c r="G108" s="1286">
        <v>309665.10961669084</v>
      </c>
      <c r="H108" s="1286">
        <v>309096.91092299088</v>
      </c>
      <c r="I108" s="1286">
        <v>308631.21233400883</v>
      </c>
      <c r="J108" s="1286">
        <v>308200.56907837314</v>
      </c>
      <c r="K108" s="1286">
        <v>307835.550890513</v>
      </c>
      <c r="L108" s="1286">
        <v>307527.03706609888</v>
      </c>
      <c r="M108" s="1286">
        <v>307246.3987276511</v>
      </c>
      <c r="N108" s="1286">
        <v>306999.33676183916</v>
      </c>
      <c r="O108" s="1286">
        <v>306791.6769198851</v>
      </c>
      <c r="P108" s="1286">
        <v>306603.79420573625</v>
      </c>
      <c r="Q108" s="1286">
        <v>306445.57718329516</v>
      </c>
      <c r="R108" s="1286">
        <v>306302.11615258415</v>
      </c>
      <c r="S108" s="1286">
        <v>306179.97304154991</v>
      </c>
      <c r="T108" s="1286">
        <v>306073.48576688214</v>
      </c>
      <c r="U108" s="1286">
        <v>305979.65533100296</v>
      </c>
      <c r="V108" s="1286">
        <v>305897.64665294625</v>
      </c>
      <c r="W108" s="1286">
        <v>305826.41293011984</v>
      </c>
      <c r="X108" s="1286">
        <v>305764.31969491445</v>
      </c>
      <c r="Y108" s="1286">
        <v>305710.18446298863</v>
      </c>
      <c r="Z108" s="1409"/>
      <c r="AA108" s="1410">
        <f t="shared" ca="1" si="2"/>
        <v>309342.19959335303</v>
      </c>
      <c r="AB108" s="1412"/>
      <c r="AC108" s="1287"/>
      <c r="AD108" s="1038"/>
      <c r="AE108" s="1038"/>
      <c r="AF108" s="1038"/>
      <c r="AG108" s="1038"/>
      <c r="AH108" s="1038"/>
      <c r="AI108" s="1038"/>
      <c r="AJ108" s="1038"/>
      <c r="AK108" s="1038"/>
      <c r="AL108" s="1038"/>
      <c r="AM108" s="1038"/>
      <c r="AN108" s="1038"/>
      <c r="AO108" s="1038"/>
      <c r="AP108" s="1038"/>
      <c r="AQ108" s="1038"/>
      <c r="AR108" s="1038"/>
      <c r="AS108" s="1038"/>
      <c r="AT108" s="1038"/>
      <c r="AU108" s="1038"/>
      <c r="AV108" s="1038"/>
      <c r="AW108" s="1038"/>
      <c r="AX108" s="1038"/>
      <c r="AY108" s="1038"/>
      <c r="AZ108" s="1038"/>
      <c r="BA108" s="1038"/>
      <c r="BB108" s="1038"/>
      <c r="BC108" s="1038"/>
      <c r="BD108" s="1287"/>
      <c r="BE108" s="1287"/>
    </row>
    <row r="109" spans="1:57" x14ac:dyDescent="0.25">
      <c r="A109" s="1287"/>
      <c r="B109" s="1415"/>
      <c r="C109" s="1506">
        <v>312780.58676183922</v>
      </c>
      <c r="D109" s="1286">
        <v>311866.59200483171</v>
      </c>
      <c r="E109" s="1286">
        <v>310976.33737138286</v>
      </c>
      <c r="F109" s="1286">
        <v>310299.74384996179</v>
      </c>
      <c r="G109" s="1286">
        <v>309665.10961669084</v>
      </c>
      <c r="H109" s="1286">
        <v>309096.91092299088</v>
      </c>
      <c r="I109" s="1286">
        <v>308631.21233400883</v>
      </c>
      <c r="J109" s="1286">
        <v>308200.56907837314</v>
      </c>
      <c r="K109" s="1286">
        <v>307835.550890513</v>
      </c>
      <c r="L109" s="1286">
        <v>307527.03706609888</v>
      </c>
      <c r="M109" s="1286">
        <v>307246.3987276511</v>
      </c>
      <c r="N109" s="1286">
        <v>306999.33676183916</v>
      </c>
      <c r="O109" s="1286">
        <v>306791.6769198851</v>
      </c>
      <c r="P109" s="1286">
        <v>306603.79420573625</v>
      </c>
      <c r="Q109" s="1286">
        <v>306445.57718329516</v>
      </c>
      <c r="R109" s="1286">
        <v>306302.11615258415</v>
      </c>
      <c r="S109" s="1286">
        <v>306179.97304154991</v>
      </c>
      <c r="T109" s="1286">
        <v>306073.48576688214</v>
      </c>
      <c r="U109" s="1286">
        <v>305979.65533100296</v>
      </c>
      <c r="V109" s="1286">
        <v>305897.64665294625</v>
      </c>
      <c r="W109" s="1286">
        <v>305826.41293011984</v>
      </c>
      <c r="X109" s="1286">
        <v>305764.31969491445</v>
      </c>
      <c r="Y109" s="1286">
        <v>305710.18446298863</v>
      </c>
      <c r="Z109" s="1409"/>
      <c r="AA109" s="1410">
        <f t="shared" ca="1" si="2"/>
        <v>309342.19959335303</v>
      </c>
      <c r="AB109" s="1412"/>
      <c r="AC109" s="1287"/>
      <c r="AD109" s="1038"/>
      <c r="AE109" s="1038"/>
      <c r="AF109" s="1038"/>
      <c r="AG109" s="1038"/>
      <c r="AH109" s="1038"/>
      <c r="AI109" s="1038"/>
      <c r="AJ109" s="1038"/>
      <c r="AK109" s="1038"/>
      <c r="AL109" s="1038"/>
      <c r="AM109" s="1038"/>
      <c r="AN109" s="1038"/>
      <c r="AO109" s="1038"/>
      <c r="AP109" s="1038"/>
      <c r="AQ109" s="1038"/>
      <c r="AR109" s="1038"/>
      <c r="AS109" s="1038"/>
      <c r="AT109" s="1038"/>
      <c r="AU109" s="1038"/>
      <c r="AV109" s="1038"/>
      <c r="AW109" s="1038"/>
      <c r="AX109" s="1038"/>
      <c r="AY109" s="1038"/>
      <c r="AZ109" s="1038"/>
      <c r="BA109" s="1038"/>
      <c r="BB109" s="1038"/>
      <c r="BC109" s="1038"/>
      <c r="BD109" s="1287"/>
      <c r="BE109" s="1287"/>
    </row>
    <row r="110" spans="1:57" x14ac:dyDescent="0.25">
      <c r="A110" s="1287"/>
      <c r="B110" s="1415"/>
      <c r="C110" s="1506">
        <v>312780.58676183922</v>
      </c>
      <c r="D110" s="1286">
        <v>311866.59200483171</v>
      </c>
      <c r="E110" s="1286">
        <v>310976.33737138286</v>
      </c>
      <c r="F110" s="1286">
        <v>310299.74384996179</v>
      </c>
      <c r="G110" s="1286">
        <v>309665.10961669084</v>
      </c>
      <c r="H110" s="1286">
        <v>309096.91092299088</v>
      </c>
      <c r="I110" s="1286">
        <v>308631.21233400883</v>
      </c>
      <c r="J110" s="1286">
        <v>308200.56907837314</v>
      </c>
      <c r="K110" s="1286">
        <v>307835.550890513</v>
      </c>
      <c r="L110" s="1286">
        <v>307527.03706609888</v>
      </c>
      <c r="M110" s="1286">
        <v>307246.3987276511</v>
      </c>
      <c r="N110" s="1286">
        <v>306999.33676183916</v>
      </c>
      <c r="O110" s="1286">
        <v>306791.6769198851</v>
      </c>
      <c r="P110" s="1286">
        <v>306603.79420573625</v>
      </c>
      <c r="Q110" s="1286">
        <v>306445.57718329516</v>
      </c>
      <c r="R110" s="1286">
        <v>306302.11615258415</v>
      </c>
      <c r="S110" s="1286">
        <v>306179.97304154991</v>
      </c>
      <c r="T110" s="1286">
        <v>306073.48576688214</v>
      </c>
      <c r="U110" s="1286">
        <v>305979.65533100296</v>
      </c>
      <c r="V110" s="1286">
        <v>305897.64665294625</v>
      </c>
      <c r="W110" s="1286">
        <v>305826.41293011984</v>
      </c>
      <c r="X110" s="1286">
        <v>305764.31969491445</v>
      </c>
      <c r="Y110" s="1286">
        <v>305710.18446298863</v>
      </c>
      <c r="Z110" s="1409"/>
      <c r="AA110" s="1410">
        <f t="shared" ca="1" si="2"/>
        <v>309342.19959335303</v>
      </c>
      <c r="AB110" s="1412"/>
      <c r="AC110" s="1287"/>
      <c r="AD110" s="1038"/>
      <c r="AE110" s="1038"/>
      <c r="AF110" s="1038"/>
      <c r="AG110" s="1038"/>
      <c r="AH110" s="1038"/>
      <c r="AI110" s="1038"/>
      <c r="AJ110" s="1038"/>
      <c r="AK110" s="1038"/>
      <c r="AL110" s="1038"/>
      <c r="AM110" s="1038"/>
      <c r="AN110" s="1038"/>
      <c r="AO110" s="1038"/>
      <c r="AP110" s="1038"/>
      <c r="AQ110" s="1038"/>
      <c r="AR110" s="1038"/>
      <c r="AS110" s="1038"/>
      <c r="AT110" s="1038"/>
      <c r="AU110" s="1038"/>
      <c r="AV110" s="1038"/>
      <c r="AW110" s="1038"/>
      <c r="AX110" s="1038"/>
      <c r="AY110" s="1038"/>
      <c r="AZ110" s="1038"/>
      <c r="BA110" s="1038"/>
      <c r="BB110" s="1038"/>
      <c r="BC110" s="1038"/>
      <c r="BD110" s="1287"/>
      <c r="BE110" s="1287"/>
    </row>
    <row r="111" spans="1:57" x14ac:dyDescent="0.25">
      <c r="A111" s="1287"/>
      <c r="B111" s="1415"/>
      <c r="C111" s="1506">
        <v>312780.58676183922</v>
      </c>
      <c r="D111" s="1286">
        <v>311866.59200483171</v>
      </c>
      <c r="E111" s="1286">
        <v>310976.33737138286</v>
      </c>
      <c r="F111" s="1286">
        <v>310299.74384996179</v>
      </c>
      <c r="G111" s="1286">
        <v>309665.10961669084</v>
      </c>
      <c r="H111" s="1286">
        <v>309096.91092299088</v>
      </c>
      <c r="I111" s="1286">
        <v>308631.21233400883</v>
      </c>
      <c r="J111" s="1286">
        <v>308200.56907837314</v>
      </c>
      <c r="K111" s="1286">
        <v>307835.550890513</v>
      </c>
      <c r="L111" s="1286">
        <v>307527.03706609888</v>
      </c>
      <c r="M111" s="1286">
        <v>307246.3987276511</v>
      </c>
      <c r="N111" s="1286">
        <v>306999.33676183916</v>
      </c>
      <c r="O111" s="1286">
        <v>306791.6769198851</v>
      </c>
      <c r="P111" s="1286">
        <v>306603.79420573625</v>
      </c>
      <c r="Q111" s="1286">
        <v>306445.57718329516</v>
      </c>
      <c r="R111" s="1286">
        <v>306302.11615258415</v>
      </c>
      <c r="S111" s="1286">
        <v>306179.97304154991</v>
      </c>
      <c r="T111" s="1286">
        <v>306073.48576688214</v>
      </c>
      <c r="U111" s="1286">
        <v>305979.65533100296</v>
      </c>
      <c r="V111" s="1286">
        <v>305897.64665294625</v>
      </c>
      <c r="W111" s="1286">
        <v>305826.41293011984</v>
      </c>
      <c r="X111" s="1286">
        <v>305764.31969491445</v>
      </c>
      <c r="Y111" s="1286">
        <v>305710.18446298863</v>
      </c>
      <c r="Z111" s="1409"/>
      <c r="AA111" s="1410">
        <f t="shared" ca="1" si="2"/>
        <v>309342.19959335303</v>
      </c>
      <c r="AB111" s="1412"/>
      <c r="AC111" s="1287"/>
      <c r="AD111" s="1038"/>
      <c r="AE111" s="1038"/>
      <c r="AF111" s="1038"/>
      <c r="AG111" s="1038"/>
      <c r="AH111" s="1038"/>
      <c r="AI111" s="1038"/>
      <c r="AJ111" s="1038"/>
      <c r="AK111" s="1038"/>
      <c r="AL111" s="1038"/>
      <c r="AM111" s="1038"/>
      <c r="AN111" s="1038"/>
      <c r="AO111" s="1038"/>
      <c r="AP111" s="1038"/>
      <c r="AQ111" s="1038"/>
      <c r="AR111" s="1038"/>
      <c r="AS111" s="1038"/>
      <c r="AT111" s="1038"/>
      <c r="AU111" s="1038"/>
      <c r="AV111" s="1038"/>
      <c r="AW111" s="1038"/>
      <c r="AX111" s="1038"/>
      <c r="AY111" s="1038"/>
      <c r="AZ111" s="1038"/>
      <c r="BA111" s="1038"/>
      <c r="BB111" s="1038"/>
      <c r="BC111" s="1038"/>
      <c r="BD111" s="1287"/>
      <c r="BE111" s="1287"/>
    </row>
    <row r="112" spans="1:57" x14ac:dyDescent="0.25">
      <c r="A112" s="1287"/>
      <c r="B112" s="1415"/>
      <c r="C112" s="1506">
        <v>312780.58676183922</v>
      </c>
      <c r="D112" s="1286">
        <v>311866.59200483171</v>
      </c>
      <c r="E112" s="1286">
        <v>310976.33737138286</v>
      </c>
      <c r="F112" s="1286">
        <v>310299.74384996179</v>
      </c>
      <c r="G112" s="1286">
        <v>309665.10961669084</v>
      </c>
      <c r="H112" s="1286">
        <v>309096.91092299088</v>
      </c>
      <c r="I112" s="1286">
        <v>308631.21233400883</v>
      </c>
      <c r="J112" s="1286">
        <v>308200.56907837314</v>
      </c>
      <c r="K112" s="1286">
        <v>307835.550890513</v>
      </c>
      <c r="L112" s="1286">
        <v>307527.03706609888</v>
      </c>
      <c r="M112" s="1286">
        <v>307246.3987276511</v>
      </c>
      <c r="N112" s="1286">
        <v>306999.33676183916</v>
      </c>
      <c r="O112" s="1286">
        <v>306791.6769198851</v>
      </c>
      <c r="P112" s="1286">
        <v>306603.79420573625</v>
      </c>
      <c r="Q112" s="1286">
        <v>306445.57718329516</v>
      </c>
      <c r="R112" s="1286">
        <v>306302.11615258415</v>
      </c>
      <c r="S112" s="1286">
        <v>306179.97304154991</v>
      </c>
      <c r="T112" s="1286">
        <v>306073.48576688214</v>
      </c>
      <c r="U112" s="1286">
        <v>305979.65533100296</v>
      </c>
      <c r="V112" s="1286">
        <v>305897.64665294625</v>
      </c>
      <c r="W112" s="1286">
        <v>305826.41293011984</v>
      </c>
      <c r="X112" s="1286">
        <v>305764.31969491445</v>
      </c>
      <c r="Y112" s="1286">
        <v>305710.18446298863</v>
      </c>
      <c r="Z112" s="1409"/>
      <c r="AA112" s="1410">
        <f t="shared" ca="1" si="2"/>
        <v>309342.19959335303</v>
      </c>
      <c r="AB112" s="1412"/>
      <c r="AC112" s="1287"/>
      <c r="AD112" s="1038"/>
      <c r="AE112" s="1038"/>
      <c r="AF112" s="1038"/>
      <c r="AG112" s="1038"/>
      <c r="AH112" s="1038"/>
      <c r="AI112" s="1038"/>
      <c r="AJ112" s="1038"/>
      <c r="AK112" s="1038"/>
      <c r="AL112" s="1038"/>
      <c r="AM112" s="1038"/>
      <c r="AN112" s="1038"/>
      <c r="AO112" s="1038"/>
      <c r="AP112" s="1038"/>
      <c r="AQ112" s="1038"/>
      <c r="AR112" s="1038"/>
      <c r="AS112" s="1038"/>
      <c r="AT112" s="1038"/>
      <c r="AU112" s="1038"/>
      <c r="AV112" s="1038"/>
      <c r="AW112" s="1038"/>
      <c r="AX112" s="1038"/>
      <c r="AY112" s="1038"/>
      <c r="AZ112" s="1038"/>
      <c r="BA112" s="1038"/>
      <c r="BB112" s="1038"/>
      <c r="BC112" s="1038"/>
      <c r="BD112" s="1287"/>
      <c r="BE112" s="1287"/>
    </row>
    <row r="113" spans="1:57" x14ac:dyDescent="0.25">
      <c r="A113" s="1287"/>
      <c r="B113" s="1415"/>
      <c r="C113" s="1506">
        <v>312780.58676183922</v>
      </c>
      <c r="D113" s="1286">
        <v>311866.59200483171</v>
      </c>
      <c r="E113" s="1286">
        <v>310976.33737138286</v>
      </c>
      <c r="F113" s="1286">
        <v>310299.74384996179</v>
      </c>
      <c r="G113" s="1286">
        <v>309665.10961669084</v>
      </c>
      <c r="H113" s="1286">
        <v>309096.91092299088</v>
      </c>
      <c r="I113" s="1286">
        <v>308631.21233400883</v>
      </c>
      <c r="J113" s="1286">
        <v>308200.56907837314</v>
      </c>
      <c r="K113" s="1286">
        <v>307835.550890513</v>
      </c>
      <c r="L113" s="1286">
        <v>307527.03706609888</v>
      </c>
      <c r="M113" s="1286">
        <v>307246.3987276511</v>
      </c>
      <c r="N113" s="1286">
        <v>306999.33676183916</v>
      </c>
      <c r="O113" s="1286">
        <v>306791.6769198851</v>
      </c>
      <c r="P113" s="1286">
        <v>306603.79420573625</v>
      </c>
      <c r="Q113" s="1286">
        <v>306445.57718329516</v>
      </c>
      <c r="R113" s="1286">
        <v>306302.11615258415</v>
      </c>
      <c r="S113" s="1286">
        <v>306179.97304154991</v>
      </c>
      <c r="T113" s="1286">
        <v>306073.48576688214</v>
      </c>
      <c r="U113" s="1286">
        <v>305979.65533100296</v>
      </c>
      <c r="V113" s="1286">
        <v>305897.64665294625</v>
      </c>
      <c r="W113" s="1286">
        <v>305826.41293011984</v>
      </c>
      <c r="X113" s="1286">
        <v>305764.31969491445</v>
      </c>
      <c r="Y113" s="1286">
        <v>305710.18446298863</v>
      </c>
      <c r="Z113" s="1409"/>
      <c r="AA113" s="1410">
        <f t="shared" ca="1" si="2"/>
        <v>309342.19959335303</v>
      </c>
      <c r="AB113" s="1412"/>
      <c r="AC113" s="1287"/>
      <c r="AD113" s="1038"/>
      <c r="AE113" s="1038"/>
      <c r="AF113" s="1038"/>
      <c r="AG113" s="1038"/>
      <c r="AH113" s="1038"/>
      <c r="AI113" s="1038"/>
      <c r="AJ113" s="1038"/>
      <c r="AK113" s="1038"/>
      <c r="AL113" s="1038"/>
      <c r="AM113" s="1038"/>
      <c r="AN113" s="1038"/>
      <c r="AO113" s="1038"/>
      <c r="AP113" s="1038"/>
      <c r="AQ113" s="1038"/>
      <c r="AR113" s="1038"/>
      <c r="AS113" s="1038"/>
      <c r="AT113" s="1038"/>
      <c r="AU113" s="1038"/>
      <c r="AV113" s="1038"/>
      <c r="AW113" s="1038"/>
      <c r="AX113" s="1038"/>
      <c r="AY113" s="1038"/>
      <c r="AZ113" s="1038"/>
      <c r="BA113" s="1038"/>
      <c r="BB113" s="1038"/>
      <c r="BC113" s="1038"/>
      <c r="BD113" s="1287"/>
      <c r="BE113" s="1287"/>
    </row>
    <row r="114" spans="1:57" x14ac:dyDescent="0.25">
      <c r="A114" s="1287"/>
      <c r="B114" s="1415"/>
      <c r="C114" s="1506">
        <v>312780.58676183922</v>
      </c>
      <c r="D114" s="1286">
        <v>311866.59200483171</v>
      </c>
      <c r="E114" s="1286">
        <v>310976.33737138286</v>
      </c>
      <c r="F114" s="1286">
        <v>412926.47555911116</v>
      </c>
      <c r="G114" s="1286">
        <v>412215.68521784781</v>
      </c>
      <c r="H114" s="1286">
        <v>309096.91092299088</v>
      </c>
      <c r="I114" s="1286">
        <v>308631.21233400883</v>
      </c>
      <c r="J114" s="1286">
        <v>308200.56907837314</v>
      </c>
      <c r="K114" s="1286">
        <v>410166.57944452879</v>
      </c>
      <c r="L114" s="1286">
        <v>409821.0439611848</v>
      </c>
      <c r="M114" s="1286">
        <v>307246.3987276511</v>
      </c>
      <c r="N114" s="1286">
        <v>409230.01962041401</v>
      </c>
      <c r="O114" s="1286">
        <v>306791.6769198851</v>
      </c>
      <c r="P114" s="1286">
        <v>306603.79420573625</v>
      </c>
      <c r="Q114" s="1286">
        <v>306445.57718329516</v>
      </c>
      <c r="R114" s="1286">
        <v>306302.11615258415</v>
      </c>
      <c r="S114" s="1286">
        <v>408312.33225368999</v>
      </c>
      <c r="T114" s="1286">
        <v>306073.48576688214</v>
      </c>
      <c r="U114" s="1286">
        <v>305979.65533100296</v>
      </c>
      <c r="V114" s="1286">
        <v>305897.64665294625</v>
      </c>
      <c r="W114" s="1286">
        <v>305826.41293011984</v>
      </c>
      <c r="X114" s="1286">
        <v>305764.31969491445</v>
      </c>
      <c r="Y114" s="1286">
        <v>305710.18446298863</v>
      </c>
      <c r="Z114" s="1409"/>
      <c r="AA114" s="1410">
        <f t="shared" ca="1" si="2"/>
        <v>353612.79474429821</v>
      </c>
      <c r="AB114" s="1412"/>
      <c r="AC114" s="1287"/>
      <c r="AD114" s="1038"/>
      <c r="AE114" s="1038"/>
      <c r="AF114" s="1038"/>
      <c r="AG114" s="1038"/>
      <c r="AH114" s="1038"/>
      <c r="AI114" s="1038"/>
      <c r="AJ114" s="1038"/>
      <c r="AK114" s="1038"/>
      <c r="AL114" s="1038"/>
      <c r="AM114" s="1038"/>
      <c r="AN114" s="1038"/>
      <c r="AO114" s="1038"/>
      <c r="AP114" s="1038"/>
      <c r="AQ114" s="1038"/>
      <c r="AR114" s="1038"/>
      <c r="AS114" s="1038"/>
      <c r="AT114" s="1038"/>
      <c r="AU114" s="1038"/>
      <c r="AV114" s="1038"/>
      <c r="AW114" s="1038"/>
      <c r="AX114" s="1038"/>
      <c r="AY114" s="1038"/>
      <c r="AZ114" s="1038"/>
      <c r="BA114" s="1038"/>
      <c r="BB114" s="1038"/>
      <c r="BC114" s="1038"/>
      <c r="BD114" s="1287"/>
      <c r="BE114" s="1287"/>
    </row>
    <row r="115" spans="1:57" x14ac:dyDescent="0.25">
      <c r="A115" s="1287"/>
      <c r="B115" s="1415"/>
      <c r="C115" s="1506">
        <v>312780.58676183922</v>
      </c>
      <c r="D115" s="1286">
        <v>414681.3454925656</v>
      </c>
      <c r="E115" s="1286">
        <v>413684.2603031029</v>
      </c>
      <c r="F115" s="1286">
        <v>412926.47555911116</v>
      </c>
      <c r="G115" s="1286">
        <v>412215.68521784781</v>
      </c>
      <c r="H115" s="1286">
        <v>411579.30268090393</v>
      </c>
      <c r="I115" s="1286">
        <v>411057.7202612441</v>
      </c>
      <c r="J115" s="1286">
        <v>410575.39981493214</v>
      </c>
      <c r="K115" s="1286">
        <v>410166.57944452879</v>
      </c>
      <c r="L115" s="1286">
        <v>409821.0439611848</v>
      </c>
      <c r="M115" s="1286">
        <v>409506.72902212327</v>
      </c>
      <c r="N115" s="1286">
        <v>409230.01962041401</v>
      </c>
      <c r="O115" s="1286">
        <v>408997.44059742545</v>
      </c>
      <c r="P115" s="1286">
        <v>408787.01195757859</v>
      </c>
      <c r="Q115" s="1286">
        <v>408609.80889244465</v>
      </c>
      <c r="R115" s="1286">
        <v>408449.13253804843</v>
      </c>
      <c r="S115" s="1286">
        <v>408312.33225368999</v>
      </c>
      <c r="T115" s="1286">
        <v>408193.06650606211</v>
      </c>
      <c r="U115" s="1286">
        <v>408087.97641787736</v>
      </c>
      <c r="V115" s="1286">
        <v>407996.12669845379</v>
      </c>
      <c r="W115" s="1286">
        <v>407916.34492888837</v>
      </c>
      <c r="X115" s="1286">
        <v>407846.80050545826</v>
      </c>
      <c r="Y115" s="1286">
        <v>407786.16904570139</v>
      </c>
      <c r="Z115" s="1409"/>
      <c r="AA115" s="1410">
        <f t="shared" ca="1" si="2"/>
        <v>411854.02599170961</v>
      </c>
      <c r="AB115" s="1412"/>
      <c r="AC115" s="1287"/>
      <c r="AD115" s="1038"/>
      <c r="AE115" s="1038"/>
      <c r="AF115" s="1038"/>
      <c r="AG115" s="1038"/>
      <c r="AH115" s="1038"/>
      <c r="AI115" s="1038"/>
      <c r="AJ115" s="1038"/>
      <c r="AK115" s="1038"/>
      <c r="AL115" s="1038"/>
      <c r="AM115" s="1038"/>
      <c r="AN115" s="1038"/>
      <c r="AO115" s="1038"/>
      <c r="AP115" s="1038"/>
      <c r="AQ115" s="1038"/>
      <c r="AR115" s="1038"/>
      <c r="AS115" s="1038"/>
      <c r="AT115" s="1038"/>
      <c r="AU115" s="1038"/>
      <c r="AV115" s="1038"/>
      <c r="AW115" s="1038"/>
      <c r="AX115" s="1038"/>
      <c r="AY115" s="1038"/>
      <c r="AZ115" s="1038"/>
      <c r="BA115" s="1038"/>
      <c r="BB115" s="1038"/>
      <c r="BC115" s="1038"/>
      <c r="BD115" s="1287"/>
      <c r="BE115" s="1287"/>
    </row>
    <row r="116" spans="1:57" x14ac:dyDescent="0.25">
      <c r="A116" s="1287"/>
      <c r="B116" s="1415"/>
      <c r="C116" s="1506">
        <v>415705.01962041395</v>
      </c>
      <c r="D116" s="1286">
        <v>414681.3454925656</v>
      </c>
      <c r="E116" s="1286">
        <v>413684.2603031029</v>
      </c>
      <c r="F116" s="1286">
        <v>412926.47555911116</v>
      </c>
      <c r="G116" s="1286">
        <v>412215.68521784781</v>
      </c>
      <c r="H116" s="1286">
        <v>411579.30268090393</v>
      </c>
      <c r="I116" s="1286">
        <v>411057.7202612441</v>
      </c>
      <c r="J116" s="1286">
        <v>410575.39981493214</v>
      </c>
      <c r="K116" s="1286">
        <v>410166.57944452879</v>
      </c>
      <c r="L116" s="1286">
        <v>409821.0439611848</v>
      </c>
      <c r="M116" s="1286">
        <v>409506.72902212327</v>
      </c>
      <c r="N116" s="1286">
        <v>409230.01962041401</v>
      </c>
      <c r="O116" s="1286">
        <v>408997.44059742545</v>
      </c>
      <c r="P116" s="1286">
        <v>408787.01195757859</v>
      </c>
      <c r="Q116" s="1286">
        <v>408609.80889244465</v>
      </c>
      <c r="R116" s="1286">
        <v>408449.13253804843</v>
      </c>
      <c r="S116" s="1286">
        <v>408312.33225368999</v>
      </c>
      <c r="T116" s="1286">
        <v>408193.06650606211</v>
      </c>
      <c r="U116" s="1286">
        <v>408087.97641787736</v>
      </c>
      <c r="V116" s="1286">
        <v>407996.12669845379</v>
      </c>
      <c r="W116" s="1286">
        <v>407916.34492888837</v>
      </c>
      <c r="X116" s="1286">
        <v>407846.80050545826</v>
      </c>
      <c r="Y116" s="1286">
        <v>407786.16904570139</v>
      </c>
      <c r="Z116" s="1409"/>
      <c r="AA116" s="1410">
        <f t="shared" ca="1" si="2"/>
        <v>411854.02599170961</v>
      </c>
      <c r="AB116" s="1412"/>
      <c r="AC116" s="1287"/>
      <c r="AD116" s="1038"/>
      <c r="AE116" s="1038"/>
      <c r="AF116" s="1038"/>
      <c r="AG116" s="1038"/>
      <c r="AH116" s="1038"/>
      <c r="AI116" s="1038"/>
      <c r="AJ116" s="1038"/>
      <c r="AK116" s="1038"/>
      <c r="AL116" s="1038"/>
      <c r="AM116" s="1038"/>
      <c r="AN116" s="1038"/>
      <c r="AO116" s="1038"/>
      <c r="AP116" s="1038"/>
      <c r="AQ116" s="1038"/>
      <c r="AR116" s="1038"/>
      <c r="AS116" s="1038"/>
      <c r="AT116" s="1038"/>
      <c r="AU116" s="1038"/>
      <c r="AV116" s="1038"/>
      <c r="AW116" s="1038"/>
      <c r="AX116" s="1038"/>
      <c r="AY116" s="1038"/>
      <c r="AZ116" s="1038"/>
      <c r="BA116" s="1038"/>
      <c r="BB116" s="1038"/>
      <c r="BC116" s="1038"/>
      <c r="BD116" s="1287"/>
      <c r="BE116" s="1287"/>
    </row>
    <row r="117" spans="1:57" x14ac:dyDescent="0.25">
      <c r="A117" s="1287"/>
      <c r="B117" s="1415"/>
      <c r="C117" s="1506">
        <v>415705.01962041395</v>
      </c>
      <c r="D117" s="1286">
        <v>414681.3454925656</v>
      </c>
      <c r="E117" s="1286">
        <v>413684.2603031029</v>
      </c>
      <c r="F117" s="1286">
        <v>412926.47555911116</v>
      </c>
      <c r="G117" s="1286">
        <v>412215.68521784781</v>
      </c>
      <c r="H117" s="1286">
        <v>411579.30268090393</v>
      </c>
      <c r="I117" s="1286">
        <v>518160.61391413055</v>
      </c>
      <c r="J117" s="1286">
        <v>410575.39981493214</v>
      </c>
      <c r="K117" s="1286">
        <v>410166.57944452879</v>
      </c>
      <c r="L117" s="1286">
        <v>409821.0439611848</v>
      </c>
      <c r="M117" s="1286">
        <v>409506.72902212327</v>
      </c>
      <c r="N117" s="1286">
        <v>516235.00073897012</v>
      </c>
      <c r="O117" s="1286">
        <v>408997.44059742545</v>
      </c>
      <c r="P117" s="1286">
        <v>408787.01195757859</v>
      </c>
      <c r="Q117" s="1286">
        <v>515581.56443628826</v>
      </c>
      <c r="R117" s="1286">
        <v>408449.13253804843</v>
      </c>
      <c r="S117" s="1286">
        <v>408312.33225368999</v>
      </c>
      <c r="T117" s="1286">
        <v>408193.06650606211</v>
      </c>
      <c r="U117" s="1286">
        <v>408087.97641787736</v>
      </c>
      <c r="V117" s="1286">
        <v>407996.12669845379</v>
      </c>
      <c r="W117" s="1286">
        <v>407916.34492888837</v>
      </c>
      <c r="X117" s="1286">
        <v>407846.80050545826</v>
      </c>
      <c r="Y117" s="1286">
        <v>407786.16904570139</v>
      </c>
      <c r="Z117" s="1409"/>
      <c r="AA117" s="1410">
        <f t="shared" ca="1" si="2"/>
        <v>411854.02599170961</v>
      </c>
      <c r="AB117" s="1412"/>
      <c r="AC117" s="1287"/>
      <c r="AD117" s="1038"/>
      <c r="AE117" s="1038"/>
      <c r="AF117" s="1038"/>
      <c r="AG117" s="1038"/>
      <c r="AH117" s="1038"/>
      <c r="AI117" s="1038"/>
      <c r="AJ117" s="1038"/>
      <c r="AK117" s="1038"/>
      <c r="AL117" s="1038"/>
      <c r="AM117" s="1038"/>
      <c r="AN117" s="1038"/>
      <c r="AO117" s="1038"/>
      <c r="AP117" s="1038"/>
      <c r="AQ117" s="1038"/>
      <c r="AR117" s="1038"/>
      <c r="AS117" s="1038"/>
      <c r="AT117" s="1038"/>
      <c r="AU117" s="1038"/>
      <c r="AV117" s="1038"/>
      <c r="AW117" s="1038"/>
      <c r="AX117" s="1038"/>
      <c r="AY117" s="1038"/>
      <c r="AZ117" s="1038"/>
      <c r="BA117" s="1038"/>
      <c r="BB117" s="1038"/>
      <c r="BC117" s="1038"/>
      <c r="BD117" s="1287"/>
      <c r="BE117" s="1287"/>
    </row>
    <row r="118" spans="1:57" x14ac:dyDescent="0.25">
      <c r="A118" s="1287"/>
      <c r="B118" s="1415"/>
      <c r="C118" s="1506">
        <v>415705.01962041395</v>
      </c>
      <c r="D118" s="1286">
        <v>414681.3454925656</v>
      </c>
      <c r="E118" s="1286">
        <v>413684.2603031029</v>
      </c>
      <c r="F118" s="1286">
        <v>412926.47555911116</v>
      </c>
      <c r="G118" s="1286">
        <v>519380.61270769528</v>
      </c>
      <c r="H118" s="1286">
        <v>518710.13824912935</v>
      </c>
      <c r="I118" s="1286">
        <v>518160.61391413055</v>
      </c>
      <c r="J118" s="1286">
        <v>517652.45487248036</v>
      </c>
      <c r="K118" s="1286">
        <v>410166.57944452879</v>
      </c>
      <c r="L118" s="1286">
        <v>516857.68709799665</v>
      </c>
      <c r="M118" s="1286">
        <v>516526.53385862825</v>
      </c>
      <c r="N118" s="1286">
        <v>516235.00073897012</v>
      </c>
      <c r="O118" s="1286">
        <v>515989.96212546458</v>
      </c>
      <c r="P118" s="1286">
        <v>408787.01195757859</v>
      </c>
      <c r="Q118" s="1286">
        <v>515581.56443628826</v>
      </c>
      <c r="R118" s="1286">
        <v>515412.28042004933</v>
      </c>
      <c r="S118" s="1286">
        <v>515268.15154902905</v>
      </c>
      <c r="T118" s="1286">
        <v>515142.49656492093</v>
      </c>
      <c r="U118" s="1286">
        <v>408087.97641787736</v>
      </c>
      <c r="V118" s="1286">
        <v>514935.00641047669</v>
      </c>
      <c r="W118" s="1286">
        <v>514850.9506175415</v>
      </c>
      <c r="X118" s="1286">
        <v>514777.68059999909</v>
      </c>
      <c r="Y118" s="1286">
        <v>514713.80102632655</v>
      </c>
      <c r="Z118" s="1409"/>
      <c r="AA118" s="1410">
        <f t="shared" ca="1" si="2"/>
        <v>518999.57888015674</v>
      </c>
      <c r="AB118" s="1412"/>
      <c r="AC118" s="1287"/>
      <c r="AD118" s="1038"/>
      <c r="AE118" s="1038"/>
      <c r="AF118" s="1038"/>
      <c r="AG118" s="1038"/>
      <c r="AH118" s="1038"/>
      <c r="AI118" s="1038"/>
      <c r="AJ118" s="1038"/>
      <c r="AK118" s="1038"/>
      <c r="AL118" s="1038"/>
      <c r="AM118" s="1038"/>
      <c r="AN118" s="1038"/>
      <c r="AO118" s="1038"/>
      <c r="AP118" s="1038"/>
      <c r="AQ118" s="1038"/>
      <c r="AR118" s="1038"/>
      <c r="AS118" s="1038"/>
      <c r="AT118" s="1038"/>
      <c r="AU118" s="1038"/>
      <c r="AV118" s="1038"/>
      <c r="AW118" s="1038"/>
      <c r="AX118" s="1038"/>
      <c r="AY118" s="1038"/>
      <c r="AZ118" s="1038"/>
      <c r="BA118" s="1038"/>
      <c r="BB118" s="1038"/>
      <c r="BC118" s="1038"/>
      <c r="BD118" s="1287"/>
      <c r="BE118" s="1287"/>
    </row>
    <row r="119" spans="1:57" x14ac:dyDescent="0.25">
      <c r="A119" s="1287"/>
      <c r="B119" s="1415"/>
      <c r="C119" s="1506">
        <v>415705.01962041395</v>
      </c>
      <c r="D119" s="1286">
        <v>414681.3454925656</v>
      </c>
      <c r="E119" s="1286">
        <v>520927.86145823175</v>
      </c>
      <c r="F119" s="1286">
        <v>520129.48110295495</v>
      </c>
      <c r="G119" s="1286">
        <v>519380.61270769528</v>
      </c>
      <c r="H119" s="1286">
        <v>518710.13824912935</v>
      </c>
      <c r="I119" s="1286">
        <v>518160.61391413055</v>
      </c>
      <c r="J119" s="1286">
        <v>517652.45487248036</v>
      </c>
      <c r="K119" s="1286">
        <v>517221.73341080546</v>
      </c>
      <c r="L119" s="1286">
        <v>516857.68709799665</v>
      </c>
      <c r="M119" s="1286">
        <v>516526.53385862825</v>
      </c>
      <c r="N119" s="1286">
        <v>516235.00073897012</v>
      </c>
      <c r="O119" s="1286">
        <v>515989.96212546458</v>
      </c>
      <c r="P119" s="1286">
        <v>515768.26052276883</v>
      </c>
      <c r="Q119" s="1286">
        <v>515581.56443628826</v>
      </c>
      <c r="R119" s="1286">
        <v>515412.28042004933</v>
      </c>
      <c r="S119" s="1286">
        <v>515268.15154902905</v>
      </c>
      <c r="T119" s="1286">
        <v>515142.49656492093</v>
      </c>
      <c r="U119" s="1286">
        <v>515031.77665058343</v>
      </c>
      <c r="V119" s="1286">
        <v>514935.00641047669</v>
      </c>
      <c r="W119" s="1286">
        <v>514850.9506175415</v>
      </c>
      <c r="X119" s="1286">
        <v>514777.68059999909</v>
      </c>
      <c r="Y119" s="1286">
        <v>514713.80102632655</v>
      </c>
      <c r="Z119" s="1409"/>
      <c r="AA119" s="1410">
        <f t="shared" ca="1" si="2"/>
        <v>518999.57888015674</v>
      </c>
      <c r="AB119" s="1413"/>
      <c r="AC119" s="1287"/>
      <c r="AD119" s="1038"/>
      <c r="AE119" s="1038"/>
      <c r="AF119" s="1038"/>
      <c r="AG119" s="1038"/>
      <c r="AH119" s="1038"/>
      <c r="AI119" s="1038"/>
      <c r="AJ119" s="1038"/>
      <c r="AK119" s="1038"/>
      <c r="AL119" s="1038"/>
      <c r="AM119" s="1038"/>
      <c r="AN119" s="1038"/>
      <c r="AO119" s="1038"/>
      <c r="AP119" s="1038"/>
      <c r="AQ119" s="1038"/>
      <c r="AR119" s="1038"/>
      <c r="AS119" s="1038"/>
      <c r="AT119" s="1038"/>
      <c r="AU119" s="1038"/>
      <c r="AV119" s="1038"/>
      <c r="AW119" s="1038"/>
      <c r="AX119" s="1038"/>
      <c r="AY119" s="1038"/>
      <c r="AZ119" s="1038"/>
      <c r="BA119" s="1038"/>
      <c r="BB119" s="1038"/>
      <c r="BC119" s="1038"/>
      <c r="BD119" s="1287"/>
      <c r="BE119" s="1287"/>
    </row>
    <row r="120" spans="1:57" x14ac:dyDescent="0.25">
      <c r="A120" s="1287"/>
      <c r="B120" s="1346"/>
      <c r="C120" s="1512"/>
      <c r="D120" s="1407"/>
      <c r="E120" s="1407"/>
      <c r="F120" s="1407"/>
      <c r="G120" s="1407"/>
      <c r="H120" s="1407"/>
      <c r="I120" s="1407"/>
      <c r="J120" s="1407"/>
      <c r="K120" s="1407"/>
      <c r="L120" s="1407"/>
      <c r="M120" s="1407"/>
      <c r="N120" s="1407"/>
      <c r="O120" s="1407"/>
      <c r="P120" s="1407"/>
      <c r="Q120" s="1407"/>
      <c r="R120" s="1407"/>
      <c r="S120" s="1407"/>
      <c r="T120" s="1407"/>
      <c r="U120" s="1407"/>
      <c r="V120" s="1407"/>
      <c r="W120" s="1407"/>
      <c r="X120" s="1407"/>
      <c r="Y120" s="1407"/>
      <c r="Z120" s="1409"/>
      <c r="AA120" s="1414"/>
      <c r="AB120" s="1403"/>
      <c r="AC120" s="1287"/>
      <c r="AD120" s="1038"/>
      <c r="AE120" s="1038"/>
      <c r="AF120" s="1038"/>
      <c r="AG120" s="1038"/>
      <c r="AH120" s="1038"/>
      <c r="AI120" s="1038"/>
      <c r="AJ120" s="1038"/>
      <c r="AK120" s="1038"/>
      <c r="AL120" s="1038"/>
      <c r="AM120" s="1038"/>
      <c r="AN120" s="1038"/>
      <c r="AO120" s="1038"/>
      <c r="AP120" s="1038"/>
      <c r="AQ120" s="1038"/>
      <c r="AR120" s="1038"/>
      <c r="AS120" s="1038"/>
      <c r="AT120" s="1038"/>
      <c r="AU120" s="1038"/>
      <c r="AV120" s="1038"/>
      <c r="AW120" s="1038"/>
      <c r="AX120" s="1038"/>
      <c r="AY120" s="1038"/>
      <c r="AZ120" s="1038"/>
      <c r="BA120" s="1038"/>
      <c r="BB120" s="1038"/>
      <c r="BC120" s="1038"/>
      <c r="BD120" s="1287"/>
      <c r="BE120" s="1287"/>
    </row>
    <row r="121" spans="1:57" x14ac:dyDescent="0.25">
      <c r="A121" s="1287"/>
      <c r="B121" s="1340" t="s">
        <v>1273</v>
      </c>
      <c r="C121" s="1506">
        <v>27533.43196302143</v>
      </c>
      <c r="D121" s="1286">
        <v>27407.38516620978</v>
      </c>
      <c r="E121" s="1286">
        <v>27284.612312172463</v>
      </c>
      <c r="F121" s="1286">
        <v>27191.304943104096</v>
      </c>
      <c r="G121" s="1286">
        <v>27103.784077543856</v>
      </c>
      <c r="H121" s="1286">
        <v>27025.425175871456</v>
      </c>
      <c r="I121" s="1286">
        <v>26961.201814664131</v>
      </c>
      <c r="J121" s="1286">
        <v>26901.812849327904</v>
      </c>
      <c r="K121" s="1286">
        <v>26851.474077682866</v>
      </c>
      <c r="L121" s="1286">
        <v>26808.927685549439</v>
      </c>
      <c r="M121" s="1286">
        <v>26770.225533975077</v>
      </c>
      <c r="N121" s="1286">
        <v>26736.15381839266</v>
      </c>
      <c r="O121" s="1286">
        <v>26707.515954002258</v>
      </c>
      <c r="P121" s="1286">
        <v>26681.605505268082</v>
      </c>
      <c r="Q121" s="1286">
        <v>26659.786180018258</v>
      </c>
      <c r="R121" s="1286">
        <v>26640.001817745098</v>
      </c>
      <c r="S121" s="1286">
        <v>26623.157357992524</v>
      </c>
      <c r="T121" s="1286">
        <v>26608.471956604619</v>
      </c>
      <c r="U121" s="1286">
        <v>26595.532029110134</v>
      </c>
      <c r="V121" s="1286">
        <v>26584.222411521478</v>
      </c>
      <c r="W121" s="1286">
        <v>26574.398741835859</v>
      </c>
      <c r="X121" s="1286">
        <v>26565.835614595446</v>
      </c>
      <c r="Y121" s="1286">
        <v>26558.369956257051</v>
      </c>
      <c r="Z121" s="1409"/>
      <c r="AA121" s="1410">
        <f t="shared" ref="AA121:AA143" ca="1" si="3">FORECAST($C$54,OFFSET(C121:Y121,0,MATCH($C$54,$G$72:$Y$72,1)-1,1,2), OFFSET($G$72:$Y$72,0,MATCH($C$54,$G$72:$Y$72,1)-1,1,2))</f>
        <v>27059.252340585805</v>
      </c>
      <c r="AB121" s="1411" t="e">
        <f ca="1">FORECAST($C$55,OFFSET(AA121:AA143,MATCH($C$55,$B$73:$B$95,1)-1,0,2), OFFSET($B$73:$B$95,MATCH($C$55,$B$73:$B$95,1)-1,0,2))</f>
        <v>#REF!</v>
      </c>
      <c r="AC121" s="1287"/>
      <c r="AD121" s="1038"/>
      <c r="AE121" s="1038"/>
      <c r="AF121" s="1038"/>
      <c r="AG121" s="1038"/>
      <c r="AH121" s="1038"/>
      <c r="AI121" s="1038"/>
      <c r="AJ121" s="1038"/>
      <c r="AK121" s="1038"/>
      <c r="AL121" s="1038"/>
      <c r="AM121" s="1038"/>
      <c r="AN121" s="1038"/>
      <c r="AO121" s="1038"/>
      <c r="AP121" s="1038"/>
      <c r="AQ121" s="1038"/>
      <c r="AR121" s="1038"/>
      <c r="AS121" s="1038"/>
      <c r="AT121" s="1038"/>
      <c r="AU121" s="1038"/>
      <c r="AV121" s="1038"/>
      <c r="AW121" s="1038"/>
      <c r="AX121" s="1038"/>
      <c r="AY121" s="1038"/>
      <c r="AZ121" s="1038"/>
      <c r="BA121" s="1038"/>
      <c r="BB121" s="1038"/>
      <c r="BC121" s="1038"/>
      <c r="BD121" s="1287"/>
      <c r="BE121" s="1287"/>
    </row>
    <row r="122" spans="1:57" x14ac:dyDescent="0.25">
      <c r="A122" s="1287"/>
      <c r="B122" s="1346"/>
      <c r="C122" s="1506">
        <v>27533.43196302143</v>
      </c>
      <c r="D122" s="1286">
        <v>27407.38516620978</v>
      </c>
      <c r="E122" s="1286">
        <v>27284.612312172463</v>
      </c>
      <c r="F122" s="1286">
        <v>27191.304943104096</v>
      </c>
      <c r="G122" s="1286">
        <v>27103.784077543856</v>
      </c>
      <c r="H122" s="1286">
        <v>27025.425175871456</v>
      </c>
      <c r="I122" s="1286">
        <v>26961.201814664131</v>
      </c>
      <c r="J122" s="1286">
        <v>26901.812849327904</v>
      </c>
      <c r="K122" s="1286">
        <v>26851.474077682866</v>
      </c>
      <c r="L122" s="1286">
        <v>26808.927685549439</v>
      </c>
      <c r="M122" s="1286">
        <v>26770.225533975077</v>
      </c>
      <c r="N122" s="1286">
        <v>26736.15381839266</v>
      </c>
      <c r="O122" s="1286">
        <v>26707.515954002258</v>
      </c>
      <c r="P122" s="1286">
        <v>26681.605505268082</v>
      </c>
      <c r="Q122" s="1286">
        <v>26659.786180018258</v>
      </c>
      <c r="R122" s="1286">
        <v>26640.001817745098</v>
      </c>
      <c r="S122" s="1286">
        <v>26623.157357992524</v>
      </c>
      <c r="T122" s="1286">
        <v>26608.471956604619</v>
      </c>
      <c r="U122" s="1286">
        <v>26595.532029110134</v>
      </c>
      <c r="V122" s="1286">
        <v>26584.222411521478</v>
      </c>
      <c r="W122" s="1286">
        <v>26574.398741835859</v>
      </c>
      <c r="X122" s="1286">
        <v>26565.835614595446</v>
      </c>
      <c r="Y122" s="1286">
        <v>26558.369956257051</v>
      </c>
      <c r="Z122" s="1409"/>
      <c r="AA122" s="1410">
        <f t="shared" ca="1" si="3"/>
        <v>27059.252340585805</v>
      </c>
      <c r="AB122" s="1412"/>
      <c r="AC122" s="1287"/>
      <c r="AD122" s="1038"/>
      <c r="AE122" s="1038"/>
      <c r="AF122" s="1038"/>
      <c r="AG122" s="1038"/>
      <c r="AH122" s="1038"/>
      <c r="AI122" s="1038"/>
      <c r="AJ122" s="1038"/>
      <c r="AK122" s="1038"/>
      <c r="AL122" s="1038"/>
      <c r="AM122" s="1038"/>
      <c r="AN122" s="1038"/>
      <c r="AO122" s="1038"/>
      <c r="AP122" s="1038"/>
      <c r="AQ122" s="1038"/>
      <c r="AR122" s="1038"/>
      <c r="AS122" s="1038"/>
      <c r="AT122" s="1038"/>
      <c r="AU122" s="1038"/>
      <c r="AV122" s="1038"/>
      <c r="AW122" s="1038"/>
      <c r="AX122" s="1038"/>
      <c r="AY122" s="1038"/>
      <c r="AZ122" s="1038"/>
      <c r="BA122" s="1038"/>
      <c r="BB122" s="1038"/>
      <c r="BC122" s="1038"/>
      <c r="BD122" s="1287"/>
      <c r="BE122" s="1287"/>
    </row>
    <row r="123" spans="1:57" x14ac:dyDescent="0.25">
      <c r="A123" s="1287"/>
      <c r="B123" s="1346"/>
      <c r="C123" s="1506">
        <v>27533.43196302143</v>
      </c>
      <c r="D123" s="1286">
        <v>27407.38516620978</v>
      </c>
      <c r="E123" s="1286">
        <v>27284.612312172463</v>
      </c>
      <c r="F123" s="1286">
        <v>27191.304943104096</v>
      </c>
      <c r="G123" s="1286">
        <v>27103.784077543856</v>
      </c>
      <c r="H123" s="1286">
        <v>27025.425175871456</v>
      </c>
      <c r="I123" s="1286">
        <v>26961.201814664131</v>
      </c>
      <c r="J123" s="1286">
        <v>26901.812849327904</v>
      </c>
      <c r="K123" s="1286">
        <v>26851.474077682866</v>
      </c>
      <c r="L123" s="1286">
        <v>26808.927685549439</v>
      </c>
      <c r="M123" s="1286">
        <v>26770.225533975077</v>
      </c>
      <c r="N123" s="1286">
        <v>26736.15381839266</v>
      </c>
      <c r="O123" s="1286">
        <v>26707.515954002258</v>
      </c>
      <c r="P123" s="1286">
        <v>26681.605505268082</v>
      </c>
      <c r="Q123" s="1286">
        <v>26659.786180018258</v>
      </c>
      <c r="R123" s="1286">
        <v>26640.001817745098</v>
      </c>
      <c r="S123" s="1286">
        <v>26623.157357992524</v>
      </c>
      <c r="T123" s="1286">
        <v>26608.471956604619</v>
      </c>
      <c r="U123" s="1286">
        <v>26595.532029110134</v>
      </c>
      <c r="V123" s="1286">
        <v>26584.222411521478</v>
      </c>
      <c r="W123" s="1286">
        <v>26574.398741835859</v>
      </c>
      <c r="X123" s="1286">
        <v>26565.835614595446</v>
      </c>
      <c r="Y123" s="1286">
        <v>26558.369956257051</v>
      </c>
      <c r="Z123" s="1409"/>
      <c r="AA123" s="1410">
        <f t="shared" ca="1" si="3"/>
        <v>27059.252340585805</v>
      </c>
      <c r="AB123" s="1412"/>
      <c r="AC123" s="1287"/>
      <c r="AD123" s="1038"/>
      <c r="AE123" s="1038"/>
      <c r="AF123" s="1038"/>
      <c r="AG123" s="1038"/>
      <c r="AH123" s="1038"/>
      <c r="AI123" s="1038"/>
      <c r="AJ123" s="1038"/>
      <c r="AK123" s="1038"/>
      <c r="AL123" s="1038"/>
      <c r="AM123" s="1038"/>
      <c r="AN123" s="1038"/>
      <c r="AO123" s="1038"/>
      <c r="AP123" s="1038"/>
      <c r="AQ123" s="1038"/>
      <c r="AR123" s="1038"/>
      <c r="AS123" s="1038"/>
      <c r="AT123" s="1038"/>
      <c r="AU123" s="1038"/>
      <c r="AV123" s="1038"/>
      <c r="AW123" s="1038"/>
      <c r="AX123" s="1038"/>
      <c r="AY123" s="1038"/>
      <c r="AZ123" s="1038"/>
      <c r="BA123" s="1038"/>
      <c r="BB123" s="1038"/>
      <c r="BC123" s="1038"/>
      <c r="BD123" s="1287"/>
      <c r="BE123" s="1287"/>
    </row>
    <row r="124" spans="1:57" x14ac:dyDescent="0.25">
      <c r="A124" s="1287"/>
      <c r="B124" s="1346"/>
      <c r="C124" s="1506">
        <v>27533.43196302143</v>
      </c>
      <c r="D124" s="1286">
        <v>27407.38516620978</v>
      </c>
      <c r="E124" s="1286">
        <v>27284.612312172463</v>
      </c>
      <c r="F124" s="1286">
        <v>27191.304943104096</v>
      </c>
      <c r="G124" s="1286">
        <v>27103.784077543856</v>
      </c>
      <c r="H124" s="1286">
        <v>27025.425175871456</v>
      </c>
      <c r="I124" s="1286">
        <v>26961.201814664131</v>
      </c>
      <c r="J124" s="1286">
        <v>26901.812849327904</v>
      </c>
      <c r="K124" s="1286">
        <v>26851.474077682866</v>
      </c>
      <c r="L124" s="1286">
        <v>26808.927685549439</v>
      </c>
      <c r="M124" s="1286">
        <v>26770.225533975077</v>
      </c>
      <c r="N124" s="1286">
        <v>26736.15381839266</v>
      </c>
      <c r="O124" s="1286">
        <v>26707.515954002258</v>
      </c>
      <c r="P124" s="1286">
        <v>26681.605505268082</v>
      </c>
      <c r="Q124" s="1286">
        <v>26659.786180018258</v>
      </c>
      <c r="R124" s="1286">
        <v>26640.001817745098</v>
      </c>
      <c r="S124" s="1286">
        <v>26623.157357992524</v>
      </c>
      <c r="T124" s="1286">
        <v>26608.471956604619</v>
      </c>
      <c r="U124" s="1286">
        <v>26595.532029110134</v>
      </c>
      <c r="V124" s="1286">
        <v>26584.222411521478</v>
      </c>
      <c r="W124" s="1286">
        <v>26574.398741835859</v>
      </c>
      <c r="X124" s="1286">
        <v>26565.835614595446</v>
      </c>
      <c r="Y124" s="1286">
        <v>26558.369956257051</v>
      </c>
      <c r="Z124" s="1409"/>
      <c r="AA124" s="1410">
        <f t="shared" ca="1" si="3"/>
        <v>27059.252340585805</v>
      </c>
      <c r="AB124" s="1412"/>
      <c r="AC124" s="1287"/>
      <c r="AD124" s="1038"/>
      <c r="AE124" s="1038"/>
      <c r="AF124" s="1038"/>
      <c r="AG124" s="1038"/>
      <c r="AH124" s="1038"/>
      <c r="AI124" s="1038"/>
      <c r="AJ124" s="1038"/>
      <c r="AK124" s="1038"/>
      <c r="AL124" s="1038"/>
      <c r="AM124" s="1038"/>
      <c r="AN124" s="1038"/>
      <c r="AO124" s="1038"/>
      <c r="AP124" s="1038"/>
      <c r="AQ124" s="1038"/>
      <c r="AR124" s="1038"/>
      <c r="AS124" s="1038"/>
      <c r="AT124" s="1038"/>
      <c r="AU124" s="1038"/>
      <c r="AV124" s="1038"/>
      <c r="AW124" s="1038"/>
      <c r="AX124" s="1038"/>
      <c r="AY124" s="1038"/>
      <c r="AZ124" s="1038"/>
      <c r="BA124" s="1038"/>
      <c r="BB124" s="1038"/>
      <c r="BC124" s="1038"/>
      <c r="BD124" s="1287"/>
      <c r="BE124" s="1287"/>
    </row>
    <row r="125" spans="1:57" x14ac:dyDescent="0.25">
      <c r="A125" s="1287"/>
      <c r="B125" s="1346"/>
      <c r="C125" s="1506">
        <v>27533.43196302143</v>
      </c>
      <c r="D125" s="1286">
        <v>27407.38516620978</v>
      </c>
      <c r="E125" s="1286">
        <v>28204.586349537058</v>
      </c>
      <c r="F125" s="1286">
        <v>28111.278980468691</v>
      </c>
      <c r="G125" s="1286">
        <v>27103.784077543856</v>
      </c>
      <c r="H125" s="1286">
        <v>27025.425175871456</v>
      </c>
      <c r="I125" s="1286">
        <v>26961.201814664131</v>
      </c>
      <c r="J125" s="1286">
        <v>27821.786886692495</v>
      </c>
      <c r="K125" s="1286">
        <v>26851.474077682866</v>
      </c>
      <c r="L125" s="1286">
        <v>26808.927685549439</v>
      </c>
      <c r="M125" s="1286">
        <v>27690.19957133969</v>
      </c>
      <c r="N125" s="1286">
        <v>26736.15381839266</v>
      </c>
      <c r="O125" s="1286">
        <v>26707.515954002258</v>
      </c>
      <c r="P125" s="1286">
        <v>27601.579542632677</v>
      </c>
      <c r="Q125" s="1286">
        <v>26659.786180018258</v>
      </c>
      <c r="R125" s="1286">
        <v>26640.001817745098</v>
      </c>
      <c r="S125" s="1286">
        <v>27543.131395357126</v>
      </c>
      <c r="T125" s="1286">
        <v>27528.445993969221</v>
      </c>
      <c r="U125" s="1286">
        <v>27515.506066474736</v>
      </c>
      <c r="V125" s="1286">
        <v>26584.222411521478</v>
      </c>
      <c r="W125" s="1286">
        <v>26574.398741835859</v>
      </c>
      <c r="X125" s="1286">
        <v>27485.809651960055</v>
      </c>
      <c r="Y125" s="1286">
        <v>27478.343993621653</v>
      </c>
      <c r="Z125" s="1409"/>
      <c r="AA125" s="1410">
        <f t="shared" ca="1" si="3"/>
        <v>27059.252340585805</v>
      </c>
      <c r="AB125" s="1412"/>
      <c r="AC125" s="1287"/>
      <c r="AD125" s="1038"/>
      <c r="AE125" s="1038"/>
      <c r="AF125" s="1038"/>
      <c r="AG125" s="1038"/>
      <c r="AH125" s="1038"/>
      <c r="AI125" s="1038"/>
      <c r="AJ125" s="1038"/>
      <c r="AK125" s="1038"/>
      <c r="AL125" s="1038"/>
      <c r="AM125" s="1038"/>
      <c r="AN125" s="1038"/>
      <c r="AO125" s="1038"/>
      <c r="AP125" s="1038"/>
      <c r="AQ125" s="1038"/>
      <c r="AR125" s="1038"/>
      <c r="AS125" s="1038"/>
      <c r="AT125" s="1038"/>
      <c r="AU125" s="1038"/>
      <c r="AV125" s="1038"/>
      <c r="AW125" s="1038"/>
      <c r="AX125" s="1038"/>
      <c r="AY125" s="1038"/>
      <c r="AZ125" s="1038"/>
      <c r="BA125" s="1038"/>
      <c r="BB125" s="1038"/>
      <c r="BC125" s="1038"/>
      <c r="BD125" s="1287"/>
      <c r="BE125" s="1287"/>
    </row>
    <row r="126" spans="1:57" x14ac:dyDescent="0.25">
      <c r="A126" s="1287"/>
      <c r="B126" s="1346"/>
      <c r="C126" s="1506">
        <v>28453.406000386036</v>
      </c>
      <c r="D126" s="1286">
        <v>28327.359203574379</v>
      </c>
      <c r="E126" s="1286">
        <v>28204.586349537058</v>
      </c>
      <c r="F126" s="1286">
        <v>28111.278980468691</v>
      </c>
      <c r="G126" s="1286">
        <v>27103.784077543856</v>
      </c>
      <c r="H126" s="1286">
        <v>27945.399213236051</v>
      </c>
      <c r="I126" s="1286">
        <v>27881.175852028733</v>
      </c>
      <c r="J126" s="1286">
        <v>27821.786886692495</v>
      </c>
      <c r="K126" s="1286">
        <v>27771.448115047464</v>
      </c>
      <c r="L126" s="1286">
        <v>27728.901722914045</v>
      </c>
      <c r="M126" s="1286">
        <v>27690.19957133969</v>
      </c>
      <c r="N126" s="1286">
        <v>27656.127855757259</v>
      </c>
      <c r="O126" s="1286">
        <v>27627.489991366863</v>
      </c>
      <c r="P126" s="1286">
        <v>27601.579542632677</v>
      </c>
      <c r="Q126" s="1286">
        <v>27579.76021738286</v>
      </c>
      <c r="R126" s="1286">
        <v>27559.975855109686</v>
      </c>
      <c r="S126" s="1286">
        <v>27543.131395357126</v>
      </c>
      <c r="T126" s="1286">
        <v>27528.445993969221</v>
      </c>
      <c r="U126" s="1286">
        <v>27515.506066474736</v>
      </c>
      <c r="V126" s="1286">
        <v>27504.196448886069</v>
      </c>
      <c r="W126" s="1286">
        <v>27494.372779200447</v>
      </c>
      <c r="X126" s="1286">
        <v>27485.809651960055</v>
      </c>
      <c r="Y126" s="1286">
        <v>27478.343993621653</v>
      </c>
      <c r="Z126" s="1409"/>
      <c r="AA126" s="1410">
        <f t="shared" ca="1" si="3"/>
        <v>27582.077966848854</v>
      </c>
      <c r="AB126" s="1412"/>
      <c r="AC126" s="1287"/>
      <c r="AD126" s="1038"/>
      <c r="AE126" s="1038"/>
      <c r="AF126" s="1038"/>
      <c r="AG126" s="1038"/>
      <c r="AH126" s="1038"/>
      <c r="AI126" s="1038"/>
      <c r="AJ126" s="1038"/>
      <c r="AK126" s="1038"/>
      <c r="AL126" s="1038"/>
      <c r="AM126" s="1038"/>
      <c r="AN126" s="1038"/>
      <c r="AO126" s="1038"/>
      <c r="AP126" s="1038"/>
      <c r="AQ126" s="1038"/>
      <c r="AR126" s="1038"/>
      <c r="AS126" s="1038"/>
      <c r="AT126" s="1038"/>
      <c r="AU126" s="1038"/>
      <c r="AV126" s="1038"/>
      <c r="AW126" s="1038"/>
      <c r="AX126" s="1038"/>
      <c r="AY126" s="1038"/>
      <c r="AZ126" s="1038"/>
      <c r="BA126" s="1038"/>
      <c r="BB126" s="1038"/>
      <c r="BC126" s="1038"/>
      <c r="BD126" s="1287"/>
      <c r="BE126" s="1287"/>
    </row>
    <row r="127" spans="1:57" x14ac:dyDescent="0.25">
      <c r="A127" s="1287"/>
      <c r="B127" s="1346"/>
      <c r="C127" s="1506">
        <v>28453.406000386036</v>
      </c>
      <c r="D127" s="1286">
        <v>28327.359203574379</v>
      </c>
      <c r="E127" s="1286">
        <v>28204.586349537058</v>
      </c>
      <c r="F127" s="1286">
        <v>28111.278980468691</v>
      </c>
      <c r="G127" s="1286">
        <v>28023.758114908454</v>
      </c>
      <c r="H127" s="1286">
        <v>27945.399213236051</v>
      </c>
      <c r="I127" s="1286">
        <v>27881.175852028733</v>
      </c>
      <c r="J127" s="1286">
        <v>27821.786886692495</v>
      </c>
      <c r="K127" s="1286">
        <v>27771.448115047464</v>
      </c>
      <c r="L127" s="1286">
        <v>27728.901722914045</v>
      </c>
      <c r="M127" s="1286">
        <v>27690.19957133969</v>
      </c>
      <c r="N127" s="1286">
        <v>27656.127855757259</v>
      </c>
      <c r="O127" s="1286">
        <v>27627.489991366863</v>
      </c>
      <c r="P127" s="1286">
        <v>27601.579542632677</v>
      </c>
      <c r="Q127" s="1286">
        <v>27579.76021738286</v>
      </c>
      <c r="R127" s="1286">
        <v>27559.975855109686</v>
      </c>
      <c r="S127" s="1286">
        <v>27543.131395357126</v>
      </c>
      <c r="T127" s="1286">
        <v>27528.445993969221</v>
      </c>
      <c r="U127" s="1286">
        <v>27515.506066474736</v>
      </c>
      <c r="V127" s="1286">
        <v>27504.196448886069</v>
      </c>
      <c r="W127" s="1286">
        <v>27494.372779200447</v>
      </c>
      <c r="X127" s="1286">
        <v>27485.809651960055</v>
      </c>
      <c r="Y127" s="1286">
        <v>27478.343993621653</v>
      </c>
      <c r="Z127" s="1409"/>
      <c r="AA127" s="1410">
        <f t="shared" ca="1" si="3"/>
        <v>27979.226377950399</v>
      </c>
      <c r="AB127" s="1412"/>
      <c r="AC127" s="1287"/>
      <c r="AD127" s="1038"/>
      <c r="AE127" s="1038"/>
      <c r="AF127" s="1038"/>
      <c r="AG127" s="1038"/>
      <c r="AH127" s="1038"/>
      <c r="AI127" s="1038"/>
      <c r="AJ127" s="1038"/>
      <c r="AK127" s="1038"/>
      <c r="AL127" s="1038"/>
      <c r="AM127" s="1038"/>
      <c r="AN127" s="1038"/>
      <c r="AO127" s="1038"/>
      <c r="AP127" s="1038"/>
      <c r="AQ127" s="1038"/>
      <c r="AR127" s="1038"/>
      <c r="AS127" s="1038"/>
      <c r="AT127" s="1038"/>
      <c r="AU127" s="1038"/>
      <c r="AV127" s="1038"/>
      <c r="AW127" s="1038"/>
      <c r="AX127" s="1038"/>
      <c r="AY127" s="1038"/>
      <c r="AZ127" s="1038"/>
      <c r="BA127" s="1038"/>
      <c r="BB127" s="1038"/>
      <c r="BC127" s="1038"/>
      <c r="BD127" s="1287"/>
      <c r="BE127" s="1287"/>
    </row>
    <row r="128" spans="1:57" x14ac:dyDescent="0.25">
      <c r="A128" s="1287"/>
      <c r="B128" s="1346"/>
      <c r="C128" s="1506">
        <v>28453.406000386036</v>
      </c>
      <c r="D128" s="1286">
        <v>28327.359203574379</v>
      </c>
      <c r="E128" s="1286">
        <v>28204.586349537058</v>
      </c>
      <c r="F128" s="1286">
        <v>28111.278980468691</v>
      </c>
      <c r="G128" s="1286">
        <v>28023.758114908454</v>
      </c>
      <c r="H128" s="1286">
        <v>27945.399213236051</v>
      </c>
      <c r="I128" s="1286">
        <v>27881.175852028733</v>
      </c>
      <c r="J128" s="1286">
        <v>27821.786886692495</v>
      </c>
      <c r="K128" s="1286">
        <v>27771.448115047464</v>
      </c>
      <c r="L128" s="1286">
        <v>27728.901722914045</v>
      </c>
      <c r="M128" s="1286">
        <v>27690.19957133969</v>
      </c>
      <c r="N128" s="1286">
        <v>27656.127855757259</v>
      </c>
      <c r="O128" s="1286">
        <v>27627.489991366863</v>
      </c>
      <c r="P128" s="1286">
        <v>27601.579542632677</v>
      </c>
      <c r="Q128" s="1286">
        <v>27579.76021738286</v>
      </c>
      <c r="R128" s="1286">
        <v>27559.975855109686</v>
      </c>
      <c r="S128" s="1286">
        <v>27543.131395357126</v>
      </c>
      <c r="T128" s="1286">
        <v>27528.445993969221</v>
      </c>
      <c r="U128" s="1286">
        <v>27515.506066474736</v>
      </c>
      <c r="V128" s="1286">
        <v>27504.196448886069</v>
      </c>
      <c r="W128" s="1286">
        <v>27494.372779200447</v>
      </c>
      <c r="X128" s="1286">
        <v>27485.809651960055</v>
      </c>
      <c r="Y128" s="1286">
        <v>27478.343993621653</v>
      </c>
      <c r="Z128" s="1409"/>
      <c r="AA128" s="1410">
        <f t="shared" ca="1" si="3"/>
        <v>27979.226377950399</v>
      </c>
      <c r="AB128" s="1412"/>
      <c r="AC128" s="1287"/>
      <c r="AD128" s="1038"/>
      <c r="AE128" s="1038"/>
      <c r="AF128" s="1038"/>
      <c r="AG128" s="1038"/>
      <c r="AH128" s="1038"/>
      <c r="AI128" s="1038"/>
      <c r="AJ128" s="1038"/>
      <c r="AK128" s="1038"/>
      <c r="AL128" s="1038"/>
      <c r="AM128" s="1038"/>
      <c r="AN128" s="1038"/>
      <c r="AO128" s="1038"/>
      <c r="AP128" s="1038"/>
      <c r="AQ128" s="1038"/>
      <c r="AR128" s="1038"/>
      <c r="AS128" s="1038"/>
      <c r="AT128" s="1038"/>
      <c r="AU128" s="1038"/>
      <c r="AV128" s="1038"/>
      <c r="AW128" s="1038"/>
      <c r="AX128" s="1038"/>
      <c r="AY128" s="1038"/>
      <c r="AZ128" s="1038"/>
      <c r="BA128" s="1038"/>
      <c r="BB128" s="1038"/>
      <c r="BC128" s="1038"/>
      <c r="BD128" s="1287"/>
      <c r="BE128" s="1287"/>
    </row>
    <row r="129" spans="1:57" x14ac:dyDescent="0.25">
      <c r="A129" s="1287"/>
      <c r="B129" s="1346"/>
      <c r="C129" s="1506">
        <v>28453.406000386036</v>
      </c>
      <c r="D129" s="1286">
        <v>28327.359203574379</v>
      </c>
      <c r="E129" s="1286">
        <v>28204.586349537058</v>
      </c>
      <c r="F129" s="1286">
        <v>28111.278980468691</v>
      </c>
      <c r="G129" s="1286">
        <v>28023.758114908454</v>
      </c>
      <c r="H129" s="1286">
        <v>27945.399213236051</v>
      </c>
      <c r="I129" s="1286">
        <v>27881.175852028733</v>
      </c>
      <c r="J129" s="1286">
        <v>27821.786886692495</v>
      </c>
      <c r="K129" s="1286">
        <v>27771.448115047464</v>
      </c>
      <c r="L129" s="1286">
        <v>27728.901722914045</v>
      </c>
      <c r="M129" s="1286">
        <v>27690.19957133969</v>
      </c>
      <c r="N129" s="1286">
        <v>27656.127855757259</v>
      </c>
      <c r="O129" s="1286">
        <v>27627.489991366863</v>
      </c>
      <c r="P129" s="1286">
        <v>27601.579542632677</v>
      </c>
      <c r="Q129" s="1286">
        <v>27579.76021738286</v>
      </c>
      <c r="R129" s="1286">
        <v>27559.975855109686</v>
      </c>
      <c r="S129" s="1286">
        <v>27543.131395357126</v>
      </c>
      <c r="T129" s="1286">
        <v>27528.445993969221</v>
      </c>
      <c r="U129" s="1286">
        <v>27515.506066474736</v>
      </c>
      <c r="V129" s="1286">
        <v>27504.196448886069</v>
      </c>
      <c r="W129" s="1286">
        <v>27494.372779200447</v>
      </c>
      <c r="X129" s="1286">
        <v>27485.809651960055</v>
      </c>
      <c r="Y129" s="1286">
        <v>27478.343993621653</v>
      </c>
      <c r="Z129" s="1409"/>
      <c r="AA129" s="1410">
        <f t="shared" ca="1" si="3"/>
        <v>27979.226377950399</v>
      </c>
      <c r="AB129" s="1412"/>
      <c r="AC129" s="1287"/>
      <c r="AD129" s="1038"/>
      <c r="AE129" s="1038"/>
      <c r="AF129" s="1038"/>
      <c r="AG129" s="1038"/>
      <c r="AH129" s="1038"/>
      <c r="AI129" s="1038"/>
      <c r="AJ129" s="1038"/>
      <c r="AK129" s="1038"/>
      <c r="AL129" s="1038"/>
      <c r="AM129" s="1038"/>
      <c r="AN129" s="1038"/>
      <c r="AO129" s="1038"/>
      <c r="AP129" s="1038"/>
      <c r="AQ129" s="1038"/>
      <c r="AR129" s="1038"/>
      <c r="AS129" s="1038"/>
      <c r="AT129" s="1038"/>
      <c r="AU129" s="1038"/>
      <c r="AV129" s="1038"/>
      <c r="AW129" s="1038"/>
      <c r="AX129" s="1038"/>
      <c r="AY129" s="1038"/>
      <c r="AZ129" s="1038"/>
      <c r="BA129" s="1038"/>
      <c r="BB129" s="1038"/>
      <c r="BC129" s="1038"/>
      <c r="BD129" s="1287"/>
      <c r="BE129" s="1287"/>
    </row>
    <row r="130" spans="1:57" x14ac:dyDescent="0.25">
      <c r="A130" s="1287"/>
      <c r="B130" s="1346"/>
      <c r="C130" s="1506">
        <v>28453.406000386036</v>
      </c>
      <c r="D130" s="1286">
        <v>28327.359203574379</v>
      </c>
      <c r="E130" s="1286">
        <v>28204.586349537058</v>
      </c>
      <c r="F130" s="1286">
        <v>28111.278980468691</v>
      </c>
      <c r="G130" s="1286">
        <v>28023.758114908454</v>
      </c>
      <c r="H130" s="1286">
        <v>27945.399213236051</v>
      </c>
      <c r="I130" s="1286">
        <v>27881.175852028733</v>
      </c>
      <c r="J130" s="1286">
        <v>27821.786886692495</v>
      </c>
      <c r="K130" s="1286">
        <v>27771.448115047464</v>
      </c>
      <c r="L130" s="1286">
        <v>27728.901722914045</v>
      </c>
      <c r="M130" s="1286">
        <v>27690.19957133969</v>
      </c>
      <c r="N130" s="1286">
        <v>27656.127855757259</v>
      </c>
      <c r="O130" s="1286">
        <v>27627.489991366863</v>
      </c>
      <c r="P130" s="1286">
        <v>27601.579542632677</v>
      </c>
      <c r="Q130" s="1286">
        <v>27579.76021738286</v>
      </c>
      <c r="R130" s="1286">
        <v>27559.975855109686</v>
      </c>
      <c r="S130" s="1286">
        <v>27543.131395357126</v>
      </c>
      <c r="T130" s="1286">
        <v>27528.445993969221</v>
      </c>
      <c r="U130" s="1286">
        <v>27515.506066474736</v>
      </c>
      <c r="V130" s="1286">
        <v>27504.196448886069</v>
      </c>
      <c r="W130" s="1286">
        <v>27494.372779200447</v>
      </c>
      <c r="X130" s="1286">
        <v>27485.809651960055</v>
      </c>
      <c r="Y130" s="1286">
        <v>27478.343993621653</v>
      </c>
      <c r="Z130" s="1409"/>
      <c r="AA130" s="1410">
        <f t="shared" ca="1" si="3"/>
        <v>27979.226377950399</v>
      </c>
      <c r="AB130" s="1412"/>
      <c r="AC130" s="1287"/>
      <c r="AD130" s="1038"/>
      <c r="AE130" s="1038"/>
      <c r="AF130" s="1038"/>
      <c r="AG130" s="1038"/>
      <c r="AH130" s="1038"/>
      <c r="AI130" s="1038"/>
      <c r="AJ130" s="1038"/>
      <c r="AK130" s="1038"/>
      <c r="AL130" s="1038"/>
      <c r="AM130" s="1038"/>
      <c r="AN130" s="1038"/>
      <c r="AO130" s="1038"/>
      <c r="AP130" s="1038"/>
      <c r="AQ130" s="1038"/>
      <c r="AR130" s="1038"/>
      <c r="AS130" s="1038"/>
      <c r="AT130" s="1038"/>
      <c r="AU130" s="1038"/>
      <c r="AV130" s="1038"/>
      <c r="AW130" s="1038"/>
      <c r="AX130" s="1038"/>
      <c r="AY130" s="1038"/>
      <c r="AZ130" s="1038"/>
      <c r="BA130" s="1038"/>
      <c r="BB130" s="1038"/>
      <c r="BC130" s="1038"/>
      <c r="BD130" s="1287"/>
      <c r="BE130" s="1287"/>
    </row>
    <row r="131" spans="1:57" x14ac:dyDescent="0.25">
      <c r="A131" s="1287"/>
      <c r="B131" s="1346"/>
      <c r="C131" s="1506">
        <v>28453.406000386036</v>
      </c>
      <c r="D131" s="1286">
        <v>30167.307278303586</v>
      </c>
      <c r="E131" s="1286">
        <v>28204.586349537058</v>
      </c>
      <c r="F131" s="1286">
        <v>28111.278980468691</v>
      </c>
      <c r="G131" s="1286">
        <v>28023.758114908454</v>
      </c>
      <c r="H131" s="1286">
        <v>27945.399213236051</v>
      </c>
      <c r="I131" s="1286">
        <v>29721.123926757933</v>
      </c>
      <c r="J131" s="1286">
        <v>29661.734961421695</v>
      </c>
      <c r="K131" s="1286">
        <v>27771.448115047464</v>
      </c>
      <c r="L131" s="1286">
        <v>29568.849797643248</v>
      </c>
      <c r="M131" s="1286">
        <v>29530.147646068875</v>
      </c>
      <c r="N131" s="1286">
        <v>29496.075930486455</v>
      </c>
      <c r="O131" s="1286">
        <v>29467.438066096056</v>
      </c>
      <c r="P131" s="1286">
        <v>29441.527617361877</v>
      </c>
      <c r="Q131" s="1286">
        <v>29419.70829211206</v>
      </c>
      <c r="R131" s="1286">
        <v>29399.923929838897</v>
      </c>
      <c r="S131" s="1286">
        <v>29383.079470086315</v>
      </c>
      <c r="T131" s="1286">
        <v>29368.394068698424</v>
      </c>
      <c r="U131" s="1286">
        <v>29355.454141203936</v>
      </c>
      <c r="V131" s="1286">
        <v>29344.144523615283</v>
      </c>
      <c r="W131" s="1286">
        <v>29334.320853929654</v>
      </c>
      <c r="X131" s="1286">
        <v>29325.757726689251</v>
      </c>
      <c r="Y131" s="1286">
        <v>29318.292068350849</v>
      </c>
      <c r="Z131" s="1409"/>
      <c r="AA131" s="1410">
        <f t="shared" ca="1" si="3"/>
        <v>27979.226377950399</v>
      </c>
      <c r="AB131" s="1412"/>
      <c r="AC131" s="1287"/>
      <c r="AD131" s="1038"/>
      <c r="AE131" s="1038"/>
      <c r="AF131" s="1038"/>
      <c r="AG131" s="1038"/>
      <c r="AH131" s="1038"/>
      <c r="AI131" s="1038"/>
      <c r="AJ131" s="1038"/>
      <c r="AK131" s="1038"/>
      <c r="AL131" s="1038"/>
      <c r="AM131" s="1038"/>
      <c r="AN131" s="1038"/>
      <c r="AO131" s="1038"/>
      <c r="AP131" s="1038"/>
      <c r="AQ131" s="1038"/>
      <c r="AR131" s="1038"/>
      <c r="AS131" s="1038"/>
      <c r="AT131" s="1038"/>
      <c r="AU131" s="1038"/>
      <c r="AV131" s="1038"/>
      <c r="AW131" s="1038"/>
      <c r="AX131" s="1038"/>
      <c r="AY131" s="1038"/>
      <c r="AZ131" s="1038"/>
      <c r="BA131" s="1038"/>
      <c r="BB131" s="1038"/>
      <c r="BC131" s="1038"/>
      <c r="BD131" s="1287"/>
      <c r="BE131" s="1287"/>
    </row>
    <row r="132" spans="1:57" x14ac:dyDescent="0.25">
      <c r="A132" s="1287"/>
      <c r="B132" s="1346"/>
      <c r="C132" s="1506">
        <v>30293.354075115225</v>
      </c>
      <c r="D132" s="1286">
        <v>30167.307278303586</v>
      </c>
      <c r="E132" s="1286">
        <v>30044.534424266254</v>
      </c>
      <c r="F132" s="1286">
        <v>28111.278980468691</v>
      </c>
      <c r="G132" s="1286">
        <v>29863.706189637658</v>
      </c>
      <c r="H132" s="1286">
        <v>29785.347287965262</v>
      </c>
      <c r="I132" s="1286">
        <v>29721.123926757933</v>
      </c>
      <c r="J132" s="1286">
        <v>29661.734961421695</v>
      </c>
      <c r="K132" s="1286">
        <v>29611.396189776657</v>
      </c>
      <c r="L132" s="1286">
        <v>29568.849797643248</v>
      </c>
      <c r="M132" s="1286">
        <v>29530.147646068875</v>
      </c>
      <c r="N132" s="1286">
        <v>29496.075930486455</v>
      </c>
      <c r="O132" s="1286">
        <v>29467.438066096056</v>
      </c>
      <c r="P132" s="1286">
        <v>29441.527617361877</v>
      </c>
      <c r="Q132" s="1286">
        <v>29419.70829211206</v>
      </c>
      <c r="R132" s="1286">
        <v>29399.923929838897</v>
      </c>
      <c r="S132" s="1286">
        <v>29383.079470086315</v>
      </c>
      <c r="T132" s="1286">
        <v>29368.394068698424</v>
      </c>
      <c r="U132" s="1286">
        <v>29355.454141203936</v>
      </c>
      <c r="V132" s="1286">
        <v>29344.144523615283</v>
      </c>
      <c r="W132" s="1286">
        <v>29334.320853929654</v>
      </c>
      <c r="X132" s="1286">
        <v>29325.757726689251</v>
      </c>
      <c r="Y132" s="1286">
        <v>29318.292068350849</v>
      </c>
      <c r="Z132" s="1409"/>
      <c r="AA132" s="1410">
        <f t="shared" ca="1" si="3"/>
        <v>29819.17445267961</v>
      </c>
      <c r="AB132" s="1412"/>
      <c r="AC132" s="1287"/>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287"/>
      <c r="BE132" s="1287"/>
    </row>
    <row r="133" spans="1:57" x14ac:dyDescent="0.25">
      <c r="A133" s="1287"/>
      <c r="B133" s="1346"/>
      <c r="C133" s="1506">
        <v>30293.354075115225</v>
      </c>
      <c r="D133" s="1286">
        <v>30167.307278303586</v>
      </c>
      <c r="E133" s="1286">
        <v>30044.534424266254</v>
      </c>
      <c r="F133" s="1286">
        <v>29951.227055197898</v>
      </c>
      <c r="G133" s="1286">
        <v>29863.706189637658</v>
      </c>
      <c r="H133" s="1286">
        <v>29785.347287965262</v>
      </c>
      <c r="I133" s="1286">
        <v>29721.123926757933</v>
      </c>
      <c r="J133" s="1286">
        <v>29661.734961421695</v>
      </c>
      <c r="K133" s="1286">
        <v>29611.396189776657</v>
      </c>
      <c r="L133" s="1286">
        <v>29568.849797643248</v>
      </c>
      <c r="M133" s="1286">
        <v>29530.147646068875</v>
      </c>
      <c r="N133" s="1286">
        <v>29496.075930486455</v>
      </c>
      <c r="O133" s="1286">
        <v>29467.438066096056</v>
      </c>
      <c r="P133" s="1286">
        <v>29441.527617361877</v>
      </c>
      <c r="Q133" s="1286">
        <v>29419.70829211206</v>
      </c>
      <c r="R133" s="1286">
        <v>29399.923929838897</v>
      </c>
      <c r="S133" s="1286">
        <v>29383.079470086315</v>
      </c>
      <c r="T133" s="1286">
        <v>29368.394068698424</v>
      </c>
      <c r="U133" s="1286">
        <v>29355.454141203936</v>
      </c>
      <c r="V133" s="1286">
        <v>29344.144523615283</v>
      </c>
      <c r="W133" s="1286">
        <v>29334.320853929654</v>
      </c>
      <c r="X133" s="1286">
        <v>29325.757726689251</v>
      </c>
      <c r="Y133" s="1286">
        <v>29318.292068350849</v>
      </c>
      <c r="Z133" s="1409"/>
      <c r="AA133" s="1410">
        <f t="shared" ca="1" si="3"/>
        <v>29819.17445267961</v>
      </c>
      <c r="AB133" s="1412"/>
      <c r="AC133" s="1287"/>
      <c r="AD133" s="1038"/>
      <c r="AE133" s="1038"/>
      <c r="AF133" s="1038"/>
      <c r="AG133" s="1038"/>
      <c r="AH133" s="1038"/>
      <c r="AI133" s="1038"/>
      <c r="AJ133" s="1038"/>
      <c r="AK133" s="1038"/>
      <c r="AL133" s="1038"/>
      <c r="AM133" s="1038"/>
      <c r="AN133" s="1038"/>
      <c r="AO133" s="1038"/>
      <c r="AP133" s="1038"/>
      <c r="AQ133" s="1038"/>
      <c r="AR133" s="1038"/>
      <c r="AS133" s="1038"/>
      <c r="AT133" s="1038"/>
      <c r="AU133" s="1038"/>
      <c r="AV133" s="1038"/>
      <c r="AW133" s="1038"/>
      <c r="AX133" s="1038"/>
      <c r="AY133" s="1038"/>
      <c r="AZ133" s="1038"/>
      <c r="BA133" s="1038"/>
      <c r="BB133" s="1038"/>
      <c r="BC133" s="1038"/>
      <c r="BD133" s="1287"/>
      <c r="BE133" s="1287"/>
    </row>
    <row r="134" spans="1:57" x14ac:dyDescent="0.25">
      <c r="A134" s="1287"/>
      <c r="B134" s="1346"/>
      <c r="C134" s="1506">
        <v>30293.354075115225</v>
      </c>
      <c r="D134" s="1286">
        <v>30167.307278303586</v>
      </c>
      <c r="E134" s="1286">
        <v>30044.534424266254</v>
      </c>
      <c r="F134" s="1286">
        <v>29951.227055197898</v>
      </c>
      <c r="G134" s="1286">
        <v>29863.706189637658</v>
      </c>
      <c r="H134" s="1286">
        <v>29785.347287965262</v>
      </c>
      <c r="I134" s="1286">
        <v>29721.123926757933</v>
      </c>
      <c r="J134" s="1286">
        <v>29661.734961421695</v>
      </c>
      <c r="K134" s="1286">
        <v>29611.396189776657</v>
      </c>
      <c r="L134" s="1286">
        <v>29568.849797643248</v>
      </c>
      <c r="M134" s="1286">
        <v>29530.147646068875</v>
      </c>
      <c r="N134" s="1286">
        <v>29496.075930486455</v>
      </c>
      <c r="O134" s="1286">
        <v>29467.438066096056</v>
      </c>
      <c r="P134" s="1286">
        <v>29441.527617361877</v>
      </c>
      <c r="Q134" s="1286">
        <v>29419.70829211206</v>
      </c>
      <c r="R134" s="1286">
        <v>29399.923929838897</v>
      </c>
      <c r="S134" s="1286">
        <v>29383.079470086315</v>
      </c>
      <c r="T134" s="1286">
        <v>29368.394068698424</v>
      </c>
      <c r="U134" s="1286">
        <v>29355.454141203936</v>
      </c>
      <c r="V134" s="1286">
        <v>29344.144523615283</v>
      </c>
      <c r="W134" s="1286">
        <v>29334.320853929654</v>
      </c>
      <c r="X134" s="1286">
        <v>29325.757726689251</v>
      </c>
      <c r="Y134" s="1286">
        <v>29318.292068350849</v>
      </c>
      <c r="Z134" s="1409"/>
      <c r="AA134" s="1410">
        <f t="shared" ca="1" si="3"/>
        <v>29819.17445267961</v>
      </c>
      <c r="AB134" s="1412"/>
      <c r="AC134" s="1287"/>
      <c r="AD134" s="1038"/>
      <c r="AE134" s="1038"/>
      <c r="AF134" s="1038"/>
      <c r="AG134" s="1038"/>
      <c r="AH134" s="1038"/>
      <c r="AI134" s="1038"/>
      <c r="AJ134" s="1038"/>
      <c r="AK134" s="1038"/>
      <c r="AL134" s="1038"/>
      <c r="AM134" s="1038"/>
      <c r="AN134" s="1038"/>
      <c r="AO134" s="1038"/>
      <c r="AP134" s="1038"/>
      <c r="AQ134" s="1038"/>
      <c r="AR134" s="1038"/>
      <c r="AS134" s="1038"/>
      <c r="AT134" s="1038"/>
      <c r="AU134" s="1038"/>
      <c r="AV134" s="1038"/>
      <c r="AW134" s="1038"/>
      <c r="AX134" s="1038"/>
      <c r="AY134" s="1038"/>
      <c r="AZ134" s="1038"/>
      <c r="BA134" s="1038"/>
      <c r="BB134" s="1038"/>
      <c r="BC134" s="1038"/>
      <c r="BD134" s="1287"/>
      <c r="BE134" s="1287"/>
    </row>
    <row r="135" spans="1:57" x14ac:dyDescent="0.25">
      <c r="A135" s="1287"/>
      <c r="B135" s="1346"/>
      <c r="C135" s="1506">
        <v>30293.354075115225</v>
      </c>
      <c r="D135" s="1286">
        <v>30167.307278303586</v>
      </c>
      <c r="E135" s="1286">
        <v>30044.534424266254</v>
      </c>
      <c r="F135" s="1286">
        <v>29951.227055197898</v>
      </c>
      <c r="G135" s="1286">
        <v>29863.706189637658</v>
      </c>
      <c r="H135" s="1286">
        <v>29785.347287965262</v>
      </c>
      <c r="I135" s="1286">
        <v>29721.123926757933</v>
      </c>
      <c r="J135" s="1286">
        <v>29661.734961421695</v>
      </c>
      <c r="K135" s="1286">
        <v>29611.396189776657</v>
      </c>
      <c r="L135" s="1286">
        <v>29568.849797643248</v>
      </c>
      <c r="M135" s="1286">
        <v>29530.147646068875</v>
      </c>
      <c r="N135" s="1286">
        <v>29496.075930486455</v>
      </c>
      <c r="O135" s="1286">
        <v>29467.438066096056</v>
      </c>
      <c r="P135" s="1286">
        <v>29441.527617361877</v>
      </c>
      <c r="Q135" s="1286">
        <v>29419.70829211206</v>
      </c>
      <c r="R135" s="1286">
        <v>29399.923929838897</v>
      </c>
      <c r="S135" s="1286">
        <v>29383.079470086315</v>
      </c>
      <c r="T135" s="1286">
        <v>29368.394068698424</v>
      </c>
      <c r="U135" s="1286">
        <v>29355.454141203936</v>
      </c>
      <c r="V135" s="1286">
        <v>29344.144523615283</v>
      </c>
      <c r="W135" s="1286">
        <v>29334.320853929654</v>
      </c>
      <c r="X135" s="1286">
        <v>29325.757726689251</v>
      </c>
      <c r="Y135" s="1286">
        <v>29318.292068350849</v>
      </c>
      <c r="Z135" s="1409"/>
      <c r="AA135" s="1410">
        <f t="shared" ca="1" si="3"/>
        <v>29819.17445267961</v>
      </c>
      <c r="AB135" s="1412"/>
      <c r="AC135" s="1287"/>
      <c r="AD135" s="1038"/>
      <c r="AE135" s="1038"/>
      <c r="AF135" s="1038"/>
      <c r="AG135" s="1038"/>
      <c r="AH135" s="1038"/>
      <c r="AI135" s="1038"/>
      <c r="AJ135" s="1038"/>
      <c r="AK135" s="1038"/>
      <c r="AL135" s="1038"/>
      <c r="AM135" s="1038"/>
      <c r="AN135" s="1038"/>
      <c r="AO135" s="1038"/>
      <c r="AP135" s="1038"/>
      <c r="AQ135" s="1038"/>
      <c r="AR135" s="1038"/>
      <c r="AS135" s="1038"/>
      <c r="AT135" s="1038"/>
      <c r="AU135" s="1038"/>
      <c r="AV135" s="1038"/>
      <c r="AW135" s="1038"/>
      <c r="AX135" s="1038"/>
      <c r="AY135" s="1038"/>
      <c r="AZ135" s="1038"/>
      <c r="BA135" s="1038"/>
      <c r="BB135" s="1038"/>
      <c r="BC135" s="1038"/>
      <c r="BD135" s="1287"/>
      <c r="BE135" s="1287"/>
    </row>
    <row r="136" spans="1:57" x14ac:dyDescent="0.25">
      <c r="A136" s="1287"/>
      <c r="B136" s="1346"/>
      <c r="C136" s="1506">
        <v>30293.354075115225</v>
      </c>
      <c r="D136" s="1286">
        <v>30167.307278303586</v>
      </c>
      <c r="E136" s="1286">
        <v>30044.534424266254</v>
      </c>
      <c r="F136" s="1286">
        <v>29951.227055197898</v>
      </c>
      <c r="G136" s="1286">
        <v>29863.706189637658</v>
      </c>
      <c r="H136" s="1286">
        <v>29785.347287965262</v>
      </c>
      <c r="I136" s="1286">
        <v>29721.123926757933</v>
      </c>
      <c r="J136" s="1286">
        <v>29661.734961421695</v>
      </c>
      <c r="K136" s="1286">
        <v>29611.396189776657</v>
      </c>
      <c r="L136" s="1286">
        <v>29568.849797643248</v>
      </c>
      <c r="M136" s="1286">
        <v>29530.147646068875</v>
      </c>
      <c r="N136" s="1286">
        <v>29496.075930486455</v>
      </c>
      <c r="O136" s="1286">
        <v>29467.438066096056</v>
      </c>
      <c r="P136" s="1286">
        <v>29441.527617361877</v>
      </c>
      <c r="Q136" s="1286">
        <v>29419.70829211206</v>
      </c>
      <c r="R136" s="1286">
        <v>29399.923929838897</v>
      </c>
      <c r="S136" s="1286">
        <v>29383.079470086315</v>
      </c>
      <c r="T136" s="1286">
        <v>29368.394068698424</v>
      </c>
      <c r="U136" s="1286">
        <v>29355.454141203936</v>
      </c>
      <c r="V136" s="1286">
        <v>29344.144523615283</v>
      </c>
      <c r="W136" s="1286">
        <v>29334.320853929654</v>
      </c>
      <c r="X136" s="1286">
        <v>29325.757726689251</v>
      </c>
      <c r="Y136" s="1286">
        <v>29318.292068350849</v>
      </c>
      <c r="Z136" s="1409"/>
      <c r="AA136" s="1410">
        <f t="shared" ca="1" si="3"/>
        <v>29819.17445267961</v>
      </c>
      <c r="AB136" s="1412"/>
      <c r="AC136" s="1287"/>
      <c r="AD136" s="1038"/>
      <c r="AE136" s="1038"/>
      <c r="AF136" s="1038"/>
      <c r="AG136" s="1038"/>
      <c r="AH136" s="1038"/>
      <c r="AI136" s="1038"/>
      <c r="AJ136" s="1038"/>
      <c r="AK136" s="1038"/>
      <c r="AL136" s="1038"/>
      <c r="AM136" s="1038"/>
      <c r="AN136" s="1038"/>
      <c r="AO136" s="1038"/>
      <c r="AP136" s="1038"/>
      <c r="AQ136" s="1038"/>
      <c r="AR136" s="1038"/>
      <c r="AS136" s="1038"/>
      <c r="AT136" s="1038"/>
      <c r="AU136" s="1038"/>
      <c r="AV136" s="1038"/>
      <c r="AW136" s="1038"/>
      <c r="AX136" s="1038"/>
      <c r="AY136" s="1038"/>
      <c r="AZ136" s="1038"/>
      <c r="BA136" s="1038"/>
      <c r="BB136" s="1038"/>
      <c r="BC136" s="1038"/>
      <c r="BD136" s="1287"/>
      <c r="BE136" s="1287"/>
    </row>
    <row r="137" spans="1:57" x14ac:dyDescent="0.25">
      <c r="A137" s="1287"/>
      <c r="B137" s="1346"/>
      <c r="C137" s="1506">
        <v>30293.354075115225</v>
      </c>
      <c r="D137" s="1286">
        <v>30167.307278303586</v>
      </c>
      <c r="E137" s="1286">
        <v>30044.534424266254</v>
      </c>
      <c r="F137" s="1286">
        <v>29951.227055197898</v>
      </c>
      <c r="G137" s="1286">
        <v>29863.706189637658</v>
      </c>
      <c r="H137" s="1286">
        <v>29785.347287965262</v>
      </c>
      <c r="I137" s="1286">
        <v>29721.123926757933</v>
      </c>
      <c r="J137" s="1286">
        <v>29661.734961421695</v>
      </c>
      <c r="K137" s="1286">
        <v>29611.396189776657</v>
      </c>
      <c r="L137" s="1286">
        <v>29568.849797643248</v>
      </c>
      <c r="M137" s="1286">
        <v>29530.147646068875</v>
      </c>
      <c r="N137" s="1286">
        <v>29496.075930486455</v>
      </c>
      <c r="O137" s="1286">
        <v>29467.438066096056</v>
      </c>
      <c r="P137" s="1286">
        <v>29441.527617361877</v>
      </c>
      <c r="Q137" s="1286">
        <v>29419.70829211206</v>
      </c>
      <c r="R137" s="1286">
        <v>29399.923929838897</v>
      </c>
      <c r="S137" s="1286">
        <v>29383.079470086315</v>
      </c>
      <c r="T137" s="1286">
        <v>29368.394068698424</v>
      </c>
      <c r="U137" s="1286">
        <v>29355.454141203936</v>
      </c>
      <c r="V137" s="1286">
        <v>29344.144523615283</v>
      </c>
      <c r="W137" s="1286">
        <v>29334.320853929654</v>
      </c>
      <c r="X137" s="1286">
        <v>29325.757726689251</v>
      </c>
      <c r="Y137" s="1286">
        <v>29318.292068350849</v>
      </c>
      <c r="Z137" s="1409"/>
      <c r="AA137" s="1410">
        <f t="shared" ca="1" si="3"/>
        <v>29819.17445267961</v>
      </c>
      <c r="AB137" s="1412"/>
      <c r="AC137" s="1287"/>
      <c r="AD137" s="1038"/>
      <c r="AE137" s="1038"/>
      <c r="AF137" s="1038"/>
      <c r="AG137" s="1038"/>
      <c r="AH137" s="1038"/>
      <c r="AI137" s="1038"/>
      <c r="AJ137" s="1038"/>
      <c r="AK137" s="1038"/>
      <c r="AL137" s="1038"/>
      <c r="AM137" s="1038"/>
      <c r="AN137" s="1038"/>
      <c r="AO137" s="1038"/>
      <c r="AP137" s="1038"/>
      <c r="AQ137" s="1038"/>
      <c r="AR137" s="1038"/>
      <c r="AS137" s="1038"/>
      <c r="AT137" s="1038"/>
      <c r="AU137" s="1038"/>
      <c r="AV137" s="1038"/>
      <c r="AW137" s="1038"/>
      <c r="AX137" s="1038"/>
      <c r="AY137" s="1038"/>
      <c r="AZ137" s="1038"/>
      <c r="BA137" s="1038"/>
      <c r="BB137" s="1038"/>
      <c r="BC137" s="1038"/>
      <c r="BD137" s="1287"/>
      <c r="BE137" s="1287"/>
    </row>
    <row r="138" spans="1:57" x14ac:dyDescent="0.25">
      <c r="A138" s="1287"/>
      <c r="B138" s="1346"/>
      <c r="C138" s="1506">
        <v>30293.354075115225</v>
      </c>
      <c r="D138" s="1286">
        <v>30167.307278303586</v>
      </c>
      <c r="E138" s="1286">
        <v>30044.534424266254</v>
      </c>
      <c r="F138" s="1286">
        <v>31791.175129927098</v>
      </c>
      <c r="G138" s="1286">
        <v>31703.654264366854</v>
      </c>
      <c r="H138" s="1286">
        <v>29785.347287965262</v>
      </c>
      <c r="I138" s="1286">
        <v>29721.123926757933</v>
      </c>
      <c r="J138" s="1286">
        <v>29661.734961421695</v>
      </c>
      <c r="K138" s="1286">
        <v>31451.344264505864</v>
      </c>
      <c r="L138" s="1286">
        <v>31408.797872372445</v>
      </c>
      <c r="M138" s="1286">
        <v>29530.147646068875</v>
      </c>
      <c r="N138" s="1286">
        <v>31336.024005215655</v>
      </c>
      <c r="O138" s="1286">
        <v>29467.438066096056</v>
      </c>
      <c r="P138" s="1286">
        <v>29441.527617361877</v>
      </c>
      <c r="Q138" s="1286">
        <v>29419.70829211206</v>
      </c>
      <c r="R138" s="1286">
        <v>29399.923929838897</v>
      </c>
      <c r="S138" s="1286">
        <v>31223.027544815523</v>
      </c>
      <c r="T138" s="1286">
        <v>29368.394068698424</v>
      </c>
      <c r="U138" s="1286">
        <v>29355.454141203936</v>
      </c>
      <c r="V138" s="1286">
        <v>29344.144523615283</v>
      </c>
      <c r="W138" s="1286">
        <v>29334.320853929654</v>
      </c>
      <c r="X138" s="1286">
        <v>29325.757726689251</v>
      </c>
      <c r="Y138" s="1286">
        <v>29318.292068350849</v>
      </c>
      <c r="Z138" s="1409"/>
      <c r="AA138" s="1410">
        <f t="shared" ca="1" si="3"/>
        <v>30613.471274882701</v>
      </c>
      <c r="AB138" s="1412"/>
      <c r="AC138" s="1287"/>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287"/>
      <c r="BE138" s="1287"/>
    </row>
    <row r="139" spans="1:57" x14ac:dyDescent="0.25">
      <c r="A139" s="1287"/>
      <c r="B139" s="1346"/>
      <c r="C139" s="1506">
        <v>30293.354075115225</v>
      </c>
      <c r="D139" s="1286">
        <v>32007.255353032782</v>
      </c>
      <c r="E139" s="1286">
        <v>31884.482498995465</v>
      </c>
      <c r="F139" s="1286">
        <v>31791.175129927098</v>
      </c>
      <c r="G139" s="1286">
        <v>31703.654264366854</v>
      </c>
      <c r="H139" s="1286">
        <v>31625.295362694462</v>
      </c>
      <c r="I139" s="1286">
        <v>31561.072001487133</v>
      </c>
      <c r="J139" s="1286">
        <v>31501.683036150906</v>
      </c>
      <c r="K139" s="1286">
        <v>31451.344264505864</v>
      </c>
      <c r="L139" s="1286">
        <v>31408.797872372445</v>
      </c>
      <c r="M139" s="1286">
        <v>31370.095720798083</v>
      </c>
      <c r="N139" s="1286">
        <v>31336.024005215655</v>
      </c>
      <c r="O139" s="1286">
        <v>31307.386140825256</v>
      </c>
      <c r="P139" s="1286">
        <v>31281.475692091073</v>
      </c>
      <c r="Q139" s="1286">
        <v>31259.656366841253</v>
      </c>
      <c r="R139" s="1286">
        <v>31239.8720045681</v>
      </c>
      <c r="S139" s="1286">
        <v>31223.027544815523</v>
      </c>
      <c r="T139" s="1286">
        <v>31208.342143427628</v>
      </c>
      <c r="U139" s="1286">
        <v>31195.40221593314</v>
      </c>
      <c r="V139" s="1286">
        <v>31184.092598344487</v>
      </c>
      <c r="W139" s="1286">
        <v>31174.268928658854</v>
      </c>
      <c r="X139" s="1286">
        <v>31165.705801418455</v>
      </c>
      <c r="Y139" s="1286">
        <v>31158.240143080046</v>
      </c>
      <c r="Z139" s="1409"/>
      <c r="AA139" s="1410">
        <f t="shared" ca="1" si="3"/>
        <v>31659.122527408806</v>
      </c>
      <c r="AB139" s="1412"/>
      <c r="AC139" s="1287"/>
      <c r="AD139" s="1038"/>
      <c r="AE139" s="1038"/>
      <c r="AF139" s="1038"/>
      <c r="AG139" s="1038"/>
      <c r="AH139" s="1038"/>
      <c r="AI139" s="1038"/>
      <c r="AJ139" s="1038"/>
      <c r="AK139" s="1038"/>
      <c r="AL139" s="1038"/>
      <c r="AM139" s="1038"/>
      <c r="AN139" s="1038"/>
      <c r="AO139" s="1038"/>
      <c r="AP139" s="1038"/>
      <c r="AQ139" s="1038"/>
      <c r="AR139" s="1038"/>
      <c r="AS139" s="1038"/>
      <c r="AT139" s="1038"/>
      <c r="AU139" s="1038"/>
      <c r="AV139" s="1038"/>
      <c r="AW139" s="1038"/>
      <c r="AX139" s="1038"/>
      <c r="AY139" s="1038"/>
      <c r="AZ139" s="1038"/>
      <c r="BA139" s="1038"/>
      <c r="BB139" s="1038"/>
      <c r="BC139" s="1038"/>
      <c r="BD139" s="1287"/>
      <c r="BE139" s="1287"/>
    </row>
    <row r="140" spans="1:57" x14ac:dyDescent="0.25">
      <c r="A140" s="1287"/>
      <c r="B140" s="1346"/>
      <c r="C140" s="1506">
        <v>32133.302149844425</v>
      </c>
      <c r="D140" s="1286">
        <v>32007.255353032782</v>
      </c>
      <c r="E140" s="1286">
        <v>31884.482498995465</v>
      </c>
      <c r="F140" s="1286">
        <v>31791.175129927098</v>
      </c>
      <c r="G140" s="1286">
        <v>31703.654264366854</v>
      </c>
      <c r="H140" s="1286">
        <v>31625.295362694462</v>
      </c>
      <c r="I140" s="1286">
        <v>31561.072001487133</v>
      </c>
      <c r="J140" s="1286">
        <v>31501.683036150906</v>
      </c>
      <c r="K140" s="1286">
        <v>31451.344264505864</v>
      </c>
      <c r="L140" s="1286">
        <v>31408.797872372445</v>
      </c>
      <c r="M140" s="1286">
        <v>31370.095720798083</v>
      </c>
      <c r="N140" s="1286">
        <v>31336.024005215655</v>
      </c>
      <c r="O140" s="1286">
        <v>31307.386140825256</v>
      </c>
      <c r="P140" s="1286">
        <v>31281.475692091073</v>
      </c>
      <c r="Q140" s="1286">
        <v>31259.656366841253</v>
      </c>
      <c r="R140" s="1286">
        <v>31239.8720045681</v>
      </c>
      <c r="S140" s="1286">
        <v>31223.027544815523</v>
      </c>
      <c r="T140" s="1286">
        <v>31208.342143427628</v>
      </c>
      <c r="U140" s="1286">
        <v>31195.40221593314</v>
      </c>
      <c r="V140" s="1286">
        <v>31184.092598344487</v>
      </c>
      <c r="W140" s="1286">
        <v>31174.268928658854</v>
      </c>
      <c r="X140" s="1286">
        <v>31165.705801418455</v>
      </c>
      <c r="Y140" s="1286">
        <v>31158.240143080046</v>
      </c>
      <c r="Z140" s="1409"/>
      <c r="AA140" s="1410">
        <f t="shared" ca="1" si="3"/>
        <v>31659.122527408806</v>
      </c>
      <c r="AB140" s="1412"/>
      <c r="AC140" s="1287"/>
      <c r="AD140" s="1038"/>
      <c r="AE140" s="1038"/>
      <c r="AF140" s="1038"/>
      <c r="AG140" s="1038"/>
      <c r="AH140" s="1038"/>
      <c r="AI140" s="1038"/>
      <c r="AJ140" s="1038"/>
      <c r="AK140" s="1038"/>
      <c r="AL140" s="1038"/>
      <c r="AM140" s="1038"/>
      <c r="AN140" s="1038"/>
      <c r="AO140" s="1038"/>
      <c r="AP140" s="1038"/>
      <c r="AQ140" s="1038"/>
      <c r="AR140" s="1038"/>
      <c r="AS140" s="1038"/>
      <c r="AT140" s="1038"/>
      <c r="AU140" s="1038"/>
      <c r="AV140" s="1038"/>
      <c r="AW140" s="1038"/>
      <c r="AX140" s="1038"/>
      <c r="AY140" s="1038"/>
      <c r="AZ140" s="1038"/>
      <c r="BA140" s="1038"/>
      <c r="BB140" s="1038"/>
      <c r="BC140" s="1038"/>
      <c r="BD140" s="1287"/>
      <c r="BE140" s="1287"/>
    </row>
    <row r="141" spans="1:57" x14ac:dyDescent="0.25">
      <c r="A141" s="1287"/>
      <c r="B141" s="1346"/>
      <c r="C141" s="1506">
        <v>32133.302149844425</v>
      </c>
      <c r="D141" s="1286">
        <v>32007.255353032782</v>
      </c>
      <c r="E141" s="1286">
        <v>31884.482498995465</v>
      </c>
      <c r="F141" s="1286">
        <v>31791.175129927098</v>
      </c>
      <c r="G141" s="1286">
        <v>31703.654264366854</v>
      </c>
      <c r="H141" s="1286">
        <v>31625.295362694462</v>
      </c>
      <c r="I141" s="1286">
        <v>33401.020076216329</v>
      </c>
      <c r="J141" s="1286">
        <v>31501.683036150906</v>
      </c>
      <c r="K141" s="1286">
        <v>31451.344264505864</v>
      </c>
      <c r="L141" s="1286">
        <v>31408.797872372445</v>
      </c>
      <c r="M141" s="1286">
        <v>31370.095720798083</v>
      </c>
      <c r="N141" s="1286">
        <v>33175.972079944855</v>
      </c>
      <c r="O141" s="1286">
        <v>31307.386140825256</v>
      </c>
      <c r="P141" s="1286">
        <v>31281.475692091073</v>
      </c>
      <c r="Q141" s="1286">
        <v>33099.60444157046</v>
      </c>
      <c r="R141" s="1286">
        <v>31239.8720045681</v>
      </c>
      <c r="S141" s="1286">
        <v>31223.027544815523</v>
      </c>
      <c r="T141" s="1286">
        <v>31208.342143427628</v>
      </c>
      <c r="U141" s="1286">
        <v>31195.40221593314</v>
      </c>
      <c r="V141" s="1286">
        <v>31184.092598344487</v>
      </c>
      <c r="W141" s="1286">
        <v>31174.268928658854</v>
      </c>
      <c r="X141" s="1286">
        <v>31165.705801418455</v>
      </c>
      <c r="Y141" s="1286">
        <v>31158.240143080046</v>
      </c>
      <c r="Z141" s="1409"/>
      <c r="AA141" s="1410">
        <f t="shared" ca="1" si="3"/>
        <v>31659.122527408806</v>
      </c>
      <c r="AB141" s="1412"/>
      <c r="AC141" s="1287"/>
      <c r="AD141" s="1038"/>
      <c r="AE141" s="1038"/>
      <c r="AF141" s="1038"/>
      <c r="AG141" s="1038"/>
      <c r="AH141" s="1038"/>
      <c r="AI141" s="1038"/>
      <c r="AJ141" s="1038"/>
      <c r="AK141" s="1038"/>
      <c r="AL141" s="1038"/>
      <c r="AM141" s="1038"/>
      <c r="AN141" s="1038"/>
      <c r="AO141" s="1038"/>
      <c r="AP141" s="1038"/>
      <c r="AQ141" s="1038"/>
      <c r="AR141" s="1038"/>
      <c r="AS141" s="1038"/>
      <c r="AT141" s="1038"/>
      <c r="AU141" s="1038"/>
      <c r="AV141" s="1038"/>
      <c r="AW141" s="1038"/>
      <c r="AX141" s="1038"/>
      <c r="AY141" s="1038"/>
      <c r="AZ141" s="1038"/>
      <c r="BA141" s="1038"/>
      <c r="BB141" s="1038"/>
      <c r="BC141" s="1038"/>
      <c r="BD141" s="1287"/>
      <c r="BE141" s="1287"/>
    </row>
    <row r="142" spans="1:57" x14ac:dyDescent="0.25">
      <c r="A142" s="1287"/>
      <c r="B142" s="1346"/>
      <c r="C142" s="1506">
        <v>32133.302149844425</v>
      </c>
      <c r="D142" s="1286">
        <v>32007.255353032782</v>
      </c>
      <c r="E142" s="1286">
        <v>31884.482498995465</v>
      </c>
      <c r="F142" s="1286">
        <v>31791.175129927098</v>
      </c>
      <c r="G142" s="1286">
        <v>33543.602339096047</v>
      </c>
      <c r="H142" s="1286">
        <v>33465.243437423655</v>
      </c>
      <c r="I142" s="1286">
        <v>33401.020076216329</v>
      </c>
      <c r="J142" s="1286">
        <v>33341.631110880109</v>
      </c>
      <c r="K142" s="1286">
        <v>31451.344264505864</v>
      </c>
      <c r="L142" s="1286">
        <v>33248.745947101655</v>
      </c>
      <c r="M142" s="1286">
        <v>33210.043795527286</v>
      </c>
      <c r="N142" s="1286">
        <v>33175.972079944855</v>
      </c>
      <c r="O142" s="1286">
        <v>33147.33421555446</v>
      </c>
      <c r="P142" s="1286">
        <v>31281.475692091073</v>
      </c>
      <c r="Q142" s="1286">
        <v>33099.60444157046</v>
      </c>
      <c r="R142" s="1286">
        <v>33079.820079297286</v>
      </c>
      <c r="S142" s="1286">
        <v>33062.975619544726</v>
      </c>
      <c r="T142" s="1286">
        <v>33048.290218156828</v>
      </c>
      <c r="U142" s="1286">
        <v>31195.40221593314</v>
      </c>
      <c r="V142" s="1286">
        <v>33024.040673073687</v>
      </c>
      <c r="W142" s="1286">
        <v>33014.217003388047</v>
      </c>
      <c r="X142" s="1286">
        <v>33005.653876147655</v>
      </c>
      <c r="Y142" s="1286">
        <v>32998.188217809249</v>
      </c>
      <c r="Z142" s="1409"/>
      <c r="AA142" s="1410">
        <f t="shared" ca="1" si="3"/>
        <v>33499.070602138003</v>
      </c>
      <c r="AB142" s="1412"/>
      <c r="AC142" s="1287"/>
      <c r="AD142" s="1038"/>
      <c r="AE142" s="1038"/>
      <c r="AF142" s="1038"/>
      <c r="AG142" s="1038"/>
      <c r="AH142" s="1038"/>
      <c r="AI142" s="1038"/>
      <c r="AJ142" s="1038"/>
      <c r="AK142" s="1038"/>
      <c r="AL142" s="1038"/>
      <c r="AM142" s="1038"/>
      <c r="AN142" s="1038"/>
      <c r="AO142" s="1038"/>
      <c r="AP142" s="1038"/>
      <c r="AQ142" s="1038"/>
      <c r="AR142" s="1038"/>
      <c r="AS142" s="1038"/>
      <c r="AT142" s="1038"/>
      <c r="AU142" s="1038"/>
      <c r="AV142" s="1038"/>
      <c r="AW142" s="1038"/>
      <c r="AX142" s="1038"/>
      <c r="AY142" s="1038"/>
      <c r="AZ142" s="1038"/>
      <c r="BA142" s="1038"/>
      <c r="BB142" s="1038"/>
      <c r="BC142" s="1038"/>
      <c r="BD142" s="1287"/>
      <c r="BE142" s="1287"/>
    </row>
    <row r="143" spans="1:57" x14ac:dyDescent="0.25">
      <c r="A143" s="1287"/>
      <c r="B143" s="1346"/>
      <c r="C143" s="1506">
        <v>32133.302149844425</v>
      </c>
      <c r="D143" s="1286">
        <v>32007.255353032782</v>
      </c>
      <c r="E143" s="1286">
        <v>33724.430573724661</v>
      </c>
      <c r="F143" s="1286">
        <v>33631.123204656295</v>
      </c>
      <c r="G143" s="1286">
        <v>33543.602339096047</v>
      </c>
      <c r="H143" s="1286">
        <v>33465.243437423655</v>
      </c>
      <c r="I143" s="1286">
        <v>33401.020076216329</v>
      </c>
      <c r="J143" s="1286">
        <v>33341.631110880109</v>
      </c>
      <c r="K143" s="1286">
        <v>33291.292339235064</v>
      </c>
      <c r="L143" s="1286">
        <v>33248.745947101655</v>
      </c>
      <c r="M143" s="1286">
        <v>33210.043795527286</v>
      </c>
      <c r="N143" s="1286">
        <v>33175.972079944855</v>
      </c>
      <c r="O143" s="1286">
        <v>33147.33421555446</v>
      </c>
      <c r="P143" s="1286">
        <v>33121.423766820284</v>
      </c>
      <c r="Q143" s="1286">
        <v>33099.60444157046</v>
      </c>
      <c r="R143" s="1286">
        <v>33079.820079297286</v>
      </c>
      <c r="S143" s="1286">
        <v>33062.975619544726</v>
      </c>
      <c r="T143" s="1286">
        <v>33048.290218156828</v>
      </c>
      <c r="U143" s="1286">
        <v>33035.350290662347</v>
      </c>
      <c r="V143" s="1286">
        <v>33024.040673073687</v>
      </c>
      <c r="W143" s="1286">
        <v>33014.217003388047</v>
      </c>
      <c r="X143" s="1286">
        <v>33005.653876147655</v>
      </c>
      <c r="Y143" s="1286">
        <v>32998.188217809249</v>
      </c>
      <c r="Z143" s="1409"/>
      <c r="AA143" s="1410">
        <f t="shared" ca="1" si="3"/>
        <v>33499.070602138003</v>
      </c>
      <c r="AB143" s="1413"/>
      <c r="AC143" s="1287"/>
      <c r="AD143" s="1038"/>
      <c r="AE143" s="1038"/>
      <c r="AF143" s="1038"/>
      <c r="AG143" s="1038"/>
      <c r="AH143" s="1038"/>
      <c r="AI143" s="1038"/>
      <c r="AJ143" s="1038"/>
      <c r="AK143" s="1038"/>
      <c r="AL143" s="1038"/>
      <c r="AM143" s="1038"/>
      <c r="AN143" s="1038"/>
      <c r="AO143" s="1038"/>
      <c r="AP143" s="1038"/>
      <c r="AQ143" s="1038"/>
      <c r="AR143" s="1038"/>
      <c r="AS143" s="1038"/>
      <c r="AT143" s="1038"/>
      <c r="AU143" s="1038"/>
      <c r="AV143" s="1038"/>
      <c r="AW143" s="1038"/>
      <c r="AX143" s="1038"/>
      <c r="AY143" s="1038"/>
      <c r="AZ143" s="1038"/>
      <c r="BA143" s="1038"/>
      <c r="BB143" s="1038"/>
      <c r="BC143" s="1038"/>
      <c r="BD143" s="1287"/>
      <c r="BE143" s="1287"/>
    </row>
    <row r="144" spans="1:57" x14ac:dyDescent="0.25">
      <c r="A144" s="1287"/>
      <c r="B144" s="1346"/>
      <c r="C144" s="1512"/>
      <c r="D144" s="1407"/>
      <c r="E144" s="1407"/>
      <c r="F144" s="1407"/>
      <c r="G144" s="1407"/>
      <c r="H144" s="1407"/>
      <c r="I144" s="1407"/>
      <c r="J144" s="1407"/>
      <c r="K144" s="1407"/>
      <c r="L144" s="1407"/>
      <c r="M144" s="1407"/>
      <c r="N144" s="1407"/>
      <c r="O144" s="1407"/>
      <c r="P144" s="1407"/>
      <c r="Q144" s="1407"/>
      <c r="R144" s="1407"/>
      <c r="S144" s="1407"/>
      <c r="T144" s="1407"/>
      <c r="U144" s="1407"/>
      <c r="V144" s="1407"/>
      <c r="W144" s="1407"/>
      <c r="X144" s="1407"/>
      <c r="Y144" s="1407"/>
      <c r="Z144" s="1409"/>
      <c r="AA144" s="1414"/>
      <c r="AB144" s="1403"/>
      <c r="AC144" s="1287"/>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287"/>
      <c r="BE144" s="1287"/>
    </row>
    <row r="145" spans="1:57" x14ac:dyDescent="0.25">
      <c r="A145" s="1287"/>
      <c r="B145" s="1340" t="s">
        <v>1274</v>
      </c>
      <c r="C145" s="1506">
        <v>0</v>
      </c>
      <c r="D145" s="1286">
        <v>0</v>
      </c>
      <c r="E145" s="1286">
        <v>0</v>
      </c>
      <c r="F145" s="1286">
        <v>0</v>
      </c>
      <c r="G145" s="1286">
        <v>0</v>
      </c>
      <c r="H145" s="1286">
        <v>0</v>
      </c>
      <c r="I145" s="1286">
        <v>0</v>
      </c>
      <c r="J145" s="1286">
        <v>0</v>
      </c>
      <c r="K145" s="1286">
        <v>0</v>
      </c>
      <c r="L145" s="1286">
        <v>3441.942414358618</v>
      </c>
      <c r="M145" s="1286">
        <v>3000.6677458511026</v>
      </c>
      <c r="N145" s="1286">
        <v>2612.188439468594</v>
      </c>
      <c r="O145" s="1286">
        <v>2285.6648845350196</v>
      </c>
      <c r="P145" s="1286">
        <v>1990.2388110236905</v>
      </c>
      <c r="Q145" s="1286">
        <v>3482.9179192914585</v>
      </c>
      <c r="R145" s="1286">
        <v>3031.7627483987826</v>
      </c>
      <c r="S145" s="1286">
        <v>2647.6480110450907</v>
      </c>
      <c r="T145" s="1286">
        <v>3469.1514453021646</v>
      </c>
      <c r="U145" s="1286">
        <v>3026.5355712463711</v>
      </c>
      <c r="V145" s="1286">
        <v>3519.5802131787368</v>
      </c>
      <c r="W145" s="1286">
        <v>3071.5496611074277</v>
      </c>
      <c r="X145" s="1286">
        <v>3351.2612281842212</v>
      </c>
      <c r="Y145" s="1286">
        <v>3510.7812626457903</v>
      </c>
      <c r="Z145" s="1409"/>
      <c r="AA145" s="1410">
        <f t="shared" ref="AA145:AA167" ca="1" si="4">FORECAST($C$54,OFFSET(C145:Y145,0,MATCH($C$54,$G$72:$Y$72,1)-1,1,2), OFFSET($G$72:$Y$72,0,MATCH($C$54,$G$72:$Y$72,1)-1,1,2))</f>
        <v>0</v>
      </c>
      <c r="AB145" s="1411" t="e">
        <f ca="1">FORECAST($C$55,OFFSET(AA145:AA167,MATCH($C$55,$B$73:$B$95,1)-1,0,2), OFFSET($B$73:$B$95,MATCH($C$55,$B$73:$B$95,1)-1,0,2))</f>
        <v>#REF!</v>
      </c>
      <c r="AC145" s="1287"/>
      <c r="AD145" s="1038"/>
      <c r="AE145" s="1038"/>
      <c r="AF145" s="1038"/>
      <c r="AG145" s="1038"/>
      <c r="AH145" s="1038"/>
      <c r="AI145" s="1038"/>
      <c r="AJ145" s="1038"/>
      <c r="AK145" s="1038"/>
      <c r="AL145" s="1038"/>
      <c r="AM145" s="1038"/>
      <c r="AN145" s="1038"/>
      <c r="AO145" s="1038"/>
      <c r="AP145" s="1038"/>
      <c r="AQ145" s="1038"/>
      <c r="AR145" s="1038"/>
      <c r="AS145" s="1038"/>
      <c r="AT145" s="1038"/>
      <c r="AU145" s="1038"/>
      <c r="AV145" s="1038"/>
      <c r="AW145" s="1038"/>
      <c r="AX145" s="1038"/>
      <c r="AY145" s="1038"/>
      <c r="AZ145" s="1038"/>
      <c r="BA145" s="1038"/>
      <c r="BB145" s="1038"/>
      <c r="BC145" s="1038"/>
      <c r="BD145" s="1287"/>
      <c r="BE145" s="1287"/>
    </row>
    <row r="146" spans="1:57" x14ac:dyDescent="0.25">
      <c r="A146" s="1287"/>
      <c r="B146" s="1346"/>
      <c r="C146" s="1506">
        <v>0</v>
      </c>
      <c r="D146" s="1286">
        <v>0</v>
      </c>
      <c r="E146" s="1286">
        <v>0</v>
      </c>
      <c r="F146" s="1286">
        <v>0</v>
      </c>
      <c r="G146" s="1286">
        <v>0</v>
      </c>
      <c r="H146" s="1286">
        <v>0</v>
      </c>
      <c r="I146" s="1286">
        <v>0</v>
      </c>
      <c r="J146" s="1286">
        <v>4343.0880513159627</v>
      </c>
      <c r="K146" s="1286">
        <v>3789.2714541682899</v>
      </c>
      <c r="L146" s="1286">
        <v>3321.1849804180893</v>
      </c>
      <c r="M146" s="1286">
        <v>2895.3920342106421</v>
      </c>
      <c r="N146" s="1286">
        <v>2520.5421726387285</v>
      </c>
      <c r="O146" s="1286">
        <v>4410.9488021177749</v>
      </c>
      <c r="P146" s="1286">
        <v>3840.8261678304434</v>
      </c>
      <c r="Q146" s="1286">
        <v>3360.7228968516379</v>
      </c>
      <c r="R146" s="1286">
        <v>4388.0941451119825</v>
      </c>
      <c r="S146" s="1286">
        <v>3832.1365158670255</v>
      </c>
      <c r="T146" s="1286">
        <v>3347.4394071407614</v>
      </c>
      <c r="U146" s="1286">
        <v>3893.8030804901737</v>
      </c>
      <c r="V146" s="1286">
        <v>4245.1236591810166</v>
      </c>
      <c r="W146" s="1286">
        <v>4445.6806824494106</v>
      </c>
      <c r="X146" s="1286">
        <v>3880.4223138905504</v>
      </c>
      <c r="Y146" s="1286">
        <v>3952.2101266975264</v>
      </c>
      <c r="Z146" s="1409"/>
      <c r="AA146" s="1410">
        <f t="shared" ca="1" si="4"/>
        <v>0</v>
      </c>
      <c r="AB146" s="1412"/>
      <c r="AC146" s="1287"/>
      <c r="AD146" s="1038"/>
      <c r="AE146" s="1038"/>
      <c r="AF146" s="1038"/>
      <c r="AG146" s="1038"/>
      <c r="AH146" s="1038"/>
      <c r="AI146" s="1038"/>
      <c r="AJ146" s="1038"/>
      <c r="AK146" s="1038"/>
      <c r="AL146" s="1038"/>
      <c r="AM146" s="1038"/>
      <c r="AN146" s="1038"/>
      <c r="AO146" s="1038"/>
      <c r="AP146" s="1038"/>
      <c r="AQ146" s="1038"/>
      <c r="AR146" s="1038"/>
      <c r="AS146" s="1038"/>
      <c r="AT146" s="1038"/>
      <c r="AU146" s="1038"/>
      <c r="AV146" s="1038"/>
      <c r="AW146" s="1038"/>
      <c r="AX146" s="1038"/>
      <c r="AY146" s="1038"/>
      <c r="AZ146" s="1038"/>
      <c r="BA146" s="1038"/>
      <c r="BB146" s="1038"/>
      <c r="BC146" s="1038"/>
      <c r="BD146" s="1287"/>
      <c r="BE146" s="1287"/>
    </row>
    <row r="147" spans="1:57" x14ac:dyDescent="0.25">
      <c r="A147" s="1287"/>
      <c r="B147" s="1346"/>
      <c r="C147" s="1506">
        <v>0</v>
      </c>
      <c r="D147" s="1286">
        <v>0</v>
      </c>
      <c r="E147" s="1286">
        <v>0</v>
      </c>
      <c r="F147" s="1286">
        <v>0</v>
      </c>
      <c r="G147" s="1286">
        <v>0</v>
      </c>
      <c r="H147" s="1286">
        <v>5520.7493112972197</v>
      </c>
      <c r="I147" s="1286">
        <v>4836.7626709595106</v>
      </c>
      <c r="J147" s="1286">
        <v>4204.2629370648056</v>
      </c>
      <c r="K147" s="1286">
        <v>3668.1488712645955</v>
      </c>
      <c r="L147" s="1286">
        <v>3215.0245989319101</v>
      </c>
      <c r="M147" s="1286">
        <v>2802.8419580432037</v>
      </c>
      <c r="N147" s="1286">
        <v>4879.9480519502204</v>
      </c>
      <c r="O147" s="1286">
        <v>4269.9545454564432</v>
      </c>
      <c r="P147" s="1286">
        <v>5577.0834879431104</v>
      </c>
      <c r="Q147" s="1286">
        <v>4879.9480519502213</v>
      </c>
      <c r="R147" s="1286">
        <v>4247.8304286406074</v>
      </c>
      <c r="S147" s="1286">
        <v>4946.1916906644774</v>
      </c>
      <c r="T147" s="1286">
        <v>5400.7330219211935</v>
      </c>
      <c r="U147" s="1286">
        <v>4711.6739811933176</v>
      </c>
      <c r="V147" s="1286">
        <v>4931.3159261812762</v>
      </c>
      <c r="W147" s="1286">
        <v>5020.838940589204</v>
      </c>
      <c r="X147" s="1286">
        <v>5008.5148391150033</v>
      </c>
      <c r="Y147" s="1286">
        <v>5465.5418181842479</v>
      </c>
      <c r="Z147" s="1409"/>
      <c r="AA147" s="1410">
        <f t="shared" ca="1" si="4"/>
        <v>3137.4681228926493</v>
      </c>
      <c r="AB147" s="1412"/>
      <c r="AC147" s="1287"/>
      <c r="AD147" s="1038"/>
      <c r="AE147" s="1038"/>
      <c r="AF147" s="1038"/>
      <c r="AG147" s="1038"/>
      <c r="AH147" s="1038"/>
      <c r="AI147" s="1038"/>
      <c r="AJ147" s="1038"/>
      <c r="AK147" s="1038"/>
      <c r="AL147" s="1038"/>
      <c r="AM147" s="1038"/>
      <c r="AN147" s="1038"/>
      <c r="AO147" s="1038"/>
      <c r="AP147" s="1038"/>
      <c r="AQ147" s="1038"/>
      <c r="AR147" s="1038"/>
      <c r="AS147" s="1038"/>
      <c r="AT147" s="1038"/>
      <c r="AU147" s="1038"/>
      <c r="AV147" s="1038"/>
      <c r="AW147" s="1038"/>
      <c r="AX147" s="1038"/>
      <c r="AY147" s="1038"/>
      <c r="AZ147" s="1038"/>
      <c r="BA147" s="1038"/>
      <c r="BB147" s="1038"/>
      <c r="BC147" s="1038"/>
      <c r="BD147" s="1287"/>
      <c r="BE147" s="1287"/>
    </row>
    <row r="148" spans="1:57" x14ac:dyDescent="0.25">
      <c r="A148" s="1287"/>
      <c r="B148" s="1346"/>
      <c r="C148" s="1506">
        <v>0</v>
      </c>
      <c r="D148" s="1286">
        <v>0</v>
      </c>
      <c r="E148" s="1286">
        <v>0</v>
      </c>
      <c r="F148" s="1286">
        <v>0</v>
      </c>
      <c r="G148" s="1286">
        <v>6173.4331546020148</v>
      </c>
      <c r="H148" s="1286">
        <v>5362.7803161189222</v>
      </c>
      <c r="I148" s="1286">
        <v>4698.3650557148085</v>
      </c>
      <c r="J148" s="1286">
        <v>4083.9634715059487</v>
      </c>
      <c r="K148" s="1286">
        <v>3563.1896060119016</v>
      </c>
      <c r="L148" s="1286">
        <v>6246.0617799502743</v>
      </c>
      <c r="M148" s="1286">
        <v>5445.284628674598</v>
      </c>
      <c r="N148" s="1286">
        <v>4740.3147437122616</v>
      </c>
      <c r="O148" s="1286">
        <v>6221.6631011223435</v>
      </c>
      <c r="P148" s="1286">
        <v>5417.5025642425844</v>
      </c>
      <c r="Q148" s="1286">
        <v>6320.4196582830155</v>
      </c>
      <c r="R148" s="1286">
        <v>6877.1405608260784</v>
      </c>
      <c r="S148" s="1286">
        <v>6005.8286345675706</v>
      </c>
      <c r="T148" s="1286">
        <v>6295.4377624004737</v>
      </c>
      <c r="U148" s="1286">
        <v>6407.5978604662296</v>
      </c>
      <c r="V148" s="1286">
        <v>6386.9503915281002</v>
      </c>
      <c r="W148" s="1286">
        <v>6967.391749288362</v>
      </c>
      <c r="X148" s="1286">
        <v>6689.6537963957689</v>
      </c>
      <c r="Y148" s="1286">
        <v>6901.8982668450535</v>
      </c>
      <c r="Z148" s="1409"/>
      <c r="AA148" s="1410">
        <f t="shared" ca="1" si="4"/>
        <v>5712.7352862404614</v>
      </c>
      <c r="AB148" s="1412"/>
      <c r="AC148" s="1287"/>
      <c r="AD148" s="1038"/>
      <c r="AE148" s="1038"/>
      <c r="AF148" s="1038"/>
      <c r="AG148" s="1038"/>
      <c r="AH148" s="1038"/>
      <c r="AI148" s="1038"/>
      <c r="AJ148" s="1038"/>
      <c r="AK148" s="1038"/>
      <c r="AL148" s="1038"/>
      <c r="AM148" s="1038"/>
      <c r="AN148" s="1038"/>
      <c r="AO148" s="1038"/>
      <c r="AP148" s="1038"/>
      <c r="AQ148" s="1038"/>
      <c r="AR148" s="1038"/>
      <c r="AS148" s="1038"/>
      <c r="AT148" s="1038"/>
      <c r="AU148" s="1038"/>
      <c r="AV148" s="1038"/>
      <c r="AW148" s="1038"/>
      <c r="AX148" s="1038"/>
      <c r="AY148" s="1038"/>
      <c r="AZ148" s="1038"/>
      <c r="BA148" s="1038"/>
      <c r="BB148" s="1038"/>
      <c r="BC148" s="1038"/>
      <c r="BD148" s="1287"/>
      <c r="BE148" s="1287"/>
    </row>
    <row r="149" spans="1:57" x14ac:dyDescent="0.25">
      <c r="A149" s="1287"/>
      <c r="B149" s="1346"/>
      <c r="C149" s="1506">
        <v>0</v>
      </c>
      <c r="D149" s="1286">
        <v>0</v>
      </c>
      <c r="E149" s="1286">
        <v>0</v>
      </c>
      <c r="F149" s="1286">
        <v>0</v>
      </c>
      <c r="G149" s="1286">
        <v>6003.4706173821378</v>
      </c>
      <c r="H149" s="1286">
        <v>5215.1360918673117</v>
      </c>
      <c r="I149" s="1286">
        <v>4569.0130362377331</v>
      </c>
      <c r="J149" s="1286">
        <v>0</v>
      </c>
      <c r="K149" s="1286">
        <v>6930.1808469109246</v>
      </c>
      <c r="L149" s="1286">
        <v>6074.0996834689868</v>
      </c>
      <c r="M149" s="1286">
        <v>0</v>
      </c>
      <c r="N149" s="1286">
        <v>6914.7116932347835</v>
      </c>
      <c r="O149" s="1286">
        <v>8067.1636421072481</v>
      </c>
      <c r="P149" s="1286">
        <v>1756.1172554247071</v>
      </c>
      <c r="Q149" s="1286">
        <v>7683.0129924830926</v>
      </c>
      <c r="R149" s="1286">
        <v>8025.3648667595407</v>
      </c>
      <c r="S149" s="1286">
        <v>1168.0960929748051</v>
      </c>
      <c r="T149" s="1286">
        <v>1020.3527136262132</v>
      </c>
      <c r="U149" s="1286">
        <v>1780.3395623960823</v>
      </c>
      <c r="V149" s="1286">
        <v>8540.2754948022593</v>
      </c>
      <c r="W149" s="1286">
        <v>8808.2416669727427</v>
      </c>
      <c r="X149" s="1286">
        <v>1774.2215570270234</v>
      </c>
      <c r="Y149" s="1286">
        <v>1548.8954192845915</v>
      </c>
      <c r="Z149" s="1409"/>
      <c r="AA149" s="1410">
        <f t="shared" ca="1" si="4"/>
        <v>5555.4563525581307</v>
      </c>
      <c r="AB149" s="1412"/>
      <c r="AC149" s="1287"/>
      <c r="AD149" s="1038"/>
      <c r="AE149" s="1038"/>
      <c r="AF149" s="1038"/>
      <c r="AG149" s="1038"/>
      <c r="AH149" s="1038"/>
      <c r="AI149" s="1038"/>
      <c r="AJ149" s="1038"/>
      <c r="AK149" s="1038"/>
      <c r="AL149" s="1038"/>
      <c r="AM149" s="1038"/>
      <c r="AN149" s="1038"/>
      <c r="AO149" s="1038"/>
      <c r="AP149" s="1038"/>
      <c r="AQ149" s="1038"/>
      <c r="AR149" s="1038"/>
      <c r="AS149" s="1038"/>
      <c r="AT149" s="1038"/>
      <c r="AU149" s="1038"/>
      <c r="AV149" s="1038"/>
      <c r="AW149" s="1038"/>
      <c r="AX149" s="1038"/>
      <c r="AY149" s="1038"/>
      <c r="AZ149" s="1038"/>
      <c r="BA149" s="1038"/>
      <c r="BB149" s="1038"/>
      <c r="BC149" s="1038"/>
      <c r="BD149" s="1287"/>
      <c r="BE149" s="1287"/>
    </row>
    <row r="150" spans="1:57" x14ac:dyDescent="0.25">
      <c r="A150" s="1287"/>
      <c r="B150" s="1346"/>
      <c r="C150" s="1506">
        <v>0</v>
      </c>
      <c r="D150" s="1286">
        <v>0</v>
      </c>
      <c r="E150" s="1286">
        <v>0</v>
      </c>
      <c r="F150" s="1286">
        <v>0</v>
      </c>
      <c r="G150" s="1286">
        <v>5872.4578282751472</v>
      </c>
      <c r="H150" s="1286">
        <v>0</v>
      </c>
      <c r="I150" s="1286">
        <v>0</v>
      </c>
      <c r="J150" s="1286">
        <v>0</v>
      </c>
      <c r="K150" s="1286">
        <v>0</v>
      </c>
      <c r="L150" s="1286">
        <v>0</v>
      </c>
      <c r="M150" s="1286">
        <v>0</v>
      </c>
      <c r="N150" s="1286">
        <v>2254.6043447842085</v>
      </c>
      <c r="O150" s="1286">
        <v>1972.7788016861823</v>
      </c>
      <c r="P150" s="1286">
        <v>1717.7937865022541</v>
      </c>
      <c r="Q150" s="1286">
        <v>1503.0695631894723</v>
      </c>
      <c r="R150" s="1286">
        <v>1308.3714332426493</v>
      </c>
      <c r="S150" s="1286">
        <v>2285.209833627433</v>
      </c>
      <c r="T150" s="1286">
        <v>1996.1714356982714</v>
      </c>
      <c r="U150" s="1286">
        <v>1741.487493902285</v>
      </c>
      <c r="V150" s="1286">
        <v>2278.3370220977267</v>
      </c>
      <c r="W150" s="1286">
        <v>1988.3124930380422</v>
      </c>
      <c r="X150" s="1286">
        <v>2314.0040010614557</v>
      </c>
      <c r="Y150" s="1286">
        <v>2525.1568661583133</v>
      </c>
      <c r="Z150" s="1409"/>
      <c r="AA150" s="1410">
        <f t="shared" ca="1" si="4"/>
        <v>2535.1120803814774</v>
      </c>
      <c r="AB150" s="1412"/>
      <c r="AC150" s="1287"/>
      <c r="AD150" s="1038"/>
      <c r="AE150" s="1038"/>
      <c r="AF150" s="1038"/>
      <c r="AG150" s="1038"/>
      <c r="AH150" s="1038"/>
      <c r="AI150" s="1038"/>
      <c r="AJ150" s="1038"/>
      <c r="AK150" s="1038"/>
      <c r="AL150" s="1038"/>
      <c r="AM150" s="1038"/>
      <c r="AN150" s="1038"/>
      <c r="AO150" s="1038"/>
      <c r="AP150" s="1038"/>
      <c r="AQ150" s="1038"/>
      <c r="AR150" s="1038"/>
      <c r="AS150" s="1038"/>
      <c r="AT150" s="1038"/>
      <c r="AU150" s="1038"/>
      <c r="AV150" s="1038"/>
      <c r="AW150" s="1038"/>
      <c r="AX150" s="1038"/>
      <c r="AY150" s="1038"/>
      <c r="AZ150" s="1038"/>
      <c r="BA150" s="1038"/>
      <c r="BB150" s="1038"/>
      <c r="BC150" s="1038"/>
      <c r="BD150" s="1287"/>
      <c r="BE150" s="1287"/>
    </row>
    <row r="151" spans="1:57" x14ac:dyDescent="0.25">
      <c r="A151" s="1287"/>
      <c r="B151" s="1346"/>
      <c r="C151" s="1506">
        <v>0</v>
      </c>
      <c r="D151" s="1286">
        <v>0</v>
      </c>
      <c r="E151" s="1286">
        <v>0</v>
      </c>
      <c r="F151" s="1286">
        <v>0</v>
      </c>
      <c r="G151" s="1286">
        <v>0</v>
      </c>
      <c r="H151" s="1286">
        <v>0</v>
      </c>
      <c r="I151" s="1286">
        <v>0</v>
      </c>
      <c r="J151" s="1286">
        <v>0</v>
      </c>
      <c r="K151" s="1286">
        <v>0</v>
      </c>
      <c r="L151" s="1286">
        <v>2905.5912142591283</v>
      </c>
      <c r="M151" s="1286">
        <v>2533.0795201233423</v>
      </c>
      <c r="N151" s="1286">
        <v>2205.1361893930884</v>
      </c>
      <c r="O151" s="1286">
        <v>1929.4941657189522</v>
      </c>
      <c r="P151" s="1286">
        <v>1680.1037633471149</v>
      </c>
      <c r="Q151" s="1286">
        <v>2940.181585857451</v>
      </c>
      <c r="R151" s="1286">
        <v>2559.3290488292837</v>
      </c>
      <c r="S151" s="1286">
        <v>2235.0701648147137</v>
      </c>
      <c r="T151" s="1286">
        <v>2928.5603147671054</v>
      </c>
      <c r="U151" s="1286">
        <v>2554.916412538199</v>
      </c>
      <c r="V151" s="1286">
        <v>2971.130865708582</v>
      </c>
      <c r="W151" s="1286">
        <v>2592.916044220744</v>
      </c>
      <c r="X151" s="1286">
        <v>2829.0407011686812</v>
      </c>
      <c r="Y151" s="1286">
        <v>2963.7030385443109</v>
      </c>
      <c r="Z151" s="1409"/>
      <c r="AA151" s="1410">
        <f t="shared" ca="1" si="4"/>
        <v>0</v>
      </c>
      <c r="AB151" s="1412"/>
      <c r="AC151" s="1287"/>
      <c r="AD151" s="1038"/>
      <c r="AE151" s="1038"/>
      <c r="AF151" s="1038"/>
      <c r="AG151" s="1038"/>
      <c r="AH151" s="1038"/>
      <c r="AI151" s="1038"/>
      <c r="AJ151" s="1038"/>
      <c r="AK151" s="1038"/>
      <c r="AL151" s="1038"/>
      <c r="AM151" s="1038"/>
      <c r="AN151" s="1038"/>
      <c r="AO151" s="1038"/>
      <c r="AP151" s="1038"/>
      <c r="AQ151" s="1038"/>
      <c r="AR151" s="1038"/>
      <c r="AS151" s="1038"/>
      <c r="AT151" s="1038"/>
      <c r="AU151" s="1038"/>
      <c r="AV151" s="1038"/>
      <c r="AW151" s="1038"/>
      <c r="AX151" s="1038"/>
      <c r="AY151" s="1038"/>
      <c r="AZ151" s="1038"/>
      <c r="BA151" s="1038"/>
      <c r="BB151" s="1038"/>
      <c r="BC151" s="1038"/>
      <c r="BD151" s="1287"/>
      <c r="BE151" s="1287"/>
    </row>
    <row r="152" spans="1:57" x14ac:dyDescent="0.25">
      <c r="A152" s="1287"/>
      <c r="B152" s="1346"/>
      <c r="C152" s="1506">
        <v>0</v>
      </c>
      <c r="D152" s="1286">
        <v>0</v>
      </c>
      <c r="E152" s="1286">
        <v>0</v>
      </c>
      <c r="F152" s="1286">
        <v>0</v>
      </c>
      <c r="G152" s="1286">
        <v>0</v>
      </c>
      <c r="H152" s="1286">
        <v>0</v>
      </c>
      <c r="I152" s="1286">
        <v>0</v>
      </c>
      <c r="J152" s="1286">
        <v>3729.4810463258486</v>
      </c>
      <c r="K152" s="1286">
        <v>3253.909637733962</v>
      </c>
      <c r="L152" s="1286">
        <v>2851.9560942491785</v>
      </c>
      <c r="M152" s="1286">
        <v>2486.3206975505659</v>
      </c>
      <c r="N152" s="1286">
        <v>2164.4309643855372</v>
      </c>
      <c r="O152" s="1286">
        <v>3787.75418767469</v>
      </c>
      <c r="P152" s="1286">
        <v>3298.1805171589135</v>
      </c>
      <c r="Q152" s="1286">
        <v>2885.9079525140496</v>
      </c>
      <c r="R152" s="1286">
        <v>3768.1285183085001</v>
      </c>
      <c r="S152" s="1286">
        <v>3290.7185702875136</v>
      </c>
      <c r="T152" s="1286">
        <v>3832.6682689514651</v>
      </c>
      <c r="U152" s="1286">
        <v>3343.6726622231745</v>
      </c>
      <c r="V152" s="1286">
        <v>3645.3574137019573</v>
      </c>
      <c r="W152" s="1286">
        <v>3817.5790237981132</v>
      </c>
      <c r="X152" s="1286">
        <v>3887.5461078539774</v>
      </c>
      <c r="Y152" s="1286">
        <v>3878.6602881788826</v>
      </c>
      <c r="Z152" s="1409"/>
      <c r="AA152" s="1410">
        <f t="shared" ca="1" si="4"/>
        <v>0</v>
      </c>
      <c r="AB152" s="1412"/>
      <c r="AC152" s="1287"/>
      <c r="AD152" s="1038"/>
      <c r="AE152" s="1038"/>
      <c r="AF152" s="1038"/>
      <c r="AG152" s="1038"/>
      <c r="AH152" s="1038"/>
      <c r="AI152" s="1038"/>
      <c r="AJ152" s="1038"/>
      <c r="AK152" s="1038"/>
      <c r="AL152" s="1038"/>
      <c r="AM152" s="1038"/>
      <c r="AN152" s="1038"/>
      <c r="AO152" s="1038"/>
      <c r="AP152" s="1038"/>
      <c r="AQ152" s="1038"/>
      <c r="AR152" s="1038"/>
      <c r="AS152" s="1038"/>
      <c r="AT152" s="1038"/>
      <c r="AU152" s="1038"/>
      <c r="AV152" s="1038"/>
      <c r="AW152" s="1038"/>
      <c r="AX152" s="1038"/>
      <c r="AY152" s="1038"/>
      <c r="AZ152" s="1038"/>
      <c r="BA152" s="1038"/>
      <c r="BB152" s="1038"/>
      <c r="BC152" s="1038"/>
      <c r="BD152" s="1287"/>
      <c r="BE152" s="1287"/>
    </row>
    <row r="153" spans="1:57" x14ac:dyDescent="0.25">
      <c r="A153" s="1287"/>
      <c r="B153" s="1346"/>
      <c r="C153" s="1506">
        <v>0</v>
      </c>
      <c r="D153" s="1286">
        <v>0</v>
      </c>
      <c r="E153" s="1286">
        <v>0</v>
      </c>
      <c r="F153" s="1286">
        <v>0</v>
      </c>
      <c r="G153" s="1286">
        <v>0</v>
      </c>
      <c r="H153" s="1286">
        <v>4812.2823026187962</v>
      </c>
      <c r="I153" s="1286">
        <v>4216.0703359226618</v>
      </c>
      <c r="J153" s="1286">
        <v>3664.7380612250831</v>
      </c>
      <c r="K153" s="1286">
        <v>3197.4224695252401</v>
      </c>
      <c r="L153" s="1286">
        <v>2802.446752701534</v>
      </c>
      <c r="M153" s="1286">
        <v>4886.3174149667775</v>
      </c>
      <c r="N153" s="1286">
        <v>4253.7138210648282</v>
      </c>
      <c r="O153" s="1286">
        <v>3721.9995934317249</v>
      </c>
      <c r="P153" s="1286">
        <v>4861.3872240740893</v>
      </c>
      <c r="Q153" s="1286">
        <v>4253.7138210648282</v>
      </c>
      <c r="R153" s="1286">
        <v>4936.9528285933757</v>
      </c>
      <c r="S153" s="1286">
        <v>4311.4565426177451</v>
      </c>
      <c r="T153" s="1286">
        <v>4707.6674699531704</v>
      </c>
      <c r="U153" s="1286">
        <v>4928.44084095787</v>
      </c>
      <c r="V153" s="1286">
        <v>5014.9047153606398</v>
      </c>
      <c r="W153" s="1286">
        <v>5001.7422357927644</v>
      </c>
      <c r="X153" s="1286">
        <v>4911.5046181367097</v>
      </c>
      <c r="Y153" s="1286">
        <v>4764.1594795926085</v>
      </c>
      <c r="Z153" s="1409"/>
      <c r="AA153" s="1410">
        <f t="shared" ca="1" si="4"/>
        <v>2734.842948208272</v>
      </c>
      <c r="AB153" s="1412"/>
      <c r="AC153" s="1287"/>
      <c r="AD153" s="1038"/>
      <c r="AE153" s="1038"/>
      <c r="AF153" s="1038"/>
      <c r="AG153" s="1038"/>
      <c r="AH153" s="1038"/>
      <c r="AI153" s="1038"/>
      <c r="AJ153" s="1038"/>
      <c r="AK153" s="1038"/>
      <c r="AL153" s="1038"/>
      <c r="AM153" s="1038"/>
      <c r="AN153" s="1038"/>
      <c r="AO153" s="1038"/>
      <c r="AP153" s="1038"/>
      <c r="AQ153" s="1038"/>
      <c r="AR153" s="1038"/>
      <c r="AS153" s="1038"/>
      <c r="AT153" s="1038"/>
      <c r="AU153" s="1038"/>
      <c r="AV153" s="1038"/>
      <c r="AW153" s="1038"/>
      <c r="AX153" s="1038"/>
      <c r="AY153" s="1038"/>
      <c r="AZ153" s="1038"/>
      <c r="BA153" s="1038"/>
      <c r="BB153" s="1038"/>
      <c r="BC153" s="1038"/>
      <c r="BD153" s="1287"/>
      <c r="BE153" s="1287"/>
    </row>
    <row r="154" spans="1:57" x14ac:dyDescent="0.25">
      <c r="A154" s="1287"/>
      <c r="B154" s="1346"/>
      <c r="C154" s="1506">
        <v>0</v>
      </c>
      <c r="D154" s="1286">
        <v>0</v>
      </c>
      <c r="E154" s="1286">
        <v>0</v>
      </c>
      <c r="F154" s="1286">
        <v>6256.5913254020525</v>
      </c>
      <c r="G154" s="1286">
        <v>5456.3296442459759</v>
      </c>
      <c r="H154" s="1286">
        <v>4739.8419131833734</v>
      </c>
      <c r="I154" s="1286">
        <v>4152.6048619925132</v>
      </c>
      <c r="J154" s="1286">
        <v>3609.571918501184</v>
      </c>
      <c r="K154" s="1286">
        <v>6298.58187121012</v>
      </c>
      <c r="L154" s="1286">
        <v>5520.5217577076937</v>
      </c>
      <c r="M154" s="1286">
        <v>4812.7625580015792</v>
      </c>
      <c r="N154" s="1286">
        <v>6284.5225366761679</v>
      </c>
      <c r="O154" s="1286">
        <v>5498.9572195916471</v>
      </c>
      <c r="P154" s="1286">
        <v>6384.276862655156</v>
      </c>
      <c r="Q154" s="1286">
        <v>5586.2422548232616</v>
      </c>
      <c r="R154" s="1286">
        <v>6078.2946814139113</v>
      </c>
      <c r="S154" s="1286">
        <v>6369.8327973550304</v>
      </c>
      <c r="T154" s="1286">
        <v>6491.5226202294025</v>
      </c>
      <c r="U154" s="1286">
        <v>6472.3358538641924</v>
      </c>
      <c r="V154" s="1286">
        <v>6350.6754054832863</v>
      </c>
      <c r="W154" s="1286">
        <v>6158.0623281516264</v>
      </c>
      <c r="X154" s="1286">
        <v>6450.0941498990223</v>
      </c>
      <c r="Y154" s="1286">
        <v>6569.4208916721545</v>
      </c>
      <c r="Z154" s="1409"/>
      <c r="AA154" s="1410">
        <f t="shared" ca="1" si="4"/>
        <v>5049.1462548367581</v>
      </c>
      <c r="AB154" s="1412"/>
      <c r="AC154" s="1287"/>
      <c r="AD154" s="1038"/>
      <c r="AE154" s="1038"/>
      <c r="AF154" s="1038"/>
      <c r="AG154" s="1038"/>
      <c r="AH154" s="1038"/>
      <c r="AI154" s="1038"/>
      <c r="AJ154" s="1038"/>
      <c r="AK154" s="1038"/>
      <c r="AL154" s="1038"/>
      <c r="AM154" s="1038"/>
      <c r="AN154" s="1038"/>
      <c r="AO154" s="1038"/>
      <c r="AP154" s="1038"/>
      <c r="AQ154" s="1038"/>
      <c r="AR154" s="1038"/>
      <c r="AS154" s="1038"/>
      <c r="AT154" s="1038"/>
      <c r="AU154" s="1038"/>
      <c r="AV154" s="1038"/>
      <c r="AW154" s="1038"/>
      <c r="AX154" s="1038"/>
      <c r="AY154" s="1038"/>
      <c r="AZ154" s="1038"/>
      <c r="BA154" s="1038"/>
      <c r="BB154" s="1038"/>
      <c r="BC154" s="1038"/>
      <c r="BD154" s="1287"/>
      <c r="BE154" s="1287"/>
    </row>
    <row r="155" spans="1:57" x14ac:dyDescent="0.25">
      <c r="A155" s="1287"/>
      <c r="B155" s="1346"/>
      <c r="C155" s="1506">
        <v>0</v>
      </c>
      <c r="D155" s="1286">
        <v>0</v>
      </c>
      <c r="E155" s="1286">
        <v>7013.6917242697764</v>
      </c>
      <c r="F155" s="1286">
        <v>6172.0487173574029</v>
      </c>
      <c r="G155" s="1286">
        <v>5382.6006256023866</v>
      </c>
      <c r="H155" s="1286">
        <v>4675.794482846517</v>
      </c>
      <c r="I155" s="1286">
        <v>0</v>
      </c>
      <c r="J155" s="1286">
        <v>0</v>
      </c>
      <c r="K155" s="1286">
        <v>6213.4718631114793</v>
      </c>
      <c r="L155" s="1286">
        <v>0</v>
      </c>
      <c r="M155" s="1286">
        <v>0</v>
      </c>
      <c r="N155" s="1286">
        <v>0</v>
      </c>
      <c r="O155" s="1286">
        <v>0</v>
      </c>
      <c r="P155" s="1286">
        <v>0</v>
      </c>
      <c r="Q155" s="1286">
        <v>0</v>
      </c>
      <c r="R155" s="1286">
        <v>0</v>
      </c>
      <c r="S155" s="1286">
        <v>1047.2933343932245</v>
      </c>
      <c r="T155" s="1286">
        <v>914.82935533953605</v>
      </c>
      <c r="U155" s="1286">
        <v>798.10974793414698</v>
      </c>
      <c r="V155" s="1286">
        <v>696.09572000271464</v>
      </c>
      <c r="W155" s="1286">
        <v>607.48510997612232</v>
      </c>
      <c r="X155" s="1286">
        <v>530.24473516816181</v>
      </c>
      <c r="Y155" s="1286">
        <v>925.80730760361041</v>
      </c>
      <c r="Z155" s="1409"/>
      <c r="AA155" s="1410">
        <f t="shared" ca="1" si="4"/>
        <v>4980.9193289306895</v>
      </c>
      <c r="AB155" s="1412"/>
      <c r="AC155" s="1287"/>
      <c r="AD155" s="1038"/>
      <c r="AE155" s="1038"/>
      <c r="AF155" s="1038"/>
      <c r="AG155" s="1038"/>
      <c r="AH155" s="1038"/>
      <c r="AI155" s="1038"/>
      <c r="AJ155" s="1038"/>
      <c r="AK155" s="1038"/>
      <c r="AL155" s="1038"/>
      <c r="AM155" s="1038"/>
      <c r="AN155" s="1038"/>
      <c r="AO155" s="1038"/>
      <c r="AP155" s="1038"/>
      <c r="AQ155" s="1038"/>
      <c r="AR155" s="1038"/>
      <c r="AS155" s="1038"/>
      <c r="AT155" s="1038"/>
      <c r="AU155" s="1038"/>
      <c r="AV155" s="1038"/>
      <c r="AW155" s="1038"/>
      <c r="AX155" s="1038"/>
      <c r="AY155" s="1038"/>
      <c r="AZ155" s="1038"/>
      <c r="BA155" s="1038"/>
      <c r="BB155" s="1038"/>
      <c r="BC155" s="1038"/>
      <c r="BD155" s="1287"/>
      <c r="BE155" s="1287"/>
    </row>
    <row r="156" spans="1:57" x14ac:dyDescent="0.25">
      <c r="A156" s="1287"/>
      <c r="B156" s="1346"/>
      <c r="C156" s="1506">
        <v>0</v>
      </c>
      <c r="D156" s="1286">
        <v>0</v>
      </c>
      <c r="E156" s="1286">
        <v>0</v>
      </c>
      <c r="F156" s="1286">
        <v>6098.5680830478841</v>
      </c>
      <c r="G156" s="1286">
        <v>0</v>
      </c>
      <c r="H156" s="1286">
        <v>0</v>
      </c>
      <c r="I156" s="1286">
        <v>0</v>
      </c>
      <c r="J156" s="1286">
        <v>0</v>
      </c>
      <c r="K156" s="1286">
        <v>0</v>
      </c>
      <c r="L156" s="1286">
        <v>0</v>
      </c>
      <c r="M156" s="1286">
        <v>0</v>
      </c>
      <c r="N156" s="1286">
        <v>0</v>
      </c>
      <c r="O156" s="1286">
        <v>0</v>
      </c>
      <c r="P156" s="1286">
        <v>0</v>
      </c>
      <c r="Q156" s="1286">
        <v>0</v>
      </c>
      <c r="R156" s="1286">
        <v>1184.9549384160396</v>
      </c>
      <c r="S156" s="1286">
        <v>1034.8249009696635</v>
      </c>
      <c r="T156" s="1286">
        <v>903.9379569735006</v>
      </c>
      <c r="U156" s="1286">
        <v>788.60794177343325</v>
      </c>
      <c r="V156" s="1286">
        <v>687.80843041893422</v>
      </c>
      <c r="W156" s="1286">
        <v>1200.5055281590323</v>
      </c>
      <c r="X156" s="1286">
        <v>1047.863931795169</v>
      </c>
      <c r="Y156" s="1286">
        <v>914.78521245718264</v>
      </c>
      <c r="Z156" s="1409"/>
      <c r="AA156" s="1410">
        <f t="shared" ca="1" si="4"/>
        <v>0</v>
      </c>
      <c r="AB156" s="1412"/>
      <c r="AC156" s="1287"/>
      <c r="AD156" s="1038"/>
      <c r="AE156" s="1038"/>
      <c r="AF156" s="1038"/>
      <c r="AG156" s="1038"/>
      <c r="AH156" s="1038"/>
      <c r="AI156" s="1038"/>
      <c r="AJ156" s="1038"/>
      <c r="AK156" s="1038"/>
      <c r="AL156" s="1038"/>
      <c r="AM156" s="1038"/>
      <c r="AN156" s="1038"/>
      <c r="AO156" s="1038"/>
      <c r="AP156" s="1038"/>
      <c r="AQ156" s="1038"/>
      <c r="AR156" s="1038"/>
      <c r="AS156" s="1038"/>
      <c r="AT156" s="1038"/>
      <c r="AU156" s="1038"/>
      <c r="AV156" s="1038"/>
      <c r="AW156" s="1038"/>
      <c r="AX156" s="1038"/>
      <c r="AY156" s="1038"/>
      <c r="AZ156" s="1038"/>
      <c r="BA156" s="1038"/>
      <c r="BB156" s="1038"/>
      <c r="BC156" s="1038"/>
      <c r="BD156" s="1287"/>
      <c r="BE156" s="1287"/>
    </row>
    <row r="157" spans="1:57" x14ac:dyDescent="0.25">
      <c r="A157" s="1287"/>
      <c r="B157" s="1346"/>
      <c r="C157" s="1506">
        <v>0</v>
      </c>
      <c r="D157" s="1286">
        <v>0</v>
      </c>
      <c r="E157" s="1286">
        <v>0</v>
      </c>
      <c r="F157" s="1286">
        <v>0</v>
      </c>
      <c r="G157" s="1286">
        <v>0</v>
      </c>
      <c r="H157" s="1286">
        <v>0</v>
      </c>
      <c r="I157" s="1286">
        <v>0</v>
      </c>
      <c r="J157" s="1286">
        <v>0</v>
      </c>
      <c r="K157" s="1286">
        <v>0</v>
      </c>
      <c r="L157" s="1286">
        <v>0</v>
      </c>
      <c r="M157" s="1286">
        <v>0</v>
      </c>
      <c r="N157" s="1286">
        <v>0</v>
      </c>
      <c r="O157" s="1286">
        <v>0</v>
      </c>
      <c r="P157" s="1286">
        <v>1539.133287130489</v>
      </c>
      <c r="Q157" s="1286">
        <v>1346.7416262391778</v>
      </c>
      <c r="R157" s="1286">
        <v>1172.2932290579372</v>
      </c>
      <c r="S157" s="1286">
        <v>1023.7673900822709</v>
      </c>
      <c r="T157" s="1286">
        <v>894.27902453826823</v>
      </c>
      <c r="U157" s="1286">
        <v>1560.3627117805647</v>
      </c>
      <c r="V157" s="1286">
        <v>1360.9178538838007</v>
      </c>
      <c r="W157" s="1286">
        <v>1187.6776546361252</v>
      </c>
      <c r="X157" s="1286">
        <v>1555.0006406060609</v>
      </c>
      <c r="Y157" s="1286">
        <v>1357.5155592490912</v>
      </c>
      <c r="Z157" s="1409"/>
      <c r="AA157" s="1410">
        <f t="shared" ca="1" si="4"/>
        <v>0</v>
      </c>
      <c r="AB157" s="1412"/>
      <c r="AC157" s="1287"/>
      <c r="AD157" s="1038"/>
      <c r="AE157" s="1038"/>
      <c r="AF157" s="1038"/>
      <c r="AG157" s="1038"/>
      <c r="AH157" s="1038"/>
      <c r="AI157" s="1038"/>
      <c r="AJ157" s="1038"/>
      <c r="AK157" s="1038"/>
      <c r="AL157" s="1038"/>
      <c r="AM157" s="1038"/>
      <c r="AN157" s="1038"/>
      <c r="AO157" s="1038"/>
      <c r="AP157" s="1038"/>
      <c r="AQ157" s="1038"/>
      <c r="AR157" s="1038"/>
      <c r="AS157" s="1038"/>
      <c r="AT157" s="1038"/>
      <c r="AU157" s="1038"/>
      <c r="AV157" s="1038"/>
      <c r="AW157" s="1038"/>
      <c r="AX157" s="1038"/>
      <c r="AY157" s="1038"/>
      <c r="AZ157" s="1038"/>
      <c r="BA157" s="1038"/>
      <c r="BB157" s="1038"/>
      <c r="BC157" s="1038"/>
      <c r="BD157" s="1287"/>
      <c r="BE157" s="1287"/>
    </row>
    <row r="158" spans="1:57" x14ac:dyDescent="0.25">
      <c r="A158" s="1287"/>
      <c r="B158" s="1346"/>
      <c r="C158" s="1506">
        <v>0</v>
      </c>
      <c r="D158" s="1286">
        <v>0</v>
      </c>
      <c r="E158" s="1286">
        <v>0</v>
      </c>
      <c r="F158" s="1286">
        <v>0</v>
      </c>
      <c r="G158" s="1286">
        <v>0</v>
      </c>
      <c r="H158" s="1286">
        <v>0</v>
      </c>
      <c r="I158" s="1286">
        <v>0</v>
      </c>
      <c r="J158" s="1286">
        <v>0</v>
      </c>
      <c r="K158" s="1286">
        <v>0</v>
      </c>
      <c r="L158" s="1286">
        <v>0</v>
      </c>
      <c r="M158" s="1286">
        <v>0</v>
      </c>
      <c r="N158" s="1286">
        <v>2001.1184553576591</v>
      </c>
      <c r="O158" s="1286">
        <v>1750.9786484379517</v>
      </c>
      <c r="P158" s="1286">
        <v>1524.6616802725023</v>
      </c>
      <c r="Q158" s="1286">
        <v>1334.0789702384395</v>
      </c>
      <c r="R158" s="1286">
        <v>1161.2708134718023</v>
      </c>
      <c r="S158" s="1286">
        <v>2028.2829592765413</v>
      </c>
      <c r="T158" s="1286">
        <v>1771.7412411071764</v>
      </c>
      <c r="U158" s="1286">
        <v>1545.691496552123</v>
      </c>
      <c r="V158" s="1286">
        <v>2022.1828601508976</v>
      </c>
      <c r="W158" s="1286">
        <v>1764.7658818902189</v>
      </c>
      <c r="X158" s="1286">
        <v>2053.8397892330613</v>
      </c>
      <c r="Y158" s="1286">
        <v>1793.0021360004625</v>
      </c>
      <c r="Z158" s="1409"/>
      <c r="AA158" s="1410">
        <f t="shared" ca="1" si="4"/>
        <v>0</v>
      </c>
      <c r="AB158" s="1412"/>
      <c r="AC158" s="1287"/>
      <c r="AD158" s="1038"/>
      <c r="AE158" s="1038"/>
      <c r="AF158" s="1038"/>
      <c r="AG158" s="1038"/>
      <c r="AH158" s="1038"/>
      <c r="AI158" s="1038"/>
      <c r="AJ158" s="1038"/>
      <c r="AK158" s="1038"/>
      <c r="AL158" s="1038"/>
      <c r="AM158" s="1038"/>
      <c r="AN158" s="1038"/>
      <c r="AO158" s="1038"/>
      <c r="AP158" s="1038"/>
      <c r="AQ158" s="1038"/>
      <c r="AR158" s="1038"/>
      <c r="AS158" s="1038"/>
      <c r="AT158" s="1038"/>
      <c r="AU158" s="1038"/>
      <c r="AV158" s="1038"/>
      <c r="AW158" s="1038"/>
      <c r="AX158" s="1038"/>
      <c r="AY158" s="1038"/>
      <c r="AZ158" s="1038"/>
      <c r="BA158" s="1038"/>
      <c r="BB158" s="1038"/>
      <c r="BC158" s="1038"/>
      <c r="BD158" s="1287"/>
      <c r="BE158" s="1287"/>
    </row>
    <row r="159" spans="1:57" x14ac:dyDescent="0.25">
      <c r="A159" s="1287"/>
      <c r="B159" s="1346"/>
      <c r="C159" s="1506">
        <v>0</v>
      </c>
      <c r="D159" s="1286">
        <v>0</v>
      </c>
      <c r="E159" s="1286">
        <v>0</v>
      </c>
      <c r="F159" s="1286">
        <v>0</v>
      </c>
      <c r="G159" s="1286">
        <v>0</v>
      </c>
      <c r="H159" s="1286">
        <v>0</v>
      </c>
      <c r="I159" s="1286">
        <v>0</v>
      </c>
      <c r="J159" s="1286">
        <v>0</v>
      </c>
      <c r="K159" s="1286">
        <v>0</v>
      </c>
      <c r="L159" s="1286">
        <v>2614.7129179088756</v>
      </c>
      <c r="M159" s="1286">
        <v>2279.4933130487634</v>
      </c>
      <c r="N159" s="1286">
        <v>1984.3803394844147</v>
      </c>
      <c r="O159" s="1286">
        <v>1736.3327970488629</v>
      </c>
      <c r="P159" s="1286">
        <v>1511.9088300833637</v>
      </c>
      <c r="Q159" s="1286">
        <v>2645.8404526458862</v>
      </c>
      <c r="R159" s="1286">
        <v>2303.115005411963</v>
      </c>
      <c r="S159" s="1286">
        <v>2011.3176291606737</v>
      </c>
      <c r="T159" s="1286">
        <v>2635.3825852441237</v>
      </c>
      <c r="U159" s="1286">
        <v>2299.1441174715974</v>
      </c>
      <c r="V159" s="1286">
        <v>2673.691404779001</v>
      </c>
      <c r="W159" s="1286">
        <v>2333.339611782199</v>
      </c>
      <c r="X159" s="1286">
        <v>2545.8258650888256</v>
      </c>
      <c r="Y159" s="1286">
        <v>2667.0071762670532</v>
      </c>
      <c r="Z159" s="1409"/>
      <c r="AA159" s="1410">
        <f t="shared" ca="1" si="4"/>
        <v>0</v>
      </c>
      <c r="AB159" s="1412"/>
      <c r="AC159" s="1287"/>
      <c r="AD159" s="1038"/>
      <c r="AE159" s="1038"/>
      <c r="AF159" s="1038"/>
      <c r="AG159" s="1038"/>
      <c r="AH159" s="1038"/>
      <c r="AI159" s="1038"/>
      <c r="AJ159" s="1038"/>
      <c r="AK159" s="1038"/>
      <c r="AL159" s="1038"/>
      <c r="AM159" s="1038"/>
      <c r="AN159" s="1038"/>
      <c r="AO159" s="1038"/>
      <c r="AP159" s="1038"/>
      <c r="AQ159" s="1038"/>
      <c r="AR159" s="1038"/>
      <c r="AS159" s="1038"/>
      <c r="AT159" s="1038"/>
      <c r="AU159" s="1038"/>
      <c r="AV159" s="1038"/>
      <c r="AW159" s="1038"/>
      <c r="AX159" s="1038"/>
      <c r="AY159" s="1038"/>
      <c r="AZ159" s="1038"/>
      <c r="BA159" s="1038"/>
      <c r="BB159" s="1038"/>
      <c r="BC159" s="1038"/>
      <c r="BD159" s="1287"/>
      <c r="BE159" s="1287"/>
    </row>
    <row r="160" spans="1:57" x14ac:dyDescent="0.25">
      <c r="A160" s="1287"/>
      <c r="B160" s="1346"/>
      <c r="C160" s="1506">
        <v>0</v>
      </c>
      <c r="D160" s="1286">
        <v>0</v>
      </c>
      <c r="E160" s="1286">
        <v>0</v>
      </c>
      <c r="F160" s="1286">
        <v>0</v>
      </c>
      <c r="G160" s="1286">
        <v>0</v>
      </c>
      <c r="H160" s="1286">
        <v>0</v>
      </c>
      <c r="I160" s="1286">
        <v>0</v>
      </c>
      <c r="J160" s="1286">
        <v>3394.2241959015446</v>
      </c>
      <c r="K160" s="1286">
        <v>2961.4036608536967</v>
      </c>
      <c r="L160" s="1286">
        <v>2595.5832086305927</v>
      </c>
      <c r="M160" s="1286">
        <v>2262.8161306010297</v>
      </c>
      <c r="N160" s="1286">
        <v>1969.8622565500034</v>
      </c>
      <c r="O160" s="1286">
        <v>3447.2589489625061</v>
      </c>
      <c r="P160" s="1286">
        <v>3001.6948671238147</v>
      </c>
      <c r="Q160" s="1286">
        <v>2626.483008733338</v>
      </c>
      <c r="R160" s="1286">
        <v>3429.397503631094</v>
      </c>
      <c r="S160" s="1286">
        <v>2994.9037022660686</v>
      </c>
      <c r="T160" s="1286">
        <v>3488.1355372901248</v>
      </c>
      <c r="U160" s="1286">
        <v>3043.0975549462123</v>
      </c>
      <c r="V160" s="1286">
        <v>3317.6627478736896</v>
      </c>
      <c r="W160" s="1286">
        <v>3474.4027202141792</v>
      </c>
      <c r="X160" s="1286">
        <v>3538.0802042043592</v>
      </c>
      <c r="Y160" s="1286">
        <v>3529.9931637376062</v>
      </c>
      <c r="Z160" s="1409"/>
      <c r="AA160" s="1410">
        <f t="shared" ca="1" si="4"/>
        <v>0</v>
      </c>
      <c r="AB160" s="1412"/>
      <c r="AC160" s="1287"/>
      <c r="AD160" s="1038"/>
      <c r="AE160" s="1038"/>
      <c r="AF160" s="1038"/>
      <c r="AG160" s="1038"/>
      <c r="AH160" s="1038"/>
      <c r="AI160" s="1038"/>
      <c r="AJ160" s="1038"/>
      <c r="AK160" s="1038"/>
      <c r="AL160" s="1038"/>
      <c r="AM160" s="1038"/>
      <c r="AN160" s="1038"/>
      <c r="AO160" s="1038"/>
      <c r="AP160" s="1038"/>
      <c r="AQ160" s="1038"/>
      <c r="AR160" s="1038"/>
      <c r="AS160" s="1038"/>
      <c r="AT160" s="1038"/>
      <c r="AU160" s="1038"/>
      <c r="AV160" s="1038"/>
      <c r="AW160" s="1038"/>
      <c r="AX160" s="1038"/>
      <c r="AY160" s="1038"/>
      <c r="AZ160" s="1038"/>
      <c r="BA160" s="1038"/>
      <c r="BB160" s="1038"/>
      <c r="BC160" s="1038"/>
      <c r="BD160" s="1287"/>
      <c r="BE160" s="1287"/>
    </row>
    <row r="161" spans="1:57" x14ac:dyDescent="0.25">
      <c r="A161" s="1287"/>
      <c r="B161" s="1346"/>
      <c r="C161" s="1506">
        <v>0</v>
      </c>
      <c r="D161" s="1286">
        <v>0</v>
      </c>
      <c r="E161" s="1286">
        <v>0</v>
      </c>
      <c r="F161" s="1286">
        <v>0</v>
      </c>
      <c r="G161" s="1286">
        <v>0</v>
      </c>
      <c r="H161" s="1286">
        <v>4428.3128154377418</v>
      </c>
      <c r="I161" s="1286">
        <v>3879.6722896312958</v>
      </c>
      <c r="J161" s="1286">
        <v>3372.3305286795112</v>
      </c>
      <c r="K161" s="1286">
        <v>2942.3018035458822</v>
      </c>
      <c r="L161" s="1286">
        <v>2578.8409925196261</v>
      </c>
      <c r="M161" s="1286">
        <v>4496.4407049060146</v>
      </c>
      <c r="N161" s="1286">
        <v>3914.3122207887182</v>
      </c>
      <c r="O161" s="1286">
        <v>3425.0231931901285</v>
      </c>
      <c r="P161" s="1286">
        <v>4473.4996809013919</v>
      </c>
      <c r="Q161" s="1286">
        <v>3914.3122207887182</v>
      </c>
      <c r="R161" s="1286">
        <v>4543.0359453713618</v>
      </c>
      <c r="S161" s="1286">
        <v>3967.4476807994247</v>
      </c>
      <c r="T161" s="1286">
        <v>4332.0451455369212</v>
      </c>
      <c r="U161" s="1286">
        <v>4535.2031247758941</v>
      </c>
      <c r="V161" s="1286">
        <v>4614.7680918772257</v>
      </c>
      <c r="W161" s="1286">
        <v>4602.6558396675746</v>
      </c>
      <c r="X161" s="1286">
        <v>4519.6182343127466</v>
      </c>
      <c r="Y161" s="1286">
        <v>4384.0296872833642</v>
      </c>
      <c r="Z161" s="1409"/>
      <c r="AA161" s="1410">
        <f t="shared" ca="1" si="4"/>
        <v>2516.6312602171565</v>
      </c>
      <c r="AB161" s="1412"/>
      <c r="AC161" s="1287"/>
      <c r="AD161" s="1038"/>
      <c r="AE161" s="1038"/>
      <c r="AF161" s="1038"/>
      <c r="AG161" s="1038"/>
      <c r="AH161" s="1038"/>
      <c r="AI161" s="1038"/>
      <c r="AJ161" s="1038"/>
      <c r="AK161" s="1038"/>
      <c r="AL161" s="1038"/>
      <c r="AM161" s="1038"/>
      <c r="AN161" s="1038"/>
      <c r="AO161" s="1038"/>
      <c r="AP161" s="1038"/>
      <c r="AQ161" s="1038"/>
      <c r="AR161" s="1038"/>
      <c r="AS161" s="1038"/>
      <c r="AT161" s="1038"/>
      <c r="AU161" s="1038"/>
      <c r="AV161" s="1038"/>
      <c r="AW161" s="1038"/>
      <c r="AX161" s="1038"/>
      <c r="AY161" s="1038"/>
      <c r="AZ161" s="1038"/>
      <c r="BA161" s="1038"/>
      <c r="BB161" s="1038"/>
      <c r="BC161" s="1038"/>
      <c r="BD161" s="1287"/>
      <c r="BE161" s="1287"/>
    </row>
    <row r="162" spans="1:57" x14ac:dyDescent="0.25">
      <c r="A162" s="1287"/>
      <c r="B162" s="1346"/>
      <c r="C162" s="1506">
        <v>0</v>
      </c>
      <c r="D162" s="1286">
        <v>0</v>
      </c>
      <c r="E162" s="1286">
        <v>0</v>
      </c>
      <c r="F162" s="1286">
        <v>0</v>
      </c>
      <c r="G162" s="1286">
        <v>0</v>
      </c>
      <c r="H162" s="1286">
        <v>4402.6761091644585</v>
      </c>
      <c r="I162" s="1286">
        <v>3857.2118124538179</v>
      </c>
      <c r="J162" s="1286">
        <v>3352.8071908252418</v>
      </c>
      <c r="K162" s="1286">
        <v>0</v>
      </c>
      <c r="L162" s="1286">
        <v>0</v>
      </c>
      <c r="M162" s="1286">
        <v>4470.4095877669888</v>
      </c>
      <c r="N162" s="1286">
        <v>0</v>
      </c>
      <c r="O162" s="1286">
        <v>5107.7922047728289</v>
      </c>
      <c r="P162" s="1286">
        <v>5930.1351674460057</v>
      </c>
      <c r="Q162" s="1286">
        <v>5188.8682715152554</v>
      </c>
      <c r="R162" s="1286">
        <v>5645.9188446539047</v>
      </c>
      <c r="S162" s="1286">
        <v>986.11976200742401</v>
      </c>
      <c r="T162" s="1286">
        <v>6029.7520625513234</v>
      </c>
      <c r="U162" s="1286">
        <v>6011.9301352728471</v>
      </c>
      <c r="V162" s="1286">
        <v>5898.9239297226059</v>
      </c>
      <c r="W162" s="1286">
        <v>5720.0122678120924</v>
      </c>
      <c r="X162" s="1286">
        <v>5991.2705815433865</v>
      </c>
      <c r="Y162" s="1286">
        <v>6102.1090873019393</v>
      </c>
      <c r="Z162" s="1409"/>
      <c r="AA162" s="1410">
        <f t="shared" ca="1" si="4"/>
        <v>2502.0617979624949</v>
      </c>
      <c r="AB162" s="1412"/>
      <c r="AC162" s="1287"/>
      <c r="AD162" s="1038"/>
      <c r="AE162" s="1038"/>
      <c r="AF162" s="1038"/>
      <c r="AG162" s="1038"/>
      <c r="AH162" s="1038"/>
      <c r="AI162" s="1038"/>
      <c r="AJ162" s="1038"/>
      <c r="AK162" s="1038"/>
      <c r="AL162" s="1038"/>
      <c r="AM162" s="1038"/>
      <c r="AN162" s="1038"/>
      <c r="AO162" s="1038"/>
      <c r="AP162" s="1038"/>
      <c r="AQ162" s="1038"/>
      <c r="AR162" s="1038"/>
      <c r="AS162" s="1038"/>
      <c r="AT162" s="1038"/>
      <c r="AU162" s="1038"/>
      <c r="AV162" s="1038"/>
      <c r="AW162" s="1038"/>
      <c r="AX162" s="1038"/>
      <c r="AY162" s="1038"/>
      <c r="AZ162" s="1038"/>
      <c r="BA162" s="1038"/>
      <c r="BB162" s="1038"/>
      <c r="BC162" s="1038"/>
      <c r="BD162" s="1287"/>
      <c r="BE162" s="1287"/>
    </row>
    <row r="163" spans="1:57" x14ac:dyDescent="0.25">
      <c r="A163" s="1287"/>
      <c r="B163" s="1346"/>
      <c r="C163" s="1506">
        <v>0</v>
      </c>
      <c r="D163" s="1286">
        <v>0</v>
      </c>
      <c r="E163" s="1286">
        <v>0</v>
      </c>
      <c r="F163" s="1286">
        <v>0</v>
      </c>
      <c r="G163" s="1286">
        <v>0</v>
      </c>
      <c r="H163" s="1286">
        <v>0</v>
      </c>
      <c r="I163" s="1286">
        <v>0</v>
      </c>
      <c r="J163" s="1286">
        <v>0</v>
      </c>
      <c r="K163" s="1286">
        <v>0</v>
      </c>
      <c r="L163" s="1286">
        <v>0</v>
      </c>
      <c r="M163" s="1286">
        <v>2223.9908120138257</v>
      </c>
      <c r="N163" s="1286">
        <v>1936.0634301013215</v>
      </c>
      <c r="O163" s="1286">
        <v>1694.0555013386563</v>
      </c>
      <c r="P163" s="1286">
        <v>1475.095946743864</v>
      </c>
      <c r="Q163" s="1286">
        <v>1290.708953400881</v>
      </c>
      <c r="R163" s="1286">
        <v>2247.0373489258859</v>
      </c>
      <c r="S163" s="1286">
        <v>1962.3448341298463</v>
      </c>
      <c r="T163" s="1286">
        <v>1714.1431159790357</v>
      </c>
      <c r="U163" s="1286">
        <v>2243.1631466001518</v>
      </c>
      <c r="V163" s="1286">
        <v>1956.4430451550195</v>
      </c>
      <c r="W163" s="1286">
        <v>2276.5260280456482</v>
      </c>
      <c r="X163" s="1286">
        <v>1987.0708286034182</v>
      </c>
      <c r="Y163" s="1286">
        <v>2168.3910417134798</v>
      </c>
      <c r="Z163" s="1409"/>
      <c r="AA163" s="1410">
        <f t="shared" ca="1" si="4"/>
        <v>0</v>
      </c>
      <c r="AB163" s="1412"/>
      <c r="AC163" s="1287"/>
      <c r="AD163" s="1038"/>
      <c r="AE163" s="1038"/>
      <c r="AF163" s="1038"/>
      <c r="AG163" s="1038"/>
      <c r="AH163" s="1038"/>
      <c r="AI163" s="1038"/>
      <c r="AJ163" s="1038"/>
      <c r="AK163" s="1038"/>
      <c r="AL163" s="1038"/>
      <c r="AM163" s="1038"/>
      <c r="AN163" s="1038"/>
      <c r="AO163" s="1038"/>
      <c r="AP163" s="1038"/>
      <c r="AQ163" s="1038"/>
      <c r="AR163" s="1038"/>
      <c r="AS163" s="1038"/>
      <c r="AT163" s="1038"/>
      <c r="AU163" s="1038"/>
      <c r="AV163" s="1038"/>
      <c r="AW163" s="1038"/>
      <c r="AX163" s="1038"/>
      <c r="AY163" s="1038"/>
      <c r="AZ163" s="1038"/>
      <c r="BA163" s="1038"/>
      <c r="BB163" s="1038"/>
      <c r="BC163" s="1038"/>
      <c r="BD163" s="1287"/>
      <c r="BE163" s="1287"/>
    </row>
    <row r="164" spans="1:57" x14ac:dyDescent="0.25">
      <c r="A164" s="1287"/>
      <c r="B164" s="1346"/>
      <c r="C164" s="1506">
        <v>0</v>
      </c>
      <c r="D164" s="1286">
        <v>0</v>
      </c>
      <c r="E164" s="1286">
        <v>0</v>
      </c>
      <c r="F164" s="1286">
        <v>0</v>
      </c>
      <c r="G164" s="1286">
        <v>0</v>
      </c>
      <c r="H164" s="1286">
        <v>0</v>
      </c>
      <c r="I164" s="1286">
        <v>0</v>
      </c>
      <c r="J164" s="1286">
        <v>0</v>
      </c>
      <c r="K164" s="1286">
        <v>2897.5638061437712</v>
      </c>
      <c r="L164" s="1286">
        <v>2539.629453620129</v>
      </c>
      <c r="M164" s="1286">
        <v>2214.0359339252409</v>
      </c>
      <c r="N164" s="1286">
        <v>1927.3973531938479</v>
      </c>
      <c r="O164" s="1286">
        <v>1686.4726840446169</v>
      </c>
      <c r="P164" s="1286">
        <v>2936.9864429620538</v>
      </c>
      <c r="Q164" s="1286">
        <v>2569.8631375917971</v>
      </c>
      <c r="R164" s="1286">
        <v>2236.9793114788699</v>
      </c>
      <c r="S164" s="1286">
        <v>2930.3416772539954</v>
      </c>
      <c r="T164" s="1286">
        <v>2559.705575783134</v>
      </c>
      <c r="U164" s="1286">
        <v>2977.4966007960134</v>
      </c>
      <c r="V164" s="1286">
        <v>2596.9143285138161</v>
      </c>
      <c r="W164" s="1286">
        <v>2832.9199941956817</v>
      </c>
      <c r="X164" s="1286">
        <v>2967.2646537142405</v>
      </c>
      <c r="Y164" s="1286">
        <v>3022.159049807954</v>
      </c>
      <c r="Z164" s="1409"/>
      <c r="AA164" s="1410">
        <f t="shared" ca="1" si="4"/>
        <v>0</v>
      </c>
      <c r="AB164" s="1412"/>
      <c r="AC164" s="1287"/>
      <c r="AD164" s="1038"/>
      <c r="AE164" s="1038"/>
      <c r="AF164" s="1038"/>
      <c r="AG164" s="1038"/>
      <c r="AH164" s="1038"/>
      <c r="AI164" s="1038"/>
      <c r="AJ164" s="1038"/>
      <c r="AK164" s="1038"/>
      <c r="AL164" s="1038"/>
      <c r="AM164" s="1038"/>
      <c r="AN164" s="1038"/>
      <c r="AO164" s="1038"/>
      <c r="AP164" s="1038"/>
      <c r="AQ164" s="1038"/>
      <c r="AR164" s="1038"/>
      <c r="AS164" s="1038"/>
      <c r="AT164" s="1038"/>
      <c r="AU164" s="1038"/>
      <c r="AV164" s="1038"/>
      <c r="AW164" s="1038"/>
      <c r="AX164" s="1038"/>
      <c r="AY164" s="1038"/>
      <c r="AZ164" s="1038"/>
      <c r="BA164" s="1038"/>
      <c r="BB164" s="1038"/>
      <c r="BC164" s="1038"/>
      <c r="BD164" s="1287"/>
      <c r="BE164" s="1287"/>
    </row>
    <row r="165" spans="1:57" x14ac:dyDescent="0.25">
      <c r="A165" s="1287"/>
      <c r="B165" s="1346"/>
      <c r="C165" s="1506">
        <v>0</v>
      </c>
      <c r="D165" s="1286">
        <v>0</v>
      </c>
      <c r="E165" s="1286">
        <v>0</v>
      </c>
      <c r="F165" s="1286">
        <v>0</v>
      </c>
      <c r="G165" s="1286">
        <v>0</v>
      </c>
      <c r="H165" s="1286">
        <v>0</v>
      </c>
      <c r="I165" s="1286">
        <v>0</v>
      </c>
      <c r="J165" s="1286">
        <v>3308.0435081952069</v>
      </c>
      <c r="K165" s="1286">
        <v>2886.2124568146101</v>
      </c>
      <c r="L165" s="1286">
        <v>2529.6803297963347</v>
      </c>
      <c r="M165" s="1286">
        <v>2205.3623387968046</v>
      </c>
      <c r="N165" s="1286">
        <v>0</v>
      </c>
      <c r="O165" s="1286">
        <v>3359.7316880107569</v>
      </c>
      <c r="P165" s="1286">
        <v>2925.4806535059652</v>
      </c>
      <c r="Q165" s="1286">
        <v>0</v>
      </c>
      <c r="R165" s="1286">
        <v>3342.3237518034471</v>
      </c>
      <c r="S165" s="1286">
        <v>3891.8158919943608</v>
      </c>
      <c r="T165" s="1286">
        <v>3399.5704036788688</v>
      </c>
      <c r="U165" s="1286">
        <v>3707.290138494629</v>
      </c>
      <c r="V165" s="1286">
        <v>3880.1111825447538</v>
      </c>
      <c r="W165" s="1286">
        <v>3950.5506462698663</v>
      </c>
      <c r="X165" s="1286">
        <v>3940.8536638293413</v>
      </c>
      <c r="Y165" s="1286">
        <v>3870.410904588392</v>
      </c>
      <c r="Z165" s="1409"/>
      <c r="AA165" s="1410">
        <f t="shared" ca="1" si="4"/>
        <v>0</v>
      </c>
      <c r="AB165" s="1412"/>
      <c r="AC165" s="1287"/>
      <c r="AD165" s="1038"/>
      <c r="AE165" s="1038"/>
      <c r="AF165" s="1038"/>
      <c r="AG165" s="1038"/>
      <c r="AH165" s="1038"/>
      <c r="AI165" s="1038"/>
      <c r="AJ165" s="1038"/>
      <c r="AK165" s="1038"/>
      <c r="AL165" s="1038"/>
      <c r="AM165" s="1038"/>
      <c r="AN165" s="1038"/>
      <c r="AO165" s="1038"/>
      <c r="AP165" s="1038"/>
      <c r="AQ165" s="1038"/>
      <c r="AR165" s="1038"/>
      <c r="AS165" s="1038"/>
      <c r="AT165" s="1038"/>
      <c r="AU165" s="1038"/>
      <c r="AV165" s="1038"/>
      <c r="AW165" s="1038"/>
      <c r="AX165" s="1038"/>
      <c r="AY165" s="1038"/>
      <c r="AZ165" s="1038"/>
      <c r="BA165" s="1038"/>
      <c r="BB165" s="1038"/>
      <c r="BC165" s="1038"/>
      <c r="BD165" s="1287"/>
      <c r="BE165" s="1287"/>
    </row>
    <row r="166" spans="1:57" x14ac:dyDescent="0.25">
      <c r="A166" s="1287"/>
      <c r="B166" s="1346"/>
      <c r="C166" s="1506">
        <v>0</v>
      </c>
      <c r="D166" s="1286">
        <v>0</v>
      </c>
      <c r="E166" s="1286">
        <v>0</v>
      </c>
      <c r="F166" s="1286">
        <v>0</v>
      </c>
      <c r="G166" s="1286">
        <v>0</v>
      </c>
      <c r="H166" s="1286">
        <v>0</v>
      </c>
      <c r="I166" s="1286">
        <v>0</v>
      </c>
      <c r="J166" s="1286">
        <v>0</v>
      </c>
      <c r="K166" s="1286">
        <v>2876.2466609874027</v>
      </c>
      <c r="L166" s="1286">
        <v>0</v>
      </c>
      <c r="M166" s="1286">
        <v>0</v>
      </c>
      <c r="N166" s="1286">
        <v>0</v>
      </c>
      <c r="O166" s="1286">
        <v>0</v>
      </c>
      <c r="P166" s="1286">
        <v>4373.0689029298264</v>
      </c>
      <c r="Q166" s="1286">
        <v>1275.4784300211995</v>
      </c>
      <c r="R166" s="1286">
        <v>1110.2610168060182</v>
      </c>
      <c r="S166" s="1286">
        <v>969.59446264054975</v>
      </c>
      <c r="T166" s="1286">
        <v>846.95800886783206</v>
      </c>
      <c r="U166" s="1286">
        <v>4433.3870946943762</v>
      </c>
      <c r="V166" s="1286">
        <v>1288.9045187582647</v>
      </c>
      <c r="W166" s="1286">
        <v>1124.8313713572782</v>
      </c>
      <c r="X166" s="1286">
        <v>1472.7173624987045</v>
      </c>
      <c r="Y166" s="1286">
        <v>1285.6822574613691</v>
      </c>
      <c r="Z166" s="1409"/>
      <c r="AA166" s="1410">
        <f t="shared" ca="1" si="4"/>
        <v>0</v>
      </c>
      <c r="AB166" s="1412"/>
      <c r="AC166" s="1287"/>
      <c r="AD166" s="1038"/>
      <c r="AE166" s="1038"/>
      <c r="AF166" s="1038"/>
      <c r="AG166" s="1038"/>
      <c r="AH166" s="1038"/>
      <c r="AI166" s="1038"/>
      <c r="AJ166" s="1038"/>
      <c r="AK166" s="1038"/>
      <c r="AL166" s="1038"/>
      <c r="AM166" s="1038"/>
      <c r="AN166" s="1038"/>
      <c r="AO166" s="1038"/>
      <c r="AP166" s="1038"/>
      <c r="AQ166" s="1038"/>
      <c r="AR166" s="1038"/>
      <c r="AS166" s="1038"/>
      <c r="AT166" s="1038"/>
      <c r="AU166" s="1038"/>
      <c r="AV166" s="1038"/>
      <c r="AW166" s="1038"/>
      <c r="AX166" s="1038"/>
      <c r="AY166" s="1038"/>
      <c r="AZ166" s="1038"/>
      <c r="BA166" s="1038"/>
      <c r="BB166" s="1038"/>
      <c r="BC166" s="1038"/>
      <c r="BD166" s="1287"/>
      <c r="BE166" s="1287"/>
    </row>
    <row r="167" spans="1:57" x14ac:dyDescent="0.25">
      <c r="A167" s="1287"/>
      <c r="B167" s="1346"/>
      <c r="C167" s="1506">
        <v>0</v>
      </c>
      <c r="D167" s="1286">
        <v>0</v>
      </c>
      <c r="E167" s="1286">
        <v>0</v>
      </c>
      <c r="F167" s="1286">
        <v>0</v>
      </c>
      <c r="G167" s="1286">
        <v>0</v>
      </c>
      <c r="H167" s="1286">
        <v>0</v>
      </c>
      <c r="I167" s="1286">
        <v>0</v>
      </c>
      <c r="J167" s="1286">
        <v>0</v>
      </c>
      <c r="K167" s="1286">
        <v>0</v>
      </c>
      <c r="L167" s="1286">
        <v>0</v>
      </c>
      <c r="M167" s="1286">
        <v>0</v>
      </c>
      <c r="N167" s="1286">
        <v>1907.3850064674864</v>
      </c>
      <c r="O167" s="1286">
        <v>1668.9618806590506</v>
      </c>
      <c r="P167" s="1286">
        <v>1453.2457192133229</v>
      </c>
      <c r="Q167" s="1286">
        <v>1271.5900043116576</v>
      </c>
      <c r="R167" s="1286">
        <v>1106.8762731832046</v>
      </c>
      <c r="S167" s="1286">
        <v>1933.2771106276784</v>
      </c>
      <c r="T167" s="1286">
        <v>1688.7519424850473</v>
      </c>
      <c r="U167" s="1286">
        <v>1473.2904877541964</v>
      </c>
      <c r="V167" s="1286">
        <v>1927.4627433776704</v>
      </c>
      <c r="W167" s="1286">
        <v>1682.1033127902242</v>
      </c>
      <c r="X167" s="1286">
        <v>1957.6368451258509</v>
      </c>
      <c r="Y167" s="1286">
        <v>1709.0169657948679</v>
      </c>
      <c r="Z167" s="1409"/>
      <c r="AA167" s="1410">
        <f t="shared" ca="1" si="4"/>
        <v>0</v>
      </c>
      <c r="AB167" s="1413"/>
      <c r="AC167" s="1287"/>
      <c r="AD167" s="1038"/>
      <c r="AE167" s="1038"/>
      <c r="AF167" s="1038"/>
      <c r="AG167" s="1038"/>
      <c r="AH167" s="1038"/>
      <c r="AI167" s="1038"/>
      <c r="AJ167" s="1038"/>
      <c r="AK167" s="1038"/>
      <c r="AL167" s="1038"/>
      <c r="AM167" s="1038"/>
      <c r="AN167" s="1038"/>
      <c r="AO167" s="1038"/>
      <c r="AP167" s="1038"/>
      <c r="AQ167" s="1038"/>
      <c r="AR167" s="1038"/>
      <c r="AS167" s="1038"/>
      <c r="AT167" s="1038"/>
      <c r="AU167" s="1038"/>
      <c r="AV167" s="1038"/>
      <c r="AW167" s="1038"/>
      <c r="AX167" s="1038"/>
      <c r="AY167" s="1038"/>
      <c r="AZ167" s="1038"/>
      <c r="BA167" s="1038"/>
      <c r="BB167" s="1038"/>
      <c r="BC167" s="1038"/>
      <c r="BD167" s="1287"/>
      <c r="BE167" s="1287"/>
    </row>
    <row r="168" spans="1:57" x14ac:dyDescent="0.25">
      <c r="A168" s="1287"/>
      <c r="B168" s="1346"/>
      <c r="C168" s="1512"/>
      <c r="D168" s="1407"/>
      <c r="E168" s="1407"/>
      <c r="F168" s="1407"/>
      <c r="G168" s="1407"/>
      <c r="H168" s="1407"/>
      <c r="I168" s="1407"/>
      <c r="J168" s="1407"/>
      <c r="K168" s="1407"/>
      <c r="L168" s="1407"/>
      <c r="M168" s="1407"/>
      <c r="N168" s="1407"/>
      <c r="O168" s="1407"/>
      <c r="P168" s="1407"/>
      <c r="Q168" s="1407"/>
      <c r="R168" s="1407"/>
      <c r="S168" s="1407"/>
      <c r="T168" s="1407"/>
      <c r="U168" s="1407"/>
      <c r="V168" s="1407"/>
      <c r="W168" s="1407"/>
      <c r="X168" s="1407"/>
      <c r="Y168" s="1407"/>
      <c r="Z168" s="1409"/>
      <c r="AA168" s="1414"/>
      <c r="AB168" s="1403"/>
      <c r="AC168" s="1287"/>
      <c r="AD168" s="1038"/>
      <c r="AE168" s="1038"/>
      <c r="AF168" s="1038"/>
      <c r="AG168" s="1038"/>
      <c r="AH168" s="1038"/>
      <c r="AI168" s="1038"/>
      <c r="AJ168" s="1038"/>
      <c r="AK168" s="1038"/>
      <c r="AL168" s="1038"/>
      <c r="AM168" s="1038"/>
      <c r="AN168" s="1038"/>
      <c r="AO168" s="1038"/>
      <c r="AP168" s="1038"/>
      <c r="AQ168" s="1038"/>
      <c r="AR168" s="1038"/>
      <c r="AS168" s="1038"/>
      <c r="AT168" s="1038"/>
      <c r="AU168" s="1038"/>
      <c r="AV168" s="1038"/>
      <c r="AW168" s="1038"/>
      <c r="AX168" s="1038"/>
      <c r="AY168" s="1038"/>
      <c r="AZ168" s="1038"/>
      <c r="BA168" s="1038"/>
      <c r="BB168" s="1038"/>
      <c r="BC168" s="1038"/>
      <c r="BD168" s="1287"/>
      <c r="BE168" s="1287"/>
    </row>
    <row r="169" spans="1:57" x14ac:dyDescent="0.25">
      <c r="A169" s="1287"/>
      <c r="B169" s="1340" t="s">
        <v>1292</v>
      </c>
      <c r="C169" s="1513">
        <v>0</v>
      </c>
      <c r="D169" s="1288">
        <v>0</v>
      </c>
      <c r="E169" s="1288">
        <v>0</v>
      </c>
      <c r="F169" s="1288">
        <v>0</v>
      </c>
      <c r="G169" s="1288">
        <v>0</v>
      </c>
      <c r="H169" s="1288">
        <v>0</v>
      </c>
      <c r="I169" s="1288">
        <v>0</v>
      </c>
      <c r="J169" s="1288">
        <v>0</v>
      </c>
      <c r="K169" s="1288">
        <v>0</v>
      </c>
      <c r="L169" s="1288">
        <v>1.6250362711955582E-2</v>
      </c>
      <c r="M169" s="1288">
        <v>1.4166982877089482E-2</v>
      </c>
      <c r="N169" s="1288">
        <v>1.2332864558180575E-2</v>
      </c>
      <c r="O169" s="1288">
        <v>1.0791256488408004E-2</v>
      </c>
      <c r="P169" s="1288">
        <v>9.3964682348042488E-3</v>
      </c>
      <c r="Q169" s="1288">
        <v>1.6443819410907435E-2</v>
      </c>
      <c r="R169" s="1288">
        <v>1.4313790989805435E-2</v>
      </c>
      <c r="S169" s="1288">
        <v>1.2500279009196601E-2</v>
      </c>
      <c r="T169" s="1288">
        <v>1.6378824077267488E-2</v>
      </c>
      <c r="U169" s="1288">
        <v>1.4289112039823014E-2</v>
      </c>
      <c r="V169" s="1288">
        <v>1.6616912246811725E-2</v>
      </c>
      <c r="W169" s="1288">
        <v>1.4501636015918367E-2</v>
      </c>
      <c r="X169" s="1288">
        <v>1.582223173558104E-2</v>
      </c>
      <c r="Y169" s="1288">
        <v>1.6575369966194697E-2</v>
      </c>
      <c r="Z169" s="1409"/>
      <c r="AA169" s="1416">
        <f t="shared" ref="AA169:AA191" ca="1" si="5">FORECAST($C$54,OFFSET(C169:Y169,0,MATCH($C$54,$G$72:$Y$72,1)-1,1,2), OFFSET($G$72:$Y$72,0,MATCH($C$54,$G$72:$Y$72,1)-1,1,2))</f>
        <v>0</v>
      </c>
      <c r="AB169" s="1417" t="e">
        <f ca="1">FORECAST($C$55,OFFSET(AA169:AA191,MATCH($C$55,$B$73:$B$95,1)-1,0,2), OFFSET($B$73:$B$95,MATCH($C$55,$B$73:$B$95,1)-1,0,2))</f>
        <v>#REF!</v>
      </c>
      <c r="AC169" s="1287"/>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287"/>
      <c r="BE169" s="1287"/>
    </row>
    <row r="170" spans="1:57" x14ac:dyDescent="0.25">
      <c r="A170" s="1287"/>
      <c r="B170" s="1346"/>
      <c r="C170" s="1513">
        <v>0</v>
      </c>
      <c r="D170" s="1288">
        <v>0</v>
      </c>
      <c r="E170" s="1288">
        <v>0</v>
      </c>
      <c r="F170" s="1288">
        <v>0</v>
      </c>
      <c r="G170" s="1288">
        <v>0</v>
      </c>
      <c r="H170" s="1288">
        <v>0</v>
      </c>
      <c r="I170" s="1288">
        <v>0</v>
      </c>
      <c r="J170" s="1288">
        <v>2.1250474315634219E-2</v>
      </c>
      <c r="K170" s="1288">
        <v>1.8540682288808379E-2</v>
      </c>
      <c r="L170" s="1288">
        <v>1.6250362711955579E-2</v>
      </c>
      <c r="M170" s="1288">
        <v>1.4166982877089481E-2</v>
      </c>
      <c r="N170" s="1288">
        <v>1.2332864558180574E-2</v>
      </c>
      <c r="O170" s="1288">
        <v>2.1582512976816005E-2</v>
      </c>
      <c r="P170" s="1288">
        <v>1.8792936469608494E-2</v>
      </c>
      <c r="Q170" s="1288">
        <v>1.6443819410907431E-2</v>
      </c>
      <c r="R170" s="1288">
        <v>2.1470686484708151E-2</v>
      </c>
      <c r="S170" s="1288">
        <v>1.87504185137949E-2</v>
      </c>
      <c r="T170" s="1288">
        <v>1.6378824077267484E-2</v>
      </c>
      <c r="U170" s="1288">
        <v>1.905214938643068E-2</v>
      </c>
      <c r="V170" s="1288">
        <v>2.0771140308514655E-2</v>
      </c>
      <c r="W170" s="1288">
        <v>2.175245402387755E-2</v>
      </c>
      <c r="X170" s="1288">
        <v>1.8986678082697241E-2</v>
      </c>
      <c r="Y170" s="1288">
        <v>1.9337931627227141E-2</v>
      </c>
      <c r="Z170" s="1409"/>
      <c r="AA170" s="1416">
        <f t="shared" ca="1" si="5"/>
        <v>0</v>
      </c>
      <c r="AB170" s="1418"/>
      <c r="AC170" s="1287"/>
      <c r="AD170" s="1038"/>
      <c r="AE170" s="1038"/>
      <c r="AF170" s="1038"/>
      <c r="AG170" s="1038"/>
      <c r="AH170" s="1038"/>
      <c r="AI170" s="1038"/>
      <c r="AJ170" s="1038"/>
      <c r="AK170" s="1038"/>
      <c r="AL170" s="1038"/>
      <c r="AM170" s="1038"/>
      <c r="AN170" s="1038"/>
      <c r="AO170" s="1038"/>
      <c r="AP170" s="1038"/>
      <c r="AQ170" s="1038"/>
      <c r="AR170" s="1038"/>
      <c r="AS170" s="1038"/>
      <c r="AT170" s="1038"/>
      <c r="AU170" s="1038"/>
      <c r="AV170" s="1038"/>
      <c r="AW170" s="1038"/>
      <c r="AX170" s="1038"/>
      <c r="AY170" s="1038"/>
      <c r="AZ170" s="1038"/>
      <c r="BA170" s="1038"/>
      <c r="BB170" s="1038"/>
      <c r="BC170" s="1038"/>
      <c r="BD170" s="1287"/>
      <c r="BE170" s="1287"/>
    </row>
    <row r="171" spans="1:57" x14ac:dyDescent="0.25">
      <c r="A171" s="1287"/>
      <c r="B171" s="1346"/>
      <c r="C171" s="1513">
        <v>0</v>
      </c>
      <c r="D171" s="1288">
        <v>0</v>
      </c>
      <c r="E171" s="1288">
        <v>0</v>
      </c>
      <c r="F171" s="1288">
        <v>0</v>
      </c>
      <c r="G171" s="1288">
        <v>0</v>
      </c>
      <c r="H171" s="1288">
        <v>2.7904663242752016E-2</v>
      </c>
      <c r="I171" s="1288">
        <v>2.4447448327720792E-2</v>
      </c>
      <c r="J171" s="1288">
        <v>2.1250474315634225E-2</v>
      </c>
      <c r="K171" s="1288">
        <v>1.8540682288808386E-2</v>
      </c>
      <c r="L171" s="1288">
        <v>1.6250362711955586E-2</v>
      </c>
      <c r="M171" s="1288">
        <v>1.4166982877089484E-2</v>
      </c>
      <c r="N171" s="1288">
        <v>2.4665729116361158E-2</v>
      </c>
      <c r="O171" s="1288">
        <v>2.1582512976816012E-2</v>
      </c>
      <c r="P171" s="1288">
        <v>2.8189404704412748E-2</v>
      </c>
      <c r="Q171" s="1288">
        <v>2.4665729116361154E-2</v>
      </c>
      <c r="R171" s="1288">
        <v>2.1470686484708155E-2</v>
      </c>
      <c r="S171" s="1288">
        <v>2.500055801839321E-2</v>
      </c>
      <c r="T171" s="1288">
        <v>2.7298040128779143E-2</v>
      </c>
      <c r="U171" s="1288">
        <v>2.3815186733038354E-2</v>
      </c>
      <c r="V171" s="1288">
        <v>2.4925368370217589E-2</v>
      </c>
      <c r="W171" s="1288">
        <v>2.5377863027857148E-2</v>
      </c>
      <c r="X171" s="1288">
        <v>2.5315570776929662E-2</v>
      </c>
      <c r="Y171" s="1288">
        <v>2.7625616610324491E-2</v>
      </c>
      <c r="Z171" s="1409"/>
      <c r="AA171" s="1416">
        <f t="shared" ca="1" si="5"/>
        <v>1.5858353000204772E-2</v>
      </c>
      <c r="AB171" s="1418"/>
      <c r="AC171" s="1287"/>
      <c r="AD171" s="1038"/>
      <c r="AE171" s="1038"/>
      <c r="AF171" s="1038"/>
      <c r="AG171" s="1038"/>
      <c r="AH171" s="1038"/>
      <c r="AI171" s="1038"/>
      <c r="AJ171" s="1038"/>
      <c r="AK171" s="1038"/>
      <c r="AL171" s="1038"/>
      <c r="AM171" s="1038"/>
      <c r="AN171" s="1038"/>
      <c r="AO171" s="1038"/>
      <c r="AP171" s="1038"/>
      <c r="AQ171" s="1038"/>
      <c r="AR171" s="1038"/>
      <c r="AS171" s="1038"/>
      <c r="AT171" s="1038"/>
      <c r="AU171" s="1038"/>
      <c r="AV171" s="1038"/>
      <c r="AW171" s="1038"/>
      <c r="AX171" s="1038"/>
      <c r="AY171" s="1038"/>
      <c r="AZ171" s="1038"/>
      <c r="BA171" s="1038"/>
      <c r="BB171" s="1038"/>
      <c r="BC171" s="1038"/>
      <c r="BD171" s="1287"/>
      <c r="BE171" s="1287"/>
    </row>
    <row r="172" spans="1:57" x14ac:dyDescent="0.25">
      <c r="A172" s="1287"/>
      <c r="B172" s="1346"/>
      <c r="C172" s="1513">
        <v>0</v>
      </c>
      <c r="D172" s="1288">
        <v>0</v>
      </c>
      <c r="E172" s="1288">
        <v>0</v>
      </c>
      <c r="F172" s="1288">
        <v>0</v>
      </c>
      <c r="G172" s="1288">
        <v>3.2122810012005225E-2</v>
      </c>
      <c r="H172" s="1288">
        <v>2.7904663242752009E-2</v>
      </c>
      <c r="I172" s="1288">
        <v>2.4447448327720788E-2</v>
      </c>
      <c r="J172" s="1288">
        <v>2.1250474315634222E-2</v>
      </c>
      <c r="K172" s="1288">
        <v>1.8540682288808383E-2</v>
      </c>
      <c r="L172" s="1288">
        <v>3.2500725423911164E-2</v>
      </c>
      <c r="M172" s="1288">
        <v>2.8333965754178965E-2</v>
      </c>
      <c r="N172" s="1288">
        <v>2.4665729116361151E-2</v>
      </c>
      <c r="O172" s="1288">
        <v>3.2373769465224016E-2</v>
      </c>
      <c r="P172" s="1288">
        <v>2.8189404704412748E-2</v>
      </c>
      <c r="Q172" s="1288">
        <v>3.288763882181487E-2</v>
      </c>
      <c r="R172" s="1288">
        <v>3.578447747451359E-2</v>
      </c>
      <c r="S172" s="1288">
        <v>3.1250697522991505E-2</v>
      </c>
      <c r="T172" s="1288">
        <v>3.2757648154534975E-2</v>
      </c>
      <c r="U172" s="1288">
        <v>3.3341261426253703E-2</v>
      </c>
      <c r="V172" s="1288">
        <v>3.323382449362345E-2</v>
      </c>
      <c r="W172" s="1288">
        <v>3.6254090039795919E-2</v>
      </c>
      <c r="X172" s="1288">
        <v>3.4808909818278277E-2</v>
      </c>
      <c r="Y172" s="1288">
        <v>3.5913301593421834E-2</v>
      </c>
      <c r="Z172" s="1409"/>
      <c r="AA172" s="1416">
        <f t="shared" ca="1" si="5"/>
        <v>2.9725617116625441E-2</v>
      </c>
      <c r="AB172" s="1418"/>
      <c r="AC172" s="1287"/>
      <c r="AD172" s="1038"/>
      <c r="AE172" s="1038"/>
      <c r="AF172" s="1038"/>
      <c r="AG172" s="1038"/>
      <c r="AH172" s="1038"/>
      <c r="AI172" s="1038"/>
      <c r="AJ172" s="1038"/>
      <c r="AK172" s="1038"/>
      <c r="AL172" s="1038"/>
      <c r="AM172" s="1038"/>
      <c r="AN172" s="1038"/>
      <c r="AO172" s="1038"/>
      <c r="AP172" s="1038"/>
      <c r="AQ172" s="1038"/>
      <c r="AR172" s="1038"/>
      <c r="AS172" s="1038"/>
      <c r="AT172" s="1038"/>
      <c r="AU172" s="1038"/>
      <c r="AV172" s="1038"/>
      <c r="AW172" s="1038"/>
      <c r="AX172" s="1038"/>
      <c r="AY172" s="1038"/>
      <c r="AZ172" s="1038"/>
      <c r="BA172" s="1038"/>
      <c r="BB172" s="1038"/>
      <c r="BC172" s="1038"/>
      <c r="BD172" s="1287"/>
      <c r="BE172" s="1287"/>
    </row>
    <row r="173" spans="1:57" x14ac:dyDescent="0.25">
      <c r="A173" s="1287"/>
      <c r="B173" s="1346"/>
      <c r="C173" s="1513">
        <v>0</v>
      </c>
      <c r="D173" s="1288">
        <v>0</v>
      </c>
      <c r="E173" s="1288">
        <v>0</v>
      </c>
      <c r="F173" s="1288">
        <v>0</v>
      </c>
      <c r="G173" s="1288">
        <v>3.2122810012005225E-2</v>
      </c>
      <c r="H173" s="1288">
        <v>2.7904663242752009E-2</v>
      </c>
      <c r="I173" s="1288">
        <v>2.4447448327720788E-2</v>
      </c>
      <c r="J173" s="1288">
        <v>0</v>
      </c>
      <c r="K173" s="1288">
        <v>3.7081364577616766E-2</v>
      </c>
      <c r="L173" s="1288">
        <v>3.2500725423911164E-2</v>
      </c>
      <c r="M173" s="1288">
        <v>0</v>
      </c>
      <c r="N173" s="1288">
        <v>3.6998593674541731E-2</v>
      </c>
      <c r="O173" s="1288">
        <v>4.3165025953632016E-2</v>
      </c>
      <c r="P173" s="1288">
        <v>9.3964682348042488E-3</v>
      </c>
      <c r="Q173" s="1288">
        <v>4.1109548527268593E-2</v>
      </c>
      <c r="R173" s="1288">
        <v>4.294137296941631E-2</v>
      </c>
      <c r="S173" s="1288">
        <v>6.2501395045983007E-3</v>
      </c>
      <c r="T173" s="1288">
        <v>5.4596080257558284E-3</v>
      </c>
      <c r="U173" s="1288">
        <v>9.5260746932153417E-3</v>
      </c>
      <c r="V173" s="1288">
        <v>4.5696508678732241E-2</v>
      </c>
      <c r="W173" s="1288">
        <v>4.7130317051734698E-2</v>
      </c>
      <c r="X173" s="1288">
        <v>9.4933390413486224E-3</v>
      </c>
      <c r="Y173" s="1288">
        <v>8.2876849830973483E-3</v>
      </c>
      <c r="Z173" s="1409"/>
      <c r="AA173" s="1416">
        <f t="shared" ca="1" si="5"/>
        <v>2.9725617116625441E-2</v>
      </c>
      <c r="AB173" s="1418"/>
      <c r="AC173" s="1287"/>
      <c r="AD173" s="1038"/>
      <c r="AE173" s="1038"/>
      <c r="AF173" s="1038"/>
      <c r="AG173" s="1038"/>
      <c r="AH173" s="1038"/>
      <c r="AI173" s="1038"/>
      <c r="AJ173" s="1038"/>
      <c r="AK173" s="1038"/>
      <c r="AL173" s="1038"/>
      <c r="AM173" s="1038"/>
      <c r="AN173" s="1038"/>
      <c r="AO173" s="1038"/>
      <c r="AP173" s="1038"/>
      <c r="AQ173" s="1038"/>
      <c r="AR173" s="1038"/>
      <c r="AS173" s="1038"/>
      <c r="AT173" s="1038"/>
      <c r="AU173" s="1038"/>
      <c r="AV173" s="1038"/>
      <c r="AW173" s="1038"/>
      <c r="AX173" s="1038"/>
      <c r="AY173" s="1038"/>
      <c r="AZ173" s="1038"/>
      <c r="BA173" s="1038"/>
      <c r="BB173" s="1038"/>
      <c r="BC173" s="1038"/>
      <c r="BD173" s="1287"/>
      <c r="BE173" s="1287"/>
    </row>
    <row r="174" spans="1:57" x14ac:dyDescent="0.25">
      <c r="A174" s="1287"/>
      <c r="B174" s="1346"/>
      <c r="C174" s="1513">
        <v>0</v>
      </c>
      <c r="D174" s="1288">
        <v>0</v>
      </c>
      <c r="E174" s="1288">
        <v>0</v>
      </c>
      <c r="F174" s="1288">
        <v>0</v>
      </c>
      <c r="G174" s="1288">
        <v>3.2122810012005225E-2</v>
      </c>
      <c r="H174" s="1288">
        <v>0</v>
      </c>
      <c r="I174" s="1288">
        <v>0</v>
      </c>
      <c r="J174" s="1288">
        <v>0</v>
      </c>
      <c r="K174" s="1288">
        <v>0</v>
      </c>
      <c r="L174" s="1288">
        <v>0</v>
      </c>
      <c r="M174" s="1288">
        <v>0</v>
      </c>
      <c r="N174" s="1288">
        <v>1.2332864558180575E-2</v>
      </c>
      <c r="O174" s="1288">
        <v>1.0791256488408004E-2</v>
      </c>
      <c r="P174" s="1288">
        <v>9.3964682348042488E-3</v>
      </c>
      <c r="Q174" s="1288">
        <v>8.2219097054537175E-3</v>
      </c>
      <c r="R174" s="1288">
        <v>7.1568954949027177E-3</v>
      </c>
      <c r="S174" s="1288">
        <v>1.2500279009196601E-2</v>
      </c>
      <c r="T174" s="1288">
        <v>1.0919216051511657E-2</v>
      </c>
      <c r="U174" s="1288">
        <v>9.5260746932153417E-3</v>
      </c>
      <c r="V174" s="1288">
        <v>1.2462684185108791E-2</v>
      </c>
      <c r="W174" s="1288">
        <v>1.0876227011938775E-2</v>
      </c>
      <c r="X174" s="1288">
        <v>1.2657785388464829E-2</v>
      </c>
      <c r="Y174" s="1288">
        <v>1.3812808305162244E-2</v>
      </c>
      <c r="Z174" s="1409"/>
      <c r="AA174" s="1416">
        <f t="shared" ca="1" si="5"/>
        <v>1.3867264116420669E-2</v>
      </c>
      <c r="AB174" s="1418"/>
      <c r="AC174" s="1287"/>
      <c r="AD174" s="1038"/>
      <c r="AE174" s="1038"/>
      <c r="AF174" s="1038"/>
      <c r="AG174" s="1038"/>
      <c r="AH174" s="1038"/>
      <c r="AI174" s="1038"/>
      <c r="AJ174" s="1038"/>
      <c r="AK174" s="1038"/>
      <c r="AL174" s="1038"/>
      <c r="AM174" s="1038"/>
      <c r="AN174" s="1038"/>
      <c r="AO174" s="1038"/>
      <c r="AP174" s="1038"/>
      <c r="AQ174" s="1038"/>
      <c r="AR174" s="1038"/>
      <c r="AS174" s="1038"/>
      <c r="AT174" s="1038"/>
      <c r="AU174" s="1038"/>
      <c r="AV174" s="1038"/>
      <c r="AW174" s="1038"/>
      <c r="AX174" s="1038"/>
      <c r="AY174" s="1038"/>
      <c r="AZ174" s="1038"/>
      <c r="BA174" s="1038"/>
      <c r="BB174" s="1038"/>
      <c r="BC174" s="1038"/>
      <c r="BD174" s="1287"/>
      <c r="BE174" s="1287"/>
    </row>
    <row r="175" spans="1:57" x14ac:dyDescent="0.25">
      <c r="A175" s="1287"/>
      <c r="B175" s="1346"/>
      <c r="C175" s="1513">
        <v>0</v>
      </c>
      <c r="D175" s="1288">
        <v>0</v>
      </c>
      <c r="E175" s="1288">
        <v>0</v>
      </c>
      <c r="F175" s="1288">
        <v>0</v>
      </c>
      <c r="G175" s="1288">
        <v>0</v>
      </c>
      <c r="H175" s="1288">
        <v>0</v>
      </c>
      <c r="I175" s="1288">
        <v>0</v>
      </c>
      <c r="J175" s="1288">
        <v>0</v>
      </c>
      <c r="K175" s="1288">
        <v>0</v>
      </c>
      <c r="L175" s="1288">
        <v>1.6250362711955586E-2</v>
      </c>
      <c r="M175" s="1288">
        <v>1.4166982877089484E-2</v>
      </c>
      <c r="N175" s="1288">
        <v>1.2332864558180579E-2</v>
      </c>
      <c r="O175" s="1288">
        <v>1.0791256488408006E-2</v>
      </c>
      <c r="P175" s="1288">
        <v>9.3964682348042505E-3</v>
      </c>
      <c r="Q175" s="1288">
        <v>1.6443819410907438E-2</v>
      </c>
      <c r="R175" s="1288">
        <v>1.4313790989805437E-2</v>
      </c>
      <c r="S175" s="1288">
        <v>1.2500279009196605E-2</v>
      </c>
      <c r="T175" s="1288">
        <v>1.6378824077267488E-2</v>
      </c>
      <c r="U175" s="1288">
        <v>1.4289112039823014E-2</v>
      </c>
      <c r="V175" s="1288">
        <v>1.6616912246811725E-2</v>
      </c>
      <c r="W175" s="1288">
        <v>1.4501636015918371E-2</v>
      </c>
      <c r="X175" s="1288">
        <v>1.582223173558104E-2</v>
      </c>
      <c r="Y175" s="1288">
        <v>1.6575369966194697E-2</v>
      </c>
      <c r="Z175" s="1409"/>
      <c r="AA175" s="1416">
        <f t="shared" ca="1" si="5"/>
        <v>0</v>
      </c>
      <c r="AB175" s="1418"/>
      <c r="AC175" s="1287"/>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287"/>
      <c r="BE175" s="1287"/>
    </row>
    <row r="176" spans="1:57" x14ac:dyDescent="0.25">
      <c r="A176" s="1287"/>
      <c r="B176" s="1346"/>
      <c r="C176" s="1513">
        <v>0</v>
      </c>
      <c r="D176" s="1288">
        <v>0</v>
      </c>
      <c r="E176" s="1288">
        <v>0</v>
      </c>
      <c r="F176" s="1288">
        <v>0</v>
      </c>
      <c r="G176" s="1288">
        <v>0</v>
      </c>
      <c r="H176" s="1288">
        <v>0</v>
      </c>
      <c r="I176" s="1288">
        <v>0</v>
      </c>
      <c r="J176" s="1288">
        <v>2.1250474315634222E-2</v>
      </c>
      <c r="K176" s="1288">
        <v>1.8540682288808383E-2</v>
      </c>
      <c r="L176" s="1288">
        <v>1.6250362711955582E-2</v>
      </c>
      <c r="M176" s="1288">
        <v>1.4166982877089482E-2</v>
      </c>
      <c r="N176" s="1288">
        <v>1.2332864558180575E-2</v>
      </c>
      <c r="O176" s="1288">
        <v>2.1582512976816008E-2</v>
      </c>
      <c r="P176" s="1288">
        <v>1.8792936469608498E-2</v>
      </c>
      <c r="Q176" s="1288">
        <v>1.6443819410907435E-2</v>
      </c>
      <c r="R176" s="1288">
        <v>2.1470686484708155E-2</v>
      </c>
      <c r="S176" s="1288">
        <v>1.8750418513794904E-2</v>
      </c>
      <c r="T176" s="1288">
        <v>2.1838432103023313E-2</v>
      </c>
      <c r="U176" s="1288">
        <v>1.9052149386430683E-2</v>
      </c>
      <c r="V176" s="1288">
        <v>2.0771140308514652E-2</v>
      </c>
      <c r="W176" s="1288">
        <v>2.1752454023877554E-2</v>
      </c>
      <c r="X176" s="1288">
        <v>2.215112442981345E-2</v>
      </c>
      <c r="Y176" s="1288">
        <v>2.2100493288259592E-2</v>
      </c>
      <c r="Z176" s="1409"/>
      <c r="AA176" s="1416">
        <f t="shared" ca="1" si="5"/>
        <v>0</v>
      </c>
      <c r="AB176" s="1418"/>
      <c r="AC176" s="1287"/>
      <c r="AD176" s="1038"/>
      <c r="AE176" s="1038"/>
      <c r="AF176" s="1038"/>
      <c r="AG176" s="1038"/>
      <c r="AH176" s="1038"/>
      <c r="AI176" s="1038"/>
      <c r="AJ176" s="1038"/>
      <c r="AK176" s="1038"/>
      <c r="AL176" s="1038"/>
      <c r="AM176" s="1038"/>
      <c r="AN176" s="1038"/>
      <c r="AO176" s="1038"/>
      <c r="AP176" s="1038"/>
      <c r="AQ176" s="1038"/>
      <c r="AR176" s="1038"/>
      <c r="AS176" s="1038"/>
      <c r="AT176" s="1038"/>
      <c r="AU176" s="1038"/>
      <c r="AV176" s="1038"/>
      <c r="AW176" s="1038"/>
      <c r="AX176" s="1038"/>
      <c r="AY176" s="1038"/>
      <c r="AZ176" s="1038"/>
      <c r="BA176" s="1038"/>
      <c r="BB176" s="1038"/>
      <c r="BC176" s="1038"/>
      <c r="BD176" s="1287"/>
      <c r="BE176" s="1287"/>
    </row>
    <row r="177" spans="1:57" x14ac:dyDescent="0.25">
      <c r="A177" s="1287"/>
      <c r="B177" s="1346"/>
      <c r="C177" s="1513">
        <v>0</v>
      </c>
      <c r="D177" s="1288">
        <v>0</v>
      </c>
      <c r="E177" s="1288">
        <v>0</v>
      </c>
      <c r="F177" s="1288">
        <v>0</v>
      </c>
      <c r="G177" s="1288">
        <v>0</v>
      </c>
      <c r="H177" s="1288">
        <v>2.7904663242752009E-2</v>
      </c>
      <c r="I177" s="1288">
        <v>2.4447448327720788E-2</v>
      </c>
      <c r="J177" s="1288">
        <v>2.1250474315634222E-2</v>
      </c>
      <c r="K177" s="1288">
        <v>1.8540682288808383E-2</v>
      </c>
      <c r="L177" s="1288">
        <v>1.6250362711955582E-2</v>
      </c>
      <c r="M177" s="1288">
        <v>2.8333965754178965E-2</v>
      </c>
      <c r="N177" s="1288">
        <v>2.4665729116361151E-2</v>
      </c>
      <c r="O177" s="1288">
        <v>2.1582512976816008E-2</v>
      </c>
      <c r="P177" s="1288">
        <v>2.8189404704412748E-2</v>
      </c>
      <c r="Q177" s="1288">
        <v>2.4665729116361154E-2</v>
      </c>
      <c r="R177" s="1288">
        <v>2.8627581979610871E-2</v>
      </c>
      <c r="S177" s="1288">
        <v>2.5000558018393203E-2</v>
      </c>
      <c r="T177" s="1288">
        <v>2.7298040128779143E-2</v>
      </c>
      <c r="U177" s="1288">
        <v>2.8578224079646029E-2</v>
      </c>
      <c r="V177" s="1288">
        <v>2.9079596431920519E-2</v>
      </c>
      <c r="W177" s="1288">
        <v>2.9003272031836735E-2</v>
      </c>
      <c r="X177" s="1288">
        <v>2.8480017124045871E-2</v>
      </c>
      <c r="Y177" s="1288">
        <v>2.7625616610324491E-2</v>
      </c>
      <c r="Z177" s="1409"/>
      <c r="AA177" s="1416">
        <f t="shared" ca="1" si="5"/>
        <v>1.5858353000204772E-2</v>
      </c>
      <c r="AB177" s="1418"/>
      <c r="AC177" s="1287"/>
      <c r="AD177" s="1038"/>
      <c r="AE177" s="1038"/>
      <c r="AF177" s="1038"/>
      <c r="AG177" s="1038"/>
      <c r="AH177" s="1038"/>
      <c r="AI177" s="1038"/>
      <c r="AJ177" s="1038"/>
      <c r="AK177" s="1038"/>
      <c r="AL177" s="1038"/>
      <c r="AM177" s="1038"/>
      <c r="AN177" s="1038"/>
      <c r="AO177" s="1038"/>
      <c r="AP177" s="1038"/>
      <c r="AQ177" s="1038"/>
      <c r="AR177" s="1038"/>
      <c r="AS177" s="1038"/>
      <c r="AT177" s="1038"/>
      <c r="AU177" s="1038"/>
      <c r="AV177" s="1038"/>
      <c r="AW177" s="1038"/>
      <c r="AX177" s="1038"/>
      <c r="AY177" s="1038"/>
      <c r="AZ177" s="1038"/>
      <c r="BA177" s="1038"/>
      <c r="BB177" s="1038"/>
      <c r="BC177" s="1038"/>
      <c r="BD177" s="1287"/>
      <c r="BE177" s="1287"/>
    </row>
    <row r="178" spans="1:57" x14ac:dyDescent="0.25">
      <c r="A178" s="1287"/>
      <c r="B178" s="1346"/>
      <c r="C178" s="1513">
        <v>0</v>
      </c>
      <c r="D178" s="1288">
        <v>0</v>
      </c>
      <c r="E178" s="1288">
        <v>0</v>
      </c>
      <c r="F178" s="1288">
        <v>3.6834155480432652E-2</v>
      </c>
      <c r="G178" s="1288">
        <v>3.2122810012005225E-2</v>
      </c>
      <c r="H178" s="1288">
        <v>2.7904663242752009E-2</v>
      </c>
      <c r="I178" s="1288">
        <v>2.4447448327720788E-2</v>
      </c>
      <c r="J178" s="1288">
        <v>2.1250474315634222E-2</v>
      </c>
      <c r="K178" s="1288">
        <v>3.7081364577616766E-2</v>
      </c>
      <c r="L178" s="1288">
        <v>3.2500725423911164E-2</v>
      </c>
      <c r="M178" s="1288">
        <v>2.8333965754178965E-2</v>
      </c>
      <c r="N178" s="1288">
        <v>3.6998593674541724E-2</v>
      </c>
      <c r="O178" s="1288">
        <v>3.2373769465224009E-2</v>
      </c>
      <c r="P178" s="1288">
        <v>3.7585872939216995E-2</v>
      </c>
      <c r="Q178" s="1288">
        <v>3.288763882181487E-2</v>
      </c>
      <c r="R178" s="1288">
        <v>3.578447747451359E-2</v>
      </c>
      <c r="S178" s="1288">
        <v>3.7500837027589801E-2</v>
      </c>
      <c r="T178" s="1288">
        <v>3.8217256180290801E-2</v>
      </c>
      <c r="U178" s="1288">
        <v>3.8104298772861367E-2</v>
      </c>
      <c r="V178" s="1288">
        <v>3.738805255532638E-2</v>
      </c>
      <c r="W178" s="1288">
        <v>3.6254090039795919E-2</v>
      </c>
      <c r="X178" s="1288">
        <v>3.7973356165394483E-2</v>
      </c>
      <c r="Y178" s="1288">
        <v>3.8675863254454289E-2</v>
      </c>
      <c r="Z178" s="1409"/>
      <c r="AA178" s="1416">
        <f t="shared" ca="1" si="5"/>
        <v>2.9725617116625441E-2</v>
      </c>
      <c r="AB178" s="1418"/>
      <c r="AC178" s="1287"/>
      <c r="AD178" s="1038"/>
      <c r="AE178" s="1038"/>
      <c r="AF178" s="1038"/>
      <c r="AG178" s="1038"/>
      <c r="AH178" s="1038"/>
      <c r="AI178" s="1038"/>
      <c r="AJ178" s="1038"/>
      <c r="AK178" s="1038"/>
      <c r="AL178" s="1038"/>
      <c r="AM178" s="1038"/>
      <c r="AN178" s="1038"/>
      <c r="AO178" s="1038"/>
      <c r="AP178" s="1038"/>
      <c r="AQ178" s="1038"/>
      <c r="AR178" s="1038"/>
      <c r="AS178" s="1038"/>
      <c r="AT178" s="1038"/>
      <c r="AU178" s="1038"/>
      <c r="AV178" s="1038"/>
      <c r="AW178" s="1038"/>
      <c r="AX178" s="1038"/>
      <c r="AY178" s="1038"/>
      <c r="AZ178" s="1038"/>
      <c r="BA178" s="1038"/>
      <c r="BB178" s="1038"/>
      <c r="BC178" s="1038"/>
      <c r="BD178" s="1287"/>
      <c r="BE178" s="1287"/>
    </row>
    <row r="179" spans="1:57" x14ac:dyDescent="0.25">
      <c r="A179" s="1287"/>
      <c r="B179" s="1346"/>
      <c r="C179" s="1513">
        <v>0</v>
      </c>
      <c r="D179" s="1288">
        <v>0</v>
      </c>
      <c r="E179" s="1288">
        <v>4.1856994864128014E-2</v>
      </c>
      <c r="F179" s="1288">
        <v>3.6834155480432652E-2</v>
      </c>
      <c r="G179" s="1288">
        <v>3.2122810012005225E-2</v>
      </c>
      <c r="H179" s="1288">
        <v>2.7904663242752009E-2</v>
      </c>
      <c r="I179" s="1288">
        <v>0</v>
      </c>
      <c r="J179" s="1288">
        <v>0</v>
      </c>
      <c r="K179" s="1288">
        <v>3.7081364577616766E-2</v>
      </c>
      <c r="L179" s="1288">
        <v>0</v>
      </c>
      <c r="M179" s="1288">
        <v>0</v>
      </c>
      <c r="N179" s="1288">
        <v>0</v>
      </c>
      <c r="O179" s="1288">
        <v>0</v>
      </c>
      <c r="P179" s="1288">
        <v>0</v>
      </c>
      <c r="Q179" s="1288">
        <v>0</v>
      </c>
      <c r="R179" s="1288">
        <v>0</v>
      </c>
      <c r="S179" s="1288">
        <v>6.2501395045983007E-3</v>
      </c>
      <c r="T179" s="1288">
        <v>5.4596080257558284E-3</v>
      </c>
      <c r="U179" s="1288">
        <v>4.7630373466076709E-3</v>
      </c>
      <c r="V179" s="1288">
        <v>4.1542280617029312E-3</v>
      </c>
      <c r="W179" s="1288">
        <v>3.6254090039795918E-3</v>
      </c>
      <c r="X179" s="1288">
        <v>3.1644463471162073E-3</v>
      </c>
      <c r="Y179" s="1288">
        <v>5.525123322064898E-3</v>
      </c>
      <c r="Z179" s="1409"/>
      <c r="AA179" s="1416">
        <f t="shared" ca="1" si="5"/>
        <v>2.9725617116625441E-2</v>
      </c>
      <c r="AB179" s="1418"/>
      <c r="AC179" s="1287"/>
      <c r="AD179" s="1038"/>
      <c r="AE179" s="1038"/>
      <c r="AF179" s="1038"/>
      <c r="AG179" s="1038"/>
      <c r="AH179" s="1038"/>
      <c r="AI179" s="1038"/>
      <c r="AJ179" s="1038"/>
      <c r="AK179" s="1038"/>
      <c r="AL179" s="1038"/>
      <c r="AM179" s="1038"/>
      <c r="AN179" s="1038"/>
      <c r="AO179" s="1038"/>
      <c r="AP179" s="1038"/>
      <c r="AQ179" s="1038"/>
      <c r="AR179" s="1038"/>
      <c r="AS179" s="1038"/>
      <c r="AT179" s="1038"/>
      <c r="AU179" s="1038"/>
      <c r="AV179" s="1038"/>
      <c r="AW179" s="1038"/>
      <c r="AX179" s="1038"/>
      <c r="AY179" s="1038"/>
      <c r="AZ179" s="1038"/>
      <c r="BA179" s="1038"/>
      <c r="BB179" s="1038"/>
      <c r="BC179" s="1038"/>
      <c r="BD179" s="1287"/>
      <c r="BE179" s="1287"/>
    </row>
    <row r="180" spans="1:57" x14ac:dyDescent="0.25">
      <c r="A180" s="1287"/>
      <c r="B180" s="1346"/>
      <c r="C180" s="1513">
        <v>0</v>
      </c>
      <c r="D180" s="1288">
        <v>0</v>
      </c>
      <c r="E180" s="1288">
        <v>0</v>
      </c>
      <c r="F180" s="1288">
        <v>3.6834155480432659E-2</v>
      </c>
      <c r="G180" s="1288">
        <v>0</v>
      </c>
      <c r="H180" s="1288">
        <v>0</v>
      </c>
      <c r="I180" s="1288">
        <v>0</v>
      </c>
      <c r="J180" s="1288">
        <v>0</v>
      </c>
      <c r="K180" s="1288">
        <v>0</v>
      </c>
      <c r="L180" s="1288">
        <v>0</v>
      </c>
      <c r="M180" s="1288">
        <v>0</v>
      </c>
      <c r="N180" s="1288">
        <v>0</v>
      </c>
      <c r="O180" s="1288">
        <v>0</v>
      </c>
      <c r="P180" s="1288">
        <v>0</v>
      </c>
      <c r="Q180" s="1288">
        <v>0</v>
      </c>
      <c r="R180" s="1288">
        <v>7.1568954949027186E-3</v>
      </c>
      <c r="S180" s="1288">
        <v>6.2501395045983024E-3</v>
      </c>
      <c r="T180" s="1288">
        <v>5.4596080257558292E-3</v>
      </c>
      <c r="U180" s="1288">
        <v>4.7630373466076717E-3</v>
      </c>
      <c r="V180" s="1288">
        <v>4.1542280617029312E-3</v>
      </c>
      <c r="W180" s="1288">
        <v>7.2508180079591854E-3</v>
      </c>
      <c r="X180" s="1288">
        <v>6.3288926942324155E-3</v>
      </c>
      <c r="Y180" s="1288">
        <v>5.5251233220648989E-3</v>
      </c>
      <c r="Z180" s="1409"/>
      <c r="AA180" s="1416">
        <f t="shared" ca="1" si="5"/>
        <v>0</v>
      </c>
      <c r="AB180" s="1418"/>
      <c r="AC180" s="1287"/>
      <c r="AD180" s="1038"/>
      <c r="AE180" s="1038"/>
      <c r="AF180" s="1038"/>
      <c r="AG180" s="1038"/>
      <c r="AH180" s="1038"/>
      <c r="AI180" s="1038"/>
      <c r="AJ180" s="1038"/>
      <c r="AK180" s="1038"/>
      <c r="AL180" s="1038"/>
      <c r="AM180" s="1038"/>
      <c r="AN180" s="1038"/>
      <c r="AO180" s="1038"/>
      <c r="AP180" s="1038"/>
      <c r="AQ180" s="1038"/>
      <c r="AR180" s="1038"/>
      <c r="AS180" s="1038"/>
      <c r="AT180" s="1038"/>
      <c r="AU180" s="1038"/>
      <c r="AV180" s="1038"/>
      <c r="AW180" s="1038"/>
      <c r="AX180" s="1038"/>
      <c r="AY180" s="1038"/>
      <c r="AZ180" s="1038"/>
      <c r="BA180" s="1038"/>
      <c r="BB180" s="1038"/>
      <c r="BC180" s="1038"/>
      <c r="BD180" s="1287"/>
      <c r="BE180" s="1287"/>
    </row>
    <row r="181" spans="1:57" x14ac:dyDescent="0.25">
      <c r="A181" s="1287"/>
      <c r="B181" s="1346"/>
      <c r="C181" s="1513">
        <v>0</v>
      </c>
      <c r="D181" s="1288">
        <v>0</v>
      </c>
      <c r="E181" s="1288">
        <v>0</v>
      </c>
      <c r="F181" s="1288">
        <v>0</v>
      </c>
      <c r="G181" s="1288">
        <v>0</v>
      </c>
      <c r="H181" s="1288">
        <v>0</v>
      </c>
      <c r="I181" s="1288">
        <v>0</v>
      </c>
      <c r="J181" s="1288">
        <v>0</v>
      </c>
      <c r="K181" s="1288">
        <v>0</v>
      </c>
      <c r="L181" s="1288">
        <v>0</v>
      </c>
      <c r="M181" s="1288">
        <v>0</v>
      </c>
      <c r="N181" s="1288">
        <v>0</v>
      </c>
      <c r="O181" s="1288">
        <v>0</v>
      </c>
      <c r="P181" s="1288">
        <v>9.3964682348042471E-3</v>
      </c>
      <c r="Q181" s="1288">
        <v>8.2219097054537157E-3</v>
      </c>
      <c r="R181" s="1288">
        <v>7.1568954949027168E-3</v>
      </c>
      <c r="S181" s="1288">
        <v>6.2501395045982998E-3</v>
      </c>
      <c r="T181" s="1288">
        <v>5.4596080257558275E-3</v>
      </c>
      <c r="U181" s="1288">
        <v>9.52607469321534E-3</v>
      </c>
      <c r="V181" s="1288">
        <v>8.3084561234058607E-3</v>
      </c>
      <c r="W181" s="1288">
        <v>7.2508180079591828E-3</v>
      </c>
      <c r="X181" s="1288">
        <v>9.4933390413486207E-3</v>
      </c>
      <c r="Y181" s="1288">
        <v>8.2876849830973466E-3</v>
      </c>
      <c r="Z181" s="1409"/>
      <c r="AA181" s="1416">
        <f t="shared" ca="1" si="5"/>
        <v>0</v>
      </c>
      <c r="AB181" s="1418"/>
      <c r="AC181" s="1287"/>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287"/>
      <c r="BE181" s="1287"/>
    </row>
    <row r="182" spans="1:57" x14ac:dyDescent="0.25">
      <c r="A182" s="1287"/>
      <c r="B182" s="1346"/>
      <c r="C182" s="1513">
        <v>0</v>
      </c>
      <c r="D182" s="1288">
        <v>0</v>
      </c>
      <c r="E182" s="1288">
        <v>0</v>
      </c>
      <c r="F182" s="1288">
        <v>0</v>
      </c>
      <c r="G182" s="1288">
        <v>0</v>
      </c>
      <c r="H182" s="1288">
        <v>0</v>
      </c>
      <c r="I182" s="1288">
        <v>0</v>
      </c>
      <c r="J182" s="1288">
        <v>0</v>
      </c>
      <c r="K182" s="1288">
        <v>0</v>
      </c>
      <c r="L182" s="1288">
        <v>0</v>
      </c>
      <c r="M182" s="1288">
        <v>0</v>
      </c>
      <c r="N182" s="1288">
        <v>1.2332864558180575E-2</v>
      </c>
      <c r="O182" s="1288">
        <v>1.0791256488408004E-2</v>
      </c>
      <c r="P182" s="1288">
        <v>9.3964682348042488E-3</v>
      </c>
      <c r="Q182" s="1288">
        <v>8.2219097054537175E-3</v>
      </c>
      <c r="R182" s="1288">
        <v>7.1568954949027177E-3</v>
      </c>
      <c r="S182" s="1288">
        <v>1.2500279009196601E-2</v>
      </c>
      <c r="T182" s="1288">
        <v>1.0919216051511657E-2</v>
      </c>
      <c r="U182" s="1288">
        <v>9.5260746932153417E-3</v>
      </c>
      <c r="V182" s="1288">
        <v>1.2462684185108791E-2</v>
      </c>
      <c r="W182" s="1288">
        <v>1.0876227011938775E-2</v>
      </c>
      <c r="X182" s="1288">
        <v>1.2657785388464829E-2</v>
      </c>
      <c r="Y182" s="1288">
        <v>1.1050246644129796E-2</v>
      </c>
      <c r="Z182" s="1409"/>
      <c r="AA182" s="1416">
        <f t="shared" ca="1" si="5"/>
        <v>0</v>
      </c>
      <c r="AB182" s="1418"/>
      <c r="AC182" s="1287"/>
      <c r="AD182" s="1038"/>
      <c r="AE182" s="1038"/>
      <c r="AF182" s="1038"/>
      <c r="AG182" s="1038"/>
      <c r="AH182" s="1038"/>
      <c r="AI182" s="1038"/>
      <c r="AJ182" s="1038"/>
      <c r="AK182" s="1038"/>
      <c r="AL182" s="1038"/>
      <c r="AM182" s="1038"/>
      <c r="AN182" s="1038"/>
      <c r="AO182" s="1038"/>
      <c r="AP182" s="1038"/>
      <c r="AQ182" s="1038"/>
      <c r="AR182" s="1038"/>
      <c r="AS182" s="1038"/>
      <c r="AT182" s="1038"/>
      <c r="AU182" s="1038"/>
      <c r="AV182" s="1038"/>
      <c r="AW182" s="1038"/>
      <c r="AX182" s="1038"/>
      <c r="AY182" s="1038"/>
      <c r="AZ182" s="1038"/>
      <c r="BA182" s="1038"/>
      <c r="BB182" s="1038"/>
      <c r="BC182" s="1038"/>
      <c r="BD182" s="1287"/>
      <c r="BE182" s="1287"/>
    </row>
    <row r="183" spans="1:57" x14ac:dyDescent="0.25">
      <c r="A183" s="1287"/>
      <c r="B183" s="1346"/>
      <c r="C183" s="1513">
        <v>0</v>
      </c>
      <c r="D183" s="1288">
        <v>0</v>
      </c>
      <c r="E183" s="1288">
        <v>0</v>
      </c>
      <c r="F183" s="1288">
        <v>0</v>
      </c>
      <c r="G183" s="1288">
        <v>0</v>
      </c>
      <c r="H183" s="1288">
        <v>0</v>
      </c>
      <c r="I183" s="1288">
        <v>0</v>
      </c>
      <c r="J183" s="1288">
        <v>0</v>
      </c>
      <c r="K183" s="1288">
        <v>0</v>
      </c>
      <c r="L183" s="1288">
        <v>1.6250362711955586E-2</v>
      </c>
      <c r="M183" s="1288">
        <v>1.4166982877089484E-2</v>
      </c>
      <c r="N183" s="1288">
        <v>1.2332864558180579E-2</v>
      </c>
      <c r="O183" s="1288">
        <v>1.0791256488408006E-2</v>
      </c>
      <c r="P183" s="1288">
        <v>9.3964682348042505E-3</v>
      </c>
      <c r="Q183" s="1288">
        <v>1.6443819410907438E-2</v>
      </c>
      <c r="R183" s="1288">
        <v>1.4313790989805437E-2</v>
      </c>
      <c r="S183" s="1288">
        <v>1.2500279009196605E-2</v>
      </c>
      <c r="T183" s="1288">
        <v>1.6378824077267491E-2</v>
      </c>
      <c r="U183" s="1288">
        <v>1.4289112039823016E-2</v>
      </c>
      <c r="V183" s="1288">
        <v>1.6616912246811725E-2</v>
      </c>
      <c r="W183" s="1288">
        <v>1.4501636015918371E-2</v>
      </c>
      <c r="X183" s="1288">
        <v>1.582223173558104E-2</v>
      </c>
      <c r="Y183" s="1288">
        <v>1.65753699661947E-2</v>
      </c>
      <c r="Z183" s="1409"/>
      <c r="AA183" s="1416">
        <f t="shared" ca="1" si="5"/>
        <v>0</v>
      </c>
      <c r="AB183" s="1418"/>
      <c r="AC183" s="1287"/>
      <c r="AD183" s="1038"/>
      <c r="AE183" s="1038"/>
      <c r="AF183" s="1038"/>
      <c r="AG183" s="1038"/>
      <c r="AH183" s="1038"/>
      <c r="AI183" s="1038"/>
      <c r="AJ183" s="1038"/>
      <c r="AK183" s="1038"/>
      <c r="AL183" s="1038"/>
      <c r="AM183" s="1038"/>
      <c r="AN183" s="1038"/>
      <c r="AO183" s="1038"/>
      <c r="AP183" s="1038"/>
      <c r="AQ183" s="1038"/>
      <c r="AR183" s="1038"/>
      <c r="AS183" s="1038"/>
      <c r="AT183" s="1038"/>
      <c r="AU183" s="1038"/>
      <c r="AV183" s="1038"/>
      <c r="AW183" s="1038"/>
      <c r="AX183" s="1038"/>
      <c r="AY183" s="1038"/>
      <c r="AZ183" s="1038"/>
      <c r="BA183" s="1038"/>
      <c r="BB183" s="1038"/>
      <c r="BC183" s="1038"/>
      <c r="BD183" s="1287"/>
      <c r="BE183" s="1287"/>
    </row>
    <row r="184" spans="1:57" x14ac:dyDescent="0.25">
      <c r="A184" s="1287"/>
      <c r="B184" s="1346"/>
      <c r="C184" s="1513">
        <v>0</v>
      </c>
      <c r="D184" s="1288">
        <v>0</v>
      </c>
      <c r="E184" s="1288">
        <v>0</v>
      </c>
      <c r="F184" s="1288">
        <v>0</v>
      </c>
      <c r="G184" s="1288">
        <v>0</v>
      </c>
      <c r="H184" s="1288">
        <v>0</v>
      </c>
      <c r="I184" s="1288">
        <v>0</v>
      </c>
      <c r="J184" s="1288">
        <v>2.1250474315634225E-2</v>
      </c>
      <c r="K184" s="1288">
        <v>1.8540682288808386E-2</v>
      </c>
      <c r="L184" s="1288">
        <v>1.6250362711955586E-2</v>
      </c>
      <c r="M184" s="1288">
        <v>1.4166982877089484E-2</v>
      </c>
      <c r="N184" s="1288">
        <v>1.2332864558180579E-2</v>
      </c>
      <c r="O184" s="1288">
        <v>2.1582512976816012E-2</v>
      </c>
      <c r="P184" s="1288">
        <v>1.8792936469608501E-2</v>
      </c>
      <c r="Q184" s="1288">
        <v>1.6443819410907438E-2</v>
      </c>
      <c r="R184" s="1288">
        <v>2.1470686484708155E-2</v>
      </c>
      <c r="S184" s="1288">
        <v>1.8750418513794904E-2</v>
      </c>
      <c r="T184" s="1288">
        <v>2.1838432103023317E-2</v>
      </c>
      <c r="U184" s="1288">
        <v>1.9052149386430687E-2</v>
      </c>
      <c r="V184" s="1288">
        <v>2.0771140308514659E-2</v>
      </c>
      <c r="W184" s="1288">
        <v>2.1752454023877554E-2</v>
      </c>
      <c r="X184" s="1288">
        <v>2.2151124429813453E-2</v>
      </c>
      <c r="Y184" s="1288">
        <v>2.2100493288259596E-2</v>
      </c>
      <c r="Z184" s="1409"/>
      <c r="AA184" s="1416">
        <f t="shared" ca="1" si="5"/>
        <v>0</v>
      </c>
      <c r="AB184" s="1418"/>
      <c r="AC184" s="1287"/>
      <c r="AD184" s="1038"/>
      <c r="AE184" s="1038"/>
      <c r="AF184" s="1038"/>
      <c r="AG184" s="1038"/>
      <c r="AH184" s="1038"/>
      <c r="AI184" s="1038"/>
      <c r="AJ184" s="1038"/>
      <c r="AK184" s="1038"/>
      <c r="AL184" s="1038"/>
      <c r="AM184" s="1038"/>
      <c r="AN184" s="1038"/>
      <c r="AO184" s="1038"/>
      <c r="AP184" s="1038"/>
      <c r="AQ184" s="1038"/>
      <c r="AR184" s="1038"/>
      <c r="AS184" s="1038"/>
      <c r="AT184" s="1038"/>
      <c r="AU184" s="1038"/>
      <c r="AV184" s="1038"/>
      <c r="AW184" s="1038"/>
      <c r="AX184" s="1038"/>
      <c r="AY184" s="1038"/>
      <c r="AZ184" s="1038"/>
      <c r="BA184" s="1038"/>
      <c r="BB184" s="1038"/>
      <c r="BC184" s="1038"/>
      <c r="BD184" s="1287"/>
      <c r="BE184" s="1287"/>
    </row>
    <row r="185" spans="1:57" x14ac:dyDescent="0.25">
      <c r="A185" s="1287"/>
      <c r="B185" s="1346"/>
      <c r="C185" s="1514">
        <v>0</v>
      </c>
      <c r="D185" s="1290">
        <v>0</v>
      </c>
      <c r="E185" s="1290">
        <v>0</v>
      </c>
      <c r="F185" s="1290">
        <v>0</v>
      </c>
      <c r="G185" s="1290">
        <v>0</v>
      </c>
      <c r="H185" s="1288">
        <v>2.7904663242752016E-2</v>
      </c>
      <c r="I185" s="1288">
        <v>2.4447448327720792E-2</v>
      </c>
      <c r="J185" s="1288">
        <v>2.1250474315634225E-2</v>
      </c>
      <c r="K185" s="1288">
        <v>1.8540682288808386E-2</v>
      </c>
      <c r="L185" s="1288">
        <v>1.6250362711955586E-2</v>
      </c>
      <c r="M185" s="1288">
        <v>2.8333965754178968E-2</v>
      </c>
      <c r="N185" s="1288">
        <v>2.4665729116361158E-2</v>
      </c>
      <c r="O185" s="1288">
        <v>2.1582512976816012E-2</v>
      </c>
      <c r="P185" s="1288">
        <v>2.8189404704412748E-2</v>
      </c>
      <c r="Q185" s="1288">
        <v>2.4665729116361154E-2</v>
      </c>
      <c r="R185" s="1288">
        <v>2.8627581979610874E-2</v>
      </c>
      <c r="S185" s="1288">
        <v>2.500055801839321E-2</v>
      </c>
      <c r="T185" s="1288">
        <v>2.7298040128779146E-2</v>
      </c>
      <c r="U185" s="1288">
        <v>2.8578224079646029E-2</v>
      </c>
      <c r="V185" s="1288">
        <v>2.9079596431920519E-2</v>
      </c>
      <c r="W185" s="1288">
        <v>2.9003272031836742E-2</v>
      </c>
      <c r="X185" s="1288">
        <v>2.8480017124045871E-2</v>
      </c>
      <c r="Y185" s="1288">
        <v>2.7625616610324494E-2</v>
      </c>
      <c r="Z185" s="1409"/>
      <c r="AA185" s="1416">
        <f t="shared" ca="1" si="5"/>
        <v>1.5858353000204772E-2</v>
      </c>
      <c r="AB185" s="1418"/>
      <c r="AC185" s="1287"/>
      <c r="AD185" s="1038"/>
      <c r="AE185" s="1038"/>
      <c r="AF185" s="1038"/>
      <c r="AG185" s="1038"/>
      <c r="AH185" s="1038"/>
      <c r="AI185" s="1038"/>
      <c r="AJ185" s="1038"/>
      <c r="AK185" s="1038"/>
      <c r="AL185" s="1038"/>
      <c r="AM185" s="1038"/>
      <c r="AN185" s="1038"/>
      <c r="AO185" s="1038"/>
      <c r="AP185" s="1038"/>
      <c r="AQ185" s="1038"/>
      <c r="AR185" s="1038"/>
      <c r="AS185" s="1038"/>
      <c r="AT185" s="1038"/>
      <c r="AU185" s="1038"/>
      <c r="AV185" s="1038"/>
      <c r="AW185" s="1038"/>
      <c r="AX185" s="1038"/>
      <c r="AY185" s="1038"/>
      <c r="AZ185" s="1038"/>
      <c r="BA185" s="1038"/>
      <c r="BB185" s="1038"/>
      <c r="BC185" s="1038"/>
      <c r="BD185" s="1287"/>
      <c r="BE185" s="1287"/>
    </row>
    <row r="186" spans="1:57" x14ac:dyDescent="0.25">
      <c r="A186" s="1287"/>
      <c r="B186" s="1346"/>
      <c r="C186" s="1513">
        <v>0</v>
      </c>
      <c r="D186" s="1288">
        <v>0</v>
      </c>
      <c r="E186" s="1288">
        <v>0</v>
      </c>
      <c r="F186" s="1288">
        <v>0</v>
      </c>
      <c r="G186" s="1288">
        <v>0</v>
      </c>
      <c r="H186" s="1288">
        <v>2.7904663242752016E-2</v>
      </c>
      <c r="I186" s="1288">
        <v>2.4447448327720792E-2</v>
      </c>
      <c r="J186" s="1288">
        <v>2.1250474315634225E-2</v>
      </c>
      <c r="K186" s="1288">
        <v>0</v>
      </c>
      <c r="L186" s="1288">
        <v>0</v>
      </c>
      <c r="M186" s="1288">
        <v>2.8333965754178968E-2</v>
      </c>
      <c r="N186" s="1288">
        <v>0</v>
      </c>
      <c r="O186" s="1288">
        <v>3.2373769465224009E-2</v>
      </c>
      <c r="P186" s="1288">
        <v>3.7585872939217002E-2</v>
      </c>
      <c r="Q186" s="1288">
        <v>3.2887638821814877E-2</v>
      </c>
      <c r="R186" s="1288">
        <v>3.578447747451359E-2</v>
      </c>
      <c r="S186" s="1288">
        <v>6.2501395045983024E-3</v>
      </c>
      <c r="T186" s="1288">
        <v>3.8217256180290801E-2</v>
      </c>
      <c r="U186" s="1288">
        <v>3.8104298772861374E-2</v>
      </c>
      <c r="V186" s="1288">
        <v>3.738805255532638E-2</v>
      </c>
      <c r="W186" s="1288">
        <v>3.6254090039795919E-2</v>
      </c>
      <c r="X186" s="1288">
        <v>3.7973356165394483E-2</v>
      </c>
      <c r="Y186" s="1288">
        <v>3.8675863254454289E-2</v>
      </c>
      <c r="Z186" s="1409"/>
      <c r="AA186" s="1416">
        <f t="shared" ca="1" si="5"/>
        <v>1.5858353000204772E-2</v>
      </c>
      <c r="AB186" s="1418"/>
      <c r="AC186" s="1287"/>
      <c r="AD186" s="1038"/>
      <c r="AE186" s="1038"/>
      <c r="AF186" s="1038"/>
      <c r="AG186" s="1038"/>
      <c r="AH186" s="1038"/>
      <c r="AI186" s="1038"/>
      <c r="AJ186" s="1038"/>
      <c r="AK186" s="1038"/>
      <c r="AL186" s="1038"/>
      <c r="AM186" s="1038"/>
      <c r="AN186" s="1038"/>
      <c r="AO186" s="1038"/>
      <c r="AP186" s="1038"/>
      <c r="AQ186" s="1038"/>
      <c r="AR186" s="1038"/>
      <c r="AS186" s="1038"/>
      <c r="AT186" s="1038"/>
      <c r="AU186" s="1038"/>
      <c r="AV186" s="1038"/>
      <c r="AW186" s="1038"/>
      <c r="AX186" s="1038"/>
      <c r="AY186" s="1038"/>
      <c r="AZ186" s="1038"/>
      <c r="BA186" s="1038"/>
      <c r="BB186" s="1038"/>
      <c r="BC186" s="1038"/>
      <c r="BD186" s="1287"/>
      <c r="BE186" s="1287"/>
    </row>
    <row r="187" spans="1:57" x14ac:dyDescent="0.25">
      <c r="A187" s="1287"/>
      <c r="B187" s="1346"/>
      <c r="C187" s="1513">
        <v>0</v>
      </c>
      <c r="D187" s="1288">
        <v>0</v>
      </c>
      <c r="E187" s="1288">
        <v>0</v>
      </c>
      <c r="F187" s="1288">
        <v>0</v>
      </c>
      <c r="G187" s="1288">
        <v>0</v>
      </c>
      <c r="H187" s="1288">
        <v>0</v>
      </c>
      <c r="I187" s="1288">
        <v>0</v>
      </c>
      <c r="J187" s="1288">
        <v>0</v>
      </c>
      <c r="K187" s="1288">
        <v>0</v>
      </c>
      <c r="L187" s="1288">
        <v>0</v>
      </c>
      <c r="M187" s="1288">
        <v>1.4166982877089482E-2</v>
      </c>
      <c r="N187" s="1288">
        <v>1.2332864558180575E-2</v>
      </c>
      <c r="O187" s="1288">
        <v>1.0791256488408004E-2</v>
      </c>
      <c r="P187" s="1288">
        <v>9.3964682348042488E-3</v>
      </c>
      <c r="Q187" s="1288">
        <v>8.2219097054537175E-3</v>
      </c>
      <c r="R187" s="1288">
        <v>1.4313790989805435E-2</v>
      </c>
      <c r="S187" s="1288">
        <v>1.2500279009196601E-2</v>
      </c>
      <c r="T187" s="1288">
        <v>1.0919216051511657E-2</v>
      </c>
      <c r="U187" s="1288">
        <v>1.4289112039823014E-2</v>
      </c>
      <c r="V187" s="1288">
        <v>1.2462684185108795E-2</v>
      </c>
      <c r="W187" s="1288">
        <v>1.4501636015918367E-2</v>
      </c>
      <c r="X187" s="1288">
        <v>1.2657785388464829E-2</v>
      </c>
      <c r="Y187" s="1288">
        <v>1.3812808305162244E-2</v>
      </c>
      <c r="Z187" s="1409"/>
      <c r="AA187" s="1416">
        <f t="shared" ca="1" si="5"/>
        <v>0</v>
      </c>
      <c r="AB187" s="1418"/>
      <c r="AC187" s="1287"/>
      <c r="AD187" s="1038"/>
      <c r="AE187" s="1038"/>
      <c r="AF187" s="1038"/>
      <c r="AG187" s="1038"/>
      <c r="AH187" s="1038"/>
      <c r="AI187" s="1038"/>
      <c r="AJ187" s="1038"/>
      <c r="AK187" s="1038"/>
      <c r="AL187" s="1038"/>
      <c r="AM187" s="1038"/>
      <c r="AN187" s="1038"/>
      <c r="AO187" s="1038"/>
      <c r="AP187" s="1038"/>
      <c r="AQ187" s="1038"/>
      <c r="AR187" s="1038"/>
      <c r="AS187" s="1038"/>
      <c r="AT187" s="1038"/>
      <c r="AU187" s="1038"/>
      <c r="AV187" s="1038"/>
      <c r="AW187" s="1038"/>
      <c r="AX187" s="1038"/>
      <c r="AY187" s="1038"/>
      <c r="AZ187" s="1038"/>
      <c r="BA187" s="1038"/>
      <c r="BB187" s="1038"/>
      <c r="BC187" s="1038"/>
      <c r="BD187" s="1287"/>
      <c r="BE187" s="1287"/>
    </row>
    <row r="188" spans="1:57" x14ac:dyDescent="0.25">
      <c r="A188" s="1287"/>
      <c r="B188" s="1346"/>
      <c r="C188" s="1513">
        <v>0</v>
      </c>
      <c r="D188" s="1288">
        <v>0</v>
      </c>
      <c r="E188" s="1288">
        <v>0</v>
      </c>
      <c r="F188" s="1288">
        <v>0</v>
      </c>
      <c r="G188" s="1288">
        <v>0</v>
      </c>
      <c r="H188" s="1288">
        <v>0</v>
      </c>
      <c r="I188" s="1288">
        <v>0</v>
      </c>
      <c r="J188" s="1288">
        <v>0</v>
      </c>
      <c r="K188" s="1288">
        <v>1.8540682288808386E-2</v>
      </c>
      <c r="L188" s="1288">
        <v>1.6250362711955586E-2</v>
      </c>
      <c r="M188" s="1288">
        <v>1.4166982877089484E-2</v>
      </c>
      <c r="N188" s="1288">
        <v>1.2332864558180579E-2</v>
      </c>
      <c r="O188" s="1288">
        <v>1.0791256488408006E-2</v>
      </c>
      <c r="P188" s="1288">
        <v>1.8792936469608501E-2</v>
      </c>
      <c r="Q188" s="1288">
        <v>1.6443819410907438E-2</v>
      </c>
      <c r="R188" s="1288">
        <v>1.4313790989805437E-2</v>
      </c>
      <c r="S188" s="1288">
        <v>1.87504185137949E-2</v>
      </c>
      <c r="T188" s="1288">
        <v>1.6378824077267484E-2</v>
      </c>
      <c r="U188" s="1288">
        <v>1.9052149386430687E-2</v>
      </c>
      <c r="V188" s="1288">
        <v>1.6616912246811725E-2</v>
      </c>
      <c r="W188" s="1288">
        <v>1.812704501989796E-2</v>
      </c>
      <c r="X188" s="1288">
        <v>1.8986678082697241E-2</v>
      </c>
      <c r="Y188" s="1288">
        <v>1.9337931627227144E-2</v>
      </c>
      <c r="Z188" s="1409"/>
      <c r="AA188" s="1416">
        <f t="shared" ca="1" si="5"/>
        <v>0</v>
      </c>
      <c r="AB188" s="1418"/>
      <c r="AC188" s="1287"/>
      <c r="AD188" s="1038"/>
      <c r="AE188" s="1038"/>
      <c r="AF188" s="1038"/>
      <c r="AG188" s="1038"/>
      <c r="AH188" s="1038"/>
      <c r="AI188" s="1038"/>
      <c r="AJ188" s="1038"/>
      <c r="AK188" s="1038"/>
      <c r="AL188" s="1038"/>
      <c r="AM188" s="1038"/>
      <c r="AN188" s="1038"/>
      <c r="AO188" s="1038"/>
      <c r="AP188" s="1038"/>
      <c r="AQ188" s="1038"/>
      <c r="AR188" s="1038"/>
      <c r="AS188" s="1038"/>
      <c r="AT188" s="1038"/>
      <c r="AU188" s="1038"/>
      <c r="AV188" s="1038"/>
      <c r="AW188" s="1038"/>
      <c r="AX188" s="1038"/>
      <c r="AY188" s="1038"/>
      <c r="AZ188" s="1038"/>
      <c r="BA188" s="1038"/>
      <c r="BB188" s="1038"/>
      <c r="BC188" s="1038"/>
      <c r="BD188" s="1287"/>
      <c r="BE188" s="1287"/>
    </row>
    <row r="189" spans="1:57" x14ac:dyDescent="0.25">
      <c r="A189" s="1287"/>
      <c r="B189" s="1346"/>
      <c r="C189" s="1513">
        <v>0</v>
      </c>
      <c r="D189" s="1288">
        <v>0</v>
      </c>
      <c r="E189" s="1288">
        <v>0</v>
      </c>
      <c r="F189" s="1288">
        <v>0</v>
      </c>
      <c r="G189" s="1288">
        <v>0</v>
      </c>
      <c r="H189" s="1288">
        <v>0</v>
      </c>
      <c r="I189" s="1288">
        <v>0</v>
      </c>
      <c r="J189" s="1288">
        <v>2.1250474315634222E-2</v>
      </c>
      <c r="K189" s="1288">
        <v>1.8540682288808383E-2</v>
      </c>
      <c r="L189" s="1288">
        <v>1.6250362711955582E-2</v>
      </c>
      <c r="M189" s="1288">
        <v>1.4166982877089482E-2</v>
      </c>
      <c r="N189" s="1288">
        <v>0</v>
      </c>
      <c r="O189" s="1288">
        <v>2.1582512976816008E-2</v>
      </c>
      <c r="P189" s="1288">
        <v>1.8792936469608498E-2</v>
      </c>
      <c r="Q189" s="1288">
        <v>0</v>
      </c>
      <c r="R189" s="1288">
        <v>2.1470686484708151E-2</v>
      </c>
      <c r="S189" s="1288">
        <v>2.5000558018393203E-2</v>
      </c>
      <c r="T189" s="1288">
        <v>2.1838432103023313E-2</v>
      </c>
      <c r="U189" s="1288">
        <v>2.3815186733038351E-2</v>
      </c>
      <c r="V189" s="1288">
        <v>2.4925368370217582E-2</v>
      </c>
      <c r="W189" s="1288">
        <v>2.5377863027857141E-2</v>
      </c>
      <c r="X189" s="1288">
        <v>2.5315570776929659E-2</v>
      </c>
      <c r="Y189" s="1288">
        <v>2.4863054949292043E-2</v>
      </c>
      <c r="Z189" s="1409"/>
      <c r="AA189" s="1416">
        <f t="shared" ca="1" si="5"/>
        <v>0</v>
      </c>
      <c r="AB189" s="1418"/>
      <c r="AC189" s="1287"/>
      <c r="AD189" s="1038"/>
      <c r="AE189" s="1038"/>
      <c r="AF189" s="1038"/>
      <c r="AG189" s="1038"/>
      <c r="AH189" s="1038"/>
      <c r="AI189" s="1038"/>
      <c r="AJ189" s="1038"/>
      <c r="AK189" s="1038"/>
      <c r="AL189" s="1038"/>
      <c r="AM189" s="1038"/>
      <c r="AN189" s="1038"/>
      <c r="AO189" s="1038"/>
      <c r="AP189" s="1038"/>
      <c r="AQ189" s="1038"/>
      <c r="AR189" s="1038"/>
      <c r="AS189" s="1038"/>
      <c r="AT189" s="1038"/>
      <c r="AU189" s="1038"/>
      <c r="AV189" s="1038"/>
      <c r="AW189" s="1038"/>
      <c r="AX189" s="1038"/>
      <c r="AY189" s="1038"/>
      <c r="AZ189" s="1038"/>
      <c r="BA189" s="1038"/>
      <c r="BB189" s="1038"/>
      <c r="BC189" s="1038"/>
      <c r="BD189" s="1287"/>
      <c r="BE189" s="1287"/>
    </row>
    <row r="190" spans="1:57" x14ac:dyDescent="0.25">
      <c r="A190" s="1287"/>
      <c r="B190" s="1346"/>
      <c r="C190" s="1513">
        <v>0</v>
      </c>
      <c r="D190" s="1288">
        <v>0</v>
      </c>
      <c r="E190" s="1288">
        <v>0</v>
      </c>
      <c r="F190" s="1288">
        <v>0</v>
      </c>
      <c r="G190" s="1288">
        <v>0</v>
      </c>
      <c r="H190" s="1288">
        <v>0</v>
      </c>
      <c r="I190" s="1288">
        <v>0</v>
      </c>
      <c r="J190" s="1288">
        <v>0</v>
      </c>
      <c r="K190" s="1288">
        <v>1.8540682288808383E-2</v>
      </c>
      <c r="L190" s="1288">
        <v>0</v>
      </c>
      <c r="M190" s="1288">
        <v>0</v>
      </c>
      <c r="N190" s="1288">
        <v>0</v>
      </c>
      <c r="O190" s="1288">
        <v>0</v>
      </c>
      <c r="P190" s="1288">
        <v>2.8189404704412748E-2</v>
      </c>
      <c r="Q190" s="1288">
        <v>8.2219097054537175E-3</v>
      </c>
      <c r="R190" s="1288">
        <v>7.1568954949027177E-3</v>
      </c>
      <c r="S190" s="1288">
        <v>6.2501395045983007E-3</v>
      </c>
      <c r="T190" s="1288">
        <v>5.4596080257558284E-3</v>
      </c>
      <c r="U190" s="1288">
        <v>2.8578224079646029E-2</v>
      </c>
      <c r="V190" s="1288">
        <v>8.3084561234058624E-3</v>
      </c>
      <c r="W190" s="1288">
        <v>7.2508180079591837E-3</v>
      </c>
      <c r="X190" s="1288">
        <v>9.4933390413486224E-3</v>
      </c>
      <c r="Y190" s="1288">
        <v>8.2876849830973483E-3</v>
      </c>
      <c r="Z190" s="1409"/>
      <c r="AA190" s="1416">
        <f t="shared" ca="1" si="5"/>
        <v>0</v>
      </c>
      <c r="AB190" s="1418"/>
      <c r="AC190" s="1287"/>
      <c r="AD190" s="1038"/>
      <c r="AE190" s="1038"/>
      <c r="AF190" s="1038"/>
      <c r="AG190" s="1038"/>
      <c r="AH190" s="1038"/>
      <c r="AI190" s="1038"/>
      <c r="AJ190" s="1038"/>
      <c r="AK190" s="1038"/>
      <c r="AL190" s="1038"/>
      <c r="AM190" s="1038"/>
      <c r="AN190" s="1038"/>
      <c r="AO190" s="1038"/>
      <c r="AP190" s="1038"/>
      <c r="AQ190" s="1038"/>
      <c r="AR190" s="1038"/>
      <c r="AS190" s="1038"/>
      <c r="AT190" s="1038"/>
      <c r="AU190" s="1038"/>
      <c r="AV190" s="1038"/>
      <c r="AW190" s="1038"/>
      <c r="AX190" s="1038"/>
      <c r="AY190" s="1038"/>
      <c r="AZ190" s="1038"/>
      <c r="BA190" s="1038"/>
      <c r="BB190" s="1038"/>
      <c r="BC190" s="1038"/>
      <c r="BD190" s="1287"/>
      <c r="BE190" s="1287"/>
    </row>
    <row r="191" spans="1:57" x14ac:dyDescent="0.25">
      <c r="A191" s="1287"/>
      <c r="B191" s="1346"/>
      <c r="C191" s="1513">
        <v>0</v>
      </c>
      <c r="D191" s="1288">
        <v>0</v>
      </c>
      <c r="E191" s="1288">
        <v>0</v>
      </c>
      <c r="F191" s="1288">
        <v>0</v>
      </c>
      <c r="G191" s="1288">
        <v>0</v>
      </c>
      <c r="H191" s="1288">
        <v>0</v>
      </c>
      <c r="I191" s="1288">
        <v>0</v>
      </c>
      <c r="J191" s="1288">
        <v>0</v>
      </c>
      <c r="K191" s="1288">
        <v>0</v>
      </c>
      <c r="L191" s="1288">
        <v>0</v>
      </c>
      <c r="M191" s="1288">
        <v>0</v>
      </c>
      <c r="N191" s="1288">
        <v>1.2332864558180579E-2</v>
      </c>
      <c r="O191" s="1288">
        <v>1.0791256488408006E-2</v>
      </c>
      <c r="P191" s="1288">
        <v>9.3964682348042505E-3</v>
      </c>
      <c r="Q191" s="1288">
        <v>8.2219097054537192E-3</v>
      </c>
      <c r="R191" s="1288">
        <v>7.1568954949027186E-3</v>
      </c>
      <c r="S191" s="1288">
        <v>1.2500279009196605E-2</v>
      </c>
      <c r="T191" s="1288">
        <v>1.0919216051511658E-2</v>
      </c>
      <c r="U191" s="1288">
        <v>9.5260746932153435E-3</v>
      </c>
      <c r="V191" s="1288">
        <v>1.2462684185108795E-2</v>
      </c>
      <c r="W191" s="1288">
        <v>1.0876227011938777E-2</v>
      </c>
      <c r="X191" s="1288">
        <v>1.2657785388464831E-2</v>
      </c>
      <c r="Y191" s="1288">
        <v>1.1050246644129798E-2</v>
      </c>
      <c r="Z191" s="1409"/>
      <c r="AA191" s="1416">
        <f t="shared" ca="1" si="5"/>
        <v>0</v>
      </c>
      <c r="AB191" s="1419"/>
      <c r="AC191" s="1287"/>
      <c r="AD191" s="1038"/>
      <c r="AE191" s="1038"/>
      <c r="AF191" s="1038"/>
      <c r="AG191" s="1038"/>
      <c r="AH191" s="1038"/>
      <c r="AI191" s="1038"/>
      <c r="AJ191" s="1038"/>
      <c r="AK191" s="1038"/>
      <c r="AL191" s="1038"/>
      <c r="AM191" s="1038"/>
      <c r="AN191" s="1038"/>
      <c r="AO191" s="1038"/>
      <c r="AP191" s="1038"/>
      <c r="AQ191" s="1038"/>
      <c r="AR191" s="1038"/>
      <c r="AS191" s="1038"/>
      <c r="AT191" s="1038"/>
      <c r="AU191" s="1038"/>
      <c r="AV191" s="1038"/>
      <c r="AW191" s="1038"/>
      <c r="AX191" s="1038"/>
      <c r="AY191" s="1038"/>
      <c r="AZ191" s="1038"/>
      <c r="BA191" s="1038"/>
      <c r="BB191" s="1038"/>
      <c r="BC191" s="1038"/>
      <c r="BD191" s="1287"/>
      <c r="BE191" s="1287"/>
    </row>
    <row r="192" spans="1:57" x14ac:dyDescent="0.25">
      <c r="A192" s="1287"/>
      <c r="B192" s="1346"/>
      <c r="C192" s="1512"/>
      <c r="D192" s="1407"/>
      <c r="E192" s="1407"/>
      <c r="F192" s="1407"/>
      <c r="G192" s="1407"/>
      <c r="H192" s="1407"/>
      <c r="I192" s="1407"/>
      <c r="J192" s="1407"/>
      <c r="K192" s="1407"/>
      <c r="L192" s="1407"/>
      <c r="M192" s="1407"/>
      <c r="N192" s="1407"/>
      <c r="O192" s="1407"/>
      <c r="P192" s="1407"/>
      <c r="Q192" s="1407"/>
      <c r="R192" s="1407"/>
      <c r="S192" s="1407"/>
      <c r="T192" s="1407"/>
      <c r="U192" s="1407"/>
      <c r="V192" s="1407"/>
      <c r="W192" s="1407"/>
      <c r="X192" s="1407"/>
      <c r="Y192" s="1407"/>
      <c r="Z192" s="1409"/>
      <c r="AA192" s="1414"/>
      <c r="AB192" s="1403"/>
      <c r="AC192" s="1287"/>
      <c r="AD192" s="1038"/>
      <c r="AE192" s="1038"/>
      <c r="AF192" s="1038"/>
      <c r="AG192" s="1038"/>
      <c r="AH192" s="1038"/>
      <c r="AI192" s="1038"/>
      <c r="AJ192" s="1038"/>
      <c r="AK192" s="1038"/>
      <c r="AL192" s="1038"/>
      <c r="AM192" s="1038"/>
      <c r="AN192" s="1038"/>
      <c r="AO192" s="1038"/>
      <c r="AP192" s="1038"/>
      <c r="AQ192" s="1038"/>
      <c r="AR192" s="1038"/>
      <c r="AS192" s="1038"/>
      <c r="AT192" s="1038"/>
      <c r="AU192" s="1038"/>
      <c r="AV192" s="1038"/>
      <c r="AW192" s="1038"/>
      <c r="AX192" s="1038"/>
      <c r="AY192" s="1038"/>
      <c r="AZ192" s="1038"/>
      <c r="BA192" s="1038"/>
      <c r="BB192" s="1038"/>
      <c r="BC192" s="1038"/>
      <c r="BD192" s="1287"/>
      <c r="BE192" s="1287"/>
    </row>
    <row r="193" spans="1:57" x14ac:dyDescent="0.25">
      <c r="A193" s="1287"/>
      <c r="B193" s="1340" t="s">
        <v>1281</v>
      </c>
      <c r="C193" s="1506">
        <v>118103.29291967429</v>
      </c>
      <c r="D193" s="1286">
        <v>117374.86555526982</v>
      </c>
      <c r="E193" s="1286">
        <v>116665.35838214855</v>
      </c>
      <c r="F193" s="1286">
        <v>116126.13293057642</v>
      </c>
      <c r="G193" s="1286">
        <v>115620.34781708629</v>
      </c>
      <c r="H193" s="1286">
        <v>115167.5099055593</v>
      </c>
      <c r="I193" s="1286">
        <v>114796.36161047523</v>
      </c>
      <c r="J193" s="1286">
        <v>114453.15140133978</v>
      </c>
      <c r="K193" s="1286">
        <v>114162.24247160676</v>
      </c>
      <c r="L193" s="1286">
        <v>113916.36588393767</v>
      </c>
      <c r="M193" s="1286">
        <v>113692.70525168677</v>
      </c>
      <c r="N193" s="1286">
        <v>113495.80401650876</v>
      </c>
      <c r="O193" s="1286">
        <v>113330.30513349277</v>
      </c>
      <c r="P193" s="1286">
        <v>113180.56804885923</v>
      </c>
      <c r="Q193" s="1286">
        <v>113054.47366179942</v>
      </c>
      <c r="R193" s="1286">
        <v>112940.13937301461</v>
      </c>
      <c r="S193" s="1286">
        <v>112842.7948491334</v>
      </c>
      <c r="T193" s="1286">
        <v>112757.92757365482</v>
      </c>
      <c r="U193" s="1286">
        <v>112683.14743231983</v>
      </c>
      <c r="V193" s="1286">
        <v>112617.78888977123</v>
      </c>
      <c r="W193" s="1286">
        <v>112561.01767464413</v>
      </c>
      <c r="X193" s="1286">
        <v>112511.53116356593</v>
      </c>
      <c r="Y193" s="1286">
        <v>112468.38695074542</v>
      </c>
      <c r="Z193" s="1409"/>
      <c r="AA193" s="1410">
        <f t="shared" ref="AA193:AA215" ca="1" si="6">FORECAST($C$54,OFFSET(C193:Y193,0,MATCH($C$54,$G$72:$Y$72,1)-1,1,2), OFFSET($G$72:$Y$72,0,MATCH($C$54,$G$72:$Y$72,1)-1,1,2))</f>
        <v>115362.99787559449</v>
      </c>
      <c r="AB193" s="1411" t="e">
        <f ca="1">FORECAST($C$55,OFFSET(AA193:AA215,MATCH($C$55,$B$73:$B$95,1)-1,0,2), OFFSET($B$73:$B$95,MATCH($C$55,$B$73:$B$95,1)-1,0,2))</f>
        <v>#REF!</v>
      </c>
      <c r="AC193" s="1287"/>
      <c r="AD193" s="1038"/>
      <c r="AE193" s="1038"/>
      <c r="AF193" s="1038"/>
      <c r="AG193" s="1038"/>
      <c r="AH193" s="1038"/>
      <c r="AI193" s="1038"/>
      <c r="AJ193" s="1038"/>
      <c r="AK193" s="1038"/>
      <c r="AL193" s="1038"/>
      <c r="AM193" s="1038"/>
      <c r="AN193" s="1038"/>
      <c r="AO193" s="1038"/>
      <c r="AP193" s="1038"/>
      <c r="AQ193" s="1038"/>
      <c r="AR193" s="1038"/>
      <c r="AS193" s="1038"/>
      <c r="AT193" s="1038"/>
      <c r="AU193" s="1038"/>
      <c r="AV193" s="1038"/>
      <c r="AW193" s="1038"/>
      <c r="AX193" s="1038"/>
      <c r="AY193" s="1038"/>
      <c r="AZ193" s="1038"/>
      <c r="BA193" s="1038"/>
      <c r="BB193" s="1038"/>
      <c r="BC193" s="1038"/>
      <c r="BD193" s="1287"/>
      <c r="BE193" s="1287"/>
    </row>
    <row r="194" spans="1:57" x14ac:dyDescent="0.25">
      <c r="A194" s="1287"/>
      <c r="B194" s="1346"/>
      <c r="C194" s="1506">
        <v>103599.37975410027</v>
      </c>
      <c r="D194" s="1286">
        <v>102960.40838181564</v>
      </c>
      <c r="E194" s="1286">
        <v>102338.03366855136</v>
      </c>
      <c r="F194" s="1286">
        <v>101865.02888647057</v>
      </c>
      <c r="G194" s="1286">
        <v>101421.35773428623</v>
      </c>
      <c r="H194" s="1286">
        <v>101024.13149610466</v>
      </c>
      <c r="I194" s="1286">
        <v>100698.56281620635</v>
      </c>
      <c r="J194" s="1286">
        <v>100397.50122924543</v>
      </c>
      <c r="K194" s="1286">
        <v>100142.31795754979</v>
      </c>
      <c r="L194" s="1286">
        <v>99926.636740296221</v>
      </c>
      <c r="M194" s="1286">
        <v>99730.443203234026</v>
      </c>
      <c r="N194" s="1286">
        <v>99557.722821498915</v>
      </c>
      <c r="O194" s="1286">
        <v>99412.548362712972</v>
      </c>
      <c r="P194" s="1286">
        <v>99281.200042858982</v>
      </c>
      <c r="Q194" s="1286">
        <v>99170.590931403014</v>
      </c>
      <c r="R194" s="1286">
        <v>99070.297695626869</v>
      </c>
      <c r="S194" s="1286">
        <v>98984.907762397721</v>
      </c>
      <c r="T194" s="1286">
        <v>98910.462783907744</v>
      </c>
      <c r="U194" s="1286">
        <v>98844.866168701614</v>
      </c>
      <c r="V194" s="1286">
        <v>98787.534113834423</v>
      </c>
      <c r="W194" s="1286">
        <v>98737.734802319406</v>
      </c>
      <c r="X194" s="1286">
        <v>98694.325582075384</v>
      </c>
      <c r="Y194" s="1286">
        <v>98656.479781355636</v>
      </c>
      <c r="Z194" s="1409"/>
      <c r="AA194" s="1410">
        <f t="shared" ca="1" si="6"/>
        <v>101195.61217157412</v>
      </c>
      <c r="AB194" s="1412"/>
      <c r="AC194" s="1287"/>
      <c r="AD194" s="1038"/>
      <c r="AE194" s="1038"/>
      <c r="AF194" s="1038"/>
      <c r="AG194" s="1038"/>
      <c r="AH194" s="1038"/>
      <c r="AI194" s="1038"/>
      <c r="AJ194" s="1038"/>
      <c r="AK194" s="1038"/>
      <c r="AL194" s="1038"/>
      <c r="AM194" s="1038"/>
      <c r="AN194" s="1038"/>
      <c r="AO194" s="1038"/>
      <c r="AP194" s="1038"/>
      <c r="AQ194" s="1038"/>
      <c r="AR194" s="1038"/>
      <c r="AS194" s="1038"/>
      <c r="AT194" s="1038"/>
      <c r="AU194" s="1038"/>
      <c r="AV194" s="1038"/>
      <c r="AW194" s="1038"/>
      <c r="AX194" s="1038"/>
      <c r="AY194" s="1038"/>
      <c r="AZ194" s="1038"/>
      <c r="BA194" s="1038"/>
      <c r="BB194" s="1038"/>
      <c r="BC194" s="1038"/>
      <c r="BD194" s="1287"/>
      <c r="BE194" s="1287"/>
    </row>
    <row r="195" spans="1:57" x14ac:dyDescent="0.25">
      <c r="A195" s="1287"/>
      <c r="B195" s="1346"/>
      <c r="C195" s="1506">
        <v>90848.686861287919</v>
      </c>
      <c r="D195" s="1286">
        <v>90288.358119438315</v>
      </c>
      <c r="E195" s="1286">
        <v>89742.583370883498</v>
      </c>
      <c r="F195" s="1286">
        <v>89327.794561981864</v>
      </c>
      <c r="G195" s="1286">
        <v>88938.729090066379</v>
      </c>
      <c r="H195" s="1286">
        <v>88590.392235045612</v>
      </c>
      <c r="I195" s="1286">
        <v>88304.893546519408</v>
      </c>
      <c r="J195" s="1286">
        <v>88040.885693338292</v>
      </c>
      <c r="K195" s="1286">
        <v>87817.109593543661</v>
      </c>
      <c r="L195" s="1286">
        <v>87627.97375687513</v>
      </c>
      <c r="M195" s="1286">
        <v>87455.927116682127</v>
      </c>
      <c r="N195" s="1286">
        <v>87304.464628083661</v>
      </c>
      <c r="O195" s="1286">
        <v>87177.157794994433</v>
      </c>
      <c r="P195" s="1286">
        <v>87061.975422199408</v>
      </c>
      <c r="Q195" s="1286">
        <v>86964.979739845701</v>
      </c>
      <c r="R195" s="1286">
        <v>86877.030286934314</v>
      </c>
      <c r="S195" s="1286">
        <v>86802.149883948776</v>
      </c>
      <c r="T195" s="1286">
        <v>86736.867364349848</v>
      </c>
      <c r="U195" s="1286">
        <v>86679.344178707557</v>
      </c>
      <c r="V195" s="1286">
        <v>86629.068376747106</v>
      </c>
      <c r="W195" s="1286">
        <v>86585.398211264706</v>
      </c>
      <c r="X195" s="1286">
        <v>86547.331664281475</v>
      </c>
      <c r="Y195" s="1286">
        <v>86514.143808265697</v>
      </c>
      <c r="Z195" s="1409"/>
      <c r="AA195" s="1410">
        <f t="shared" ca="1" si="6"/>
        <v>88740.767596611156</v>
      </c>
      <c r="AB195" s="1412"/>
      <c r="AC195" s="1287"/>
      <c r="AD195" s="1038"/>
      <c r="AE195" s="1038"/>
      <c r="AF195" s="1038"/>
      <c r="AG195" s="1038"/>
      <c r="AH195" s="1038"/>
      <c r="AI195" s="1038"/>
      <c r="AJ195" s="1038"/>
      <c r="AK195" s="1038"/>
      <c r="AL195" s="1038"/>
      <c r="AM195" s="1038"/>
      <c r="AN195" s="1038"/>
      <c r="AO195" s="1038"/>
      <c r="AP195" s="1038"/>
      <c r="AQ195" s="1038"/>
      <c r="AR195" s="1038"/>
      <c r="AS195" s="1038"/>
      <c r="AT195" s="1038"/>
      <c r="AU195" s="1038"/>
      <c r="AV195" s="1038"/>
      <c r="AW195" s="1038"/>
      <c r="AX195" s="1038"/>
      <c r="AY195" s="1038"/>
      <c r="AZ195" s="1038"/>
      <c r="BA195" s="1038"/>
      <c r="BB195" s="1038"/>
      <c r="BC195" s="1038"/>
      <c r="BD195" s="1287"/>
      <c r="BE195" s="1287"/>
    </row>
    <row r="196" spans="1:57" x14ac:dyDescent="0.25">
      <c r="A196" s="1287"/>
      <c r="B196" s="1346"/>
      <c r="C196" s="1506">
        <v>79799.522243023166</v>
      </c>
      <c r="D196" s="1286">
        <v>79307.341591398523</v>
      </c>
      <c r="E196" s="1286">
        <v>78827.944852803077</v>
      </c>
      <c r="F196" s="1286">
        <v>78463.603331470571</v>
      </c>
      <c r="G196" s="1286">
        <v>78121.856633166419</v>
      </c>
      <c r="H196" s="1286">
        <v>77815.88507132385</v>
      </c>
      <c r="I196" s="1286">
        <v>77565.109196267047</v>
      </c>
      <c r="J196" s="1286">
        <v>77333.210406310667</v>
      </c>
      <c r="K196" s="1286">
        <v>77136.650318653221</v>
      </c>
      <c r="L196" s="1286">
        <v>76970.517489147082</v>
      </c>
      <c r="M196" s="1286">
        <v>76819.39544032891</v>
      </c>
      <c r="N196" s="1286">
        <v>76686.354065208623</v>
      </c>
      <c r="O196" s="1286">
        <v>76574.53049560322</v>
      </c>
      <c r="P196" s="1286">
        <v>76473.35678976975</v>
      </c>
      <c r="Q196" s="1286">
        <v>76388.157879594204</v>
      </c>
      <c r="R196" s="1286">
        <v>76310.904981766624</v>
      </c>
      <c r="S196" s="1286">
        <v>76245.131654819867</v>
      </c>
      <c r="T196" s="1286">
        <v>76187.788901118111</v>
      </c>
      <c r="U196" s="1286">
        <v>76137.261778594475</v>
      </c>
      <c r="V196" s="1286">
        <v>76093.100601196784</v>
      </c>
      <c r="W196" s="1286">
        <v>76054.741672056844</v>
      </c>
      <c r="X196" s="1286">
        <v>76021.304840247249</v>
      </c>
      <c r="Y196" s="1286">
        <v>75992.153345098253</v>
      </c>
      <c r="Z196" s="1409"/>
      <c r="AA196" s="1410">
        <f t="shared" ca="1" si="6"/>
        <v>77947.971537563848</v>
      </c>
      <c r="AB196" s="1412"/>
      <c r="AC196" s="1287"/>
      <c r="AD196" s="1038"/>
      <c r="AE196" s="1038"/>
      <c r="AF196" s="1038"/>
      <c r="AG196" s="1038"/>
      <c r="AH196" s="1038"/>
      <c r="AI196" s="1038"/>
      <c r="AJ196" s="1038"/>
      <c r="AK196" s="1038"/>
      <c r="AL196" s="1038"/>
      <c r="AM196" s="1038"/>
      <c r="AN196" s="1038"/>
      <c r="AO196" s="1038"/>
      <c r="AP196" s="1038"/>
      <c r="AQ196" s="1038"/>
      <c r="AR196" s="1038"/>
      <c r="AS196" s="1038"/>
      <c r="AT196" s="1038"/>
      <c r="AU196" s="1038"/>
      <c r="AV196" s="1038"/>
      <c r="AW196" s="1038"/>
      <c r="AX196" s="1038"/>
      <c r="AY196" s="1038"/>
      <c r="AZ196" s="1038"/>
      <c r="BA196" s="1038"/>
      <c r="BB196" s="1038"/>
      <c r="BC196" s="1038"/>
      <c r="BD196" s="1287"/>
      <c r="BE196" s="1287"/>
    </row>
    <row r="197" spans="1:57" x14ac:dyDescent="0.25">
      <c r="A197" s="1287"/>
      <c r="B197" s="1346"/>
      <c r="C197" s="1506">
        <v>69472.525246867226</v>
      </c>
      <c r="D197" s="1286">
        <v>69044.038561923429</v>
      </c>
      <c r="E197" s="1286">
        <v>87835.426289482028</v>
      </c>
      <c r="F197" s="1286">
        <v>87518.234847380809</v>
      </c>
      <c r="G197" s="1286">
        <v>68011.969304168408</v>
      </c>
      <c r="H197" s="1286">
        <v>67745.594062093718</v>
      </c>
      <c r="I197" s="1286">
        <v>67527.271535573673</v>
      </c>
      <c r="J197" s="1286">
        <v>86534.128065476893</v>
      </c>
      <c r="K197" s="1286">
        <v>67154.260277415742</v>
      </c>
      <c r="L197" s="1286">
        <v>67009.62699055158</v>
      </c>
      <c r="M197" s="1286">
        <v>86086.8068009751</v>
      </c>
      <c r="N197" s="1286">
        <v>66762.237656769852</v>
      </c>
      <c r="O197" s="1286">
        <v>66664.885372642806</v>
      </c>
      <c r="P197" s="1286">
        <v>85785.549622841238</v>
      </c>
      <c r="Q197" s="1286">
        <v>66502.631565764372</v>
      </c>
      <c r="R197" s="1286">
        <v>66435.376101773305</v>
      </c>
      <c r="S197" s="1286">
        <v>85586.859505355475</v>
      </c>
      <c r="T197" s="1286">
        <v>85536.937578603363</v>
      </c>
      <c r="U197" s="1286">
        <v>85492.949260171023</v>
      </c>
      <c r="V197" s="1286">
        <v>66245.758170453671</v>
      </c>
      <c r="W197" s="1286">
        <v>66212.363338025956</v>
      </c>
      <c r="X197" s="1286">
        <v>85391.998513845203</v>
      </c>
      <c r="Y197" s="1286">
        <v>85366.619565127257</v>
      </c>
      <c r="Z197" s="1409"/>
      <c r="AA197" s="1410">
        <f t="shared" ca="1" si="6"/>
        <v>67860.586985643837</v>
      </c>
      <c r="AB197" s="1412"/>
      <c r="AC197" s="1287"/>
      <c r="AD197" s="1038"/>
      <c r="AE197" s="1038"/>
      <c r="AF197" s="1038"/>
      <c r="AG197" s="1038"/>
      <c r="AH197" s="1038"/>
      <c r="AI197" s="1038"/>
      <c r="AJ197" s="1038"/>
      <c r="AK197" s="1038"/>
      <c r="AL197" s="1038"/>
      <c r="AM197" s="1038"/>
      <c r="AN197" s="1038"/>
      <c r="AO197" s="1038"/>
      <c r="AP197" s="1038"/>
      <c r="AQ197" s="1038"/>
      <c r="AR197" s="1038"/>
      <c r="AS197" s="1038"/>
      <c r="AT197" s="1038"/>
      <c r="AU197" s="1038"/>
      <c r="AV197" s="1038"/>
      <c r="AW197" s="1038"/>
      <c r="AX197" s="1038"/>
      <c r="AY197" s="1038"/>
      <c r="AZ197" s="1038"/>
      <c r="BA197" s="1038"/>
      <c r="BB197" s="1038"/>
      <c r="BC197" s="1038"/>
      <c r="BD197" s="1287"/>
      <c r="BE197" s="1287"/>
    </row>
    <row r="198" spans="1:57" x14ac:dyDescent="0.25">
      <c r="A198" s="1287"/>
      <c r="B198" s="1346"/>
      <c r="C198" s="1506">
        <v>78519.874598773546</v>
      </c>
      <c r="D198" s="1286">
        <v>78140.48534647956</v>
      </c>
      <c r="E198" s="1286">
        <v>77770.950360478892</v>
      </c>
      <c r="F198" s="1286">
        <v>77490.103771118418</v>
      </c>
      <c r="G198" s="1286">
        <v>60218.93115473244</v>
      </c>
      <c r="H198" s="1286">
        <v>76990.820945588639</v>
      </c>
      <c r="I198" s="1286">
        <v>76797.514541899043</v>
      </c>
      <c r="J198" s="1286">
        <v>76618.759224641006</v>
      </c>
      <c r="K198" s="1286">
        <v>76467.244157071691</v>
      </c>
      <c r="L198" s="1286">
        <v>76339.183434327409</v>
      </c>
      <c r="M198" s="1286">
        <v>76222.693521696696</v>
      </c>
      <c r="N198" s="1286">
        <v>76120.140795041487</v>
      </c>
      <c r="O198" s="1286">
        <v>76033.94346013735</v>
      </c>
      <c r="P198" s="1286">
        <v>75955.955395224009</v>
      </c>
      <c r="Q198" s="1286">
        <v>75890.28123529705</v>
      </c>
      <c r="R198" s="1286">
        <v>75830.732126554954</v>
      </c>
      <c r="S198" s="1286">
        <v>75780.031853700159</v>
      </c>
      <c r="T198" s="1286">
        <v>75735.830147721732</v>
      </c>
      <c r="U198" s="1286">
        <v>75696.882157443106</v>
      </c>
      <c r="V198" s="1286">
        <v>75662.841249865698</v>
      </c>
      <c r="W198" s="1286">
        <v>75633.272908653656</v>
      </c>
      <c r="X198" s="1286">
        <v>75607.498684133781</v>
      </c>
      <c r="Y198" s="1286">
        <v>75585.027739956422</v>
      </c>
      <c r="Z198" s="1409"/>
      <c r="AA198" s="1410">
        <f t="shared" ca="1" si="6"/>
        <v>69750.475989017883</v>
      </c>
      <c r="AB198" s="1412"/>
      <c r="AC198" s="1287"/>
      <c r="AD198" s="1038"/>
      <c r="AE198" s="1038"/>
      <c r="AF198" s="1038"/>
      <c r="AG198" s="1038"/>
      <c r="AH198" s="1038"/>
      <c r="AI198" s="1038"/>
      <c r="AJ198" s="1038"/>
      <c r="AK198" s="1038"/>
      <c r="AL198" s="1038"/>
      <c r="AM198" s="1038"/>
      <c r="AN198" s="1038"/>
      <c r="AO198" s="1038"/>
      <c r="AP198" s="1038"/>
      <c r="AQ198" s="1038"/>
      <c r="AR198" s="1038"/>
      <c r="AS198" s="1038"/>
      <c r="AT198" s="1038"/>
      <c r="AU198" s="1038"/>
      <c r="AV198" s="1038"/>
      <c r="AW198" s="1038"/>
      <c r="AX198" s="1038"/>
      <c r="AY198" s="1038"/>
      <c r="AZ198" s="1038"/>
      <c r="BA198" s="1038"/>
      <c r="BB198" s="1038"/>
      <c r="BC198" s="1038"/>
      <c r="BD198" s="1287"/>
      <c r="BE198" s="1287"/>
    </row>
    <row r="199" spans="1:57" x14ac:dyDescent="0.25">
      <c r="A199" s="1287"/>
      <c r="B199" s="1346"/>
      <c r="C199" s="1506">
        <v>68526.43601347509</v>
      </c>
      <c r="D199" s="1286">
        <v>68195.332666018527</v>
      </c>
      <c r="E199" s="1286">
        <v>67872.829405508834</v>
      </c>
      <c r="F199" s="1286">
        <v>67627.726927521522</v>
      </c>
      <c r="G199" s="1286">
        <v>67397.824603207817</v>
      </c>
      <c r="H199" s="1286">
        <v>67191.989188877356</v>
      </c>
      <c r="I199" s="1286">
        <v>67023.285418384607</v>
      </c>
      <c r="J199" s="1286">
        <v>66867.280777868495</v>
      </c>
      <c r="K199" s="1286">
        <v>66735.049446171659</v>
      </c>
      <c r="L199" s="1286">
        <v>66623.287360867558</v>
      </c>
      <c r="M199" s="1286">
        <v>66521.623437117101</v>
      </c>
      <c r="N199" s="1286">
        <v>66432.122875672561</v>
      </c>
      <c r="O199" s="1286">
        <v>66356.896110665315</v>
      </c>
      <c r="P199" s="1286">
        <v>66288.833799468222</v>
      </c>
      <c r="Q199" s="1286">
        <v>66231.518168986498</v>
      </c>
      <c r="R199" s="1286">
        <v>66179.548037720684</v>
      </c>
      <c r="S199" s="1286">
        <v>66135.300526865583</v>
      </c>
      <c r="T199" s="1286">
        <v>66096.724492557129</v>
      </c>
      <c r="U199" s="1286">
        <v>66062.733519223068</v>
      </c>
      <c r="V199" s="1286">
        <v>66033.025090791882</v>
      </c>
      <c r="W199" s="1286">
        <v>66007.219993006816</v>
      </c>
      <c r="X199" s="1286">
        <v>65984.72612433492</v>
      </c>
      <c r="Y199" s="1286">
        <v>65965.115118507412</v>
      </c>
      <c r="Z199" s="1409"/>
      <c r="AA199" s="1410">
        <f t="shared" ca="1" si="6"/>
        <v>67280.847357075167</v>
      </c>
      <c r="AB199" s="1412"/>
      <c r="AC199" s="1287"/>
      <c r="AD199" s="1038"/>
      <c r="AE199" s="1038"/>
      <c r="AF199" s="1038"/>
      <c r="AG199" s="1038"/>
      <c r="AH199" s="1038"/>
      <c r="AI199" s="1038"/>
      <c r="AJ199" s="1038"/>
      <c r="AK199" s="1038"/>
      <c r="AL199" s="1038"/>
      <c r="AM199" s="1038"/>
      <c r="AN199" s="1038"/>
      <c r="AO199" s="1038"/>
      <c r="AP199" s="1038"/>
      <c r="AQ199" s="1038"/>
      <c r="AR199" s="1038"/>
      <c r="AS199" s="1038"/>
      <c r="AT199" s="1038"/>
      <c r="AU199" s="1038"/>
      <c r="AV199" s="1038"/>
      <c r="AW199" s="1038"/>
      <c r="AX199" s="1038"/>
      <c r="AY199" s="1038"/>
      <c r="AZ199" s="1038"/>
      <c r="BA199" s="1038"/>
      <c r="BB199" s="1038"/>
      <c r="BC199" s="1038"/>
      <c r="BD199" s="1287"/>
      <c r="BE199" s="1287"/>
    </row>
    <row r="200" spans="1:57" x14ac:dyDescent="0.25">
      <c r="A200" s="1287"/>
      <c r="B200" s="1346"/>
      <c r="C200" s="1506">
        <v>60303.263691858083</v>
      </c>
      <c r="D200" s="1286">
        <v>60011.892746096295</v>
      </c>
      <c r="E200" s="1286">
        <v>59728.089876847778</v>
      </c>
      <c r="F200" s="1286">
        <v>59512.399696218941</v>
      </c>
      <c r="G200" s="1286">
        <v>59310.085650822883</v>
      </c>
      <c r="H200" s="1286">
        <v>59128.950486212081</v>
      </c>
      <c r="I200" s="1286">
        <v>58980.491168178458</v>
      </c>
      <c r="J200" s="1286">
        <v>58843.207084524285</v>
      </c>
      <c r="K200" s="1286">
        <v>58726.843512631065</v>
      </c>
      <c r="L200" s="1286">
        <v>58628.492877563447</v>
      </c>
      <c r="M200" s="1286">
        <v>58539.028624663064</v>
      </c>
      <c r="N200" s="1286">
        <v>58460.268130591852</v>
      </c>
      <c r="O200" s="1286">
        <v>58394.068577385486</v>
      </c>
      <c r="P200" s="1286">
        <v>58334.173743532047</v>
      </c>
      <c r="Q200" s="1286">
        <v>58283.735988708126</v>
      </c>
      <c r="R200" s="1286">
        <v>58238.002273194201</v>
      </c>
      <c r="S200" s="1286">
        <v>58199.06446364172</v>
      </c>
      <c r="T200" s="1286">
        <v>58165.117553450276</v>
      </c>
      <c r="U200" s="1286">
        <v>58135.2054969163</v>
      </c>
      <c r="V200" s="1286">
        <v>58109.062079896852</v>
      </c>
      <c r="W200" s="1286">
        <v>58086.353593846005</v>
      </c>
      <c r="X200" s="1286">
        <v>58066.558989414742</v>
      </c>
      <c r="Y200" s="1286">
        <v>58049.301304286528</v>
      </c>
      <c r="Z200" s="1409"/>
      <c r="AA200" s="1410">
        <f t="shared" ca="1" si="6"/>
        <v>59207.145674226158</v>
      </c>
      <c r="AB200" s="1412"/>
      <c r="AC200" s="1287"/>
      <c r="AD200" s="1038"/>
      <c r="AE200" s="1038"/>
      <c r="AF200" s="1038"/>
      <c r="AG200" s="1038"/>
      <c r="AH200" s="1038"/>
      <c r="AI200" s="1038"/>
      <c r="AJ200" s="1038"/>
      <c r="AK200" s="1038"/>
      <c r="AL200" s="1038"/>
      <c r="AM200" s="1038"/>
      <c r="AN200" s="1038"/>
      <c r="AO200" s="1038"/>
      <c r="AP200" s="1038"/>
      <c r="AQ200" s="1038"/>
      <c r="AR200" s="1038"/>
      <c r="AS200" s="1038"/>
      <c r="AT200" s="1038"/>
      <c r="AU200" s="1038"/>
      <c r="AV200" s="1038"/>
      <c r="AW200" s="1038"/>
      <c r="AX200" s="1038"/>
      <c r="AY200" s="1038"/>
      <c r="AZ200" s="1038"/>
      <c r="BA200" s="1038"/>
      <c r="BB200" s="1038"/>
      <c r="BC200" s="1038"/>
      <c r="BD200" s="1287"/>
      <c r="BE200" s="1287"/>
    </row>
    <row r="201" spans="1:57" x14ac:dyDescent="0.25">
      <c r="A201" s="1287"/>
      <c r="B201" s="1346"/>
      <c r="C201" s="1506">
        <v>52712.643087288532</v>
      </c>
      <c r="D201" s="1286">
        <v>52457.94820462964</v>
      </c>
      <c r="E201" s="1286">
        <v>52209.868773468341</v>
      </c>
      <c r="F201" s="1286">
        <v>52021.328405785796</v>
      </c>
      <c r="G201" s="1286">
        <v>51844.480464006017</v>
      </c>
      <c r="H201" s="1286">
        <v>51686.145529905662</v>
      </c>
      <c r="I201" s="1286">
        <v>51556.373398757401</v>
      </c>
      <c r="J201" s="1286">
        <v>51436.369829129624</v>
      </c>
      <c r="K201" s="1286">
        <v>51334.653420132046</v>
      </c>
      <c r="L201" s="1286">
        <v>51248.682585282731</v>
      </c>
      <c r="M201" s="1286">
        <v>51170.479567013164</v>
      </c>
      <c r="N201" s="1286">
        <v>51101.632981286595</v>
      </c>
      <c r="O201" s="1286">
        <v>51043.76623897333</v>
      </c>
      <c r="P201" s="1286">
        <v>50991.410614975561</v>
      </c>
      <c r="Q201" s="1286">
        <v>50947.321668451164</v>
      </c>
      <c r="R201" s="1286">
        <v>50907.344644400524</v>
      </c>
      <c r="S201" s="1286">
        <v>50873.308097588917</v>
      </c>
      <c r="T201" s="1286">
        <v>50843.634225043948</v>
      </c>
      <c r="U201" s="1286">
        <v>50817.487322479283</v>
      </c>
      <c r="V201" s="1286">
        <v>50794.634685224533</v>
      </c>
      <c r="W201" s="1286">
        <v>50774.784610005248</v>
      </c>
      <c r="X201" s="1286">
        <v>50757.481634103795</v>
      </c>
      <c r="Y201" s="1286">
        <v>50742.396245005708</v>
      </c>
      <c r="Z201" s="1409"/>
      <c r="AA201" s="1410">
        <f t="shared" ca="1" si="6"/>
        <v>51754.497966980904</v>
      </c>
      <c r="AB201" s="1412"/>
      <c r="AC201" s="1287"/>
      <c r="AD201" s="1038"/>
      <c r="AE201" s="1038"/>
      <c r="AF201" s="1038"/>
      <c r="AG201" s="1038"/>
      <c r="AH201" s="1038"/>
      <c r="AI201" s="1038"/>
      <c r="AJ201" s="1038"/>
      <c r="AK201" s="1038"/>
      <c r="AL201" s="1038"/>
      <c r="AM201" s="1038"/>
      <c r="AN201" s="1038"/>
      <c r="AO201" s="1038"/>
      <c r="AP201" s="1038"/>
      <c r="AQ201" s="1038"/>
      <c r="AR201" s="1038"/>
      <c r="AS201" s="1038"/>
      <c r="AT201" s="1038"/>
      <c r="AU201" s="1038"/>
      <c r="AV201" s="1038"/>
      <c r="AW201" s="1038"/>
      <c r="AX201" s="1038"/>
      <c r="AY201" s="1038"/>
      <c r="AZ201" s="1038"/>
      <c r="BA201" s="1038"/>
      <c r="BB201" s="1038"/>
      <c r="BC201" s="1038"/>
      <c r="BD201" s="1287"/>
      <c r="BE201" s="1287"/>
    </row>
    <row r="202" spans="1:57" x14ac:dyDescent="0.25">
      <c r="A202" s="1287"/>
      <c r="B202" s="1346"/>
      <c r="C202" s="1506">
        <v>46244.834119523075</v>
      </c>
      <c r="D202" s="1286">
        <v>46021.390142711891</v>
      </c>
      <c r="E202" s="1286">
        <v>45803.749905558121</v>
      </c>
      <c r="F202" s="1286">
        <v>45638.343325321286</v>
      </c>
      <c r="G202" s="1286">
        <v>45483.194517502212</v>
      </c>
      <c r="H202" s="1286">
        <v>45344.287182677981</v>
      </c>
      <c r="I202" s="1286">
        <v>45230.438012406797</v>
      </c>
      <c r="J202" s="1286">
        <v>45125.158807150532</v>
      </c>
      <c r="K202" s="1286">
        <v>45035.922939134252</v>
      </c>
      <c r="L202" s="1286">
        <v>44960.500672978109</v>
      </c>
      <c r="M202" s="1286">
        <v>44891.893117072905</v>
      </c>
      <c r="N202" s="1286">
        <v>44831.493965177804</v>
      </c>
      <c r="O202" s="1286">
        <v>44780.727436645313</v>
      </c>
      <c r="P202" s="1286">
        <v>44734.795815592064</v>
      </c>
      <c r="Q202" s="1286">
        <v>44696.116555757762</v>
      </c>
      <c r="R202" s="1286">
        <v>44661.044688032373</v>
      </c>
      <c r="S202" s="1286">
        <v>44631.184404633226</v>
      </c>
      <c r="T202" s="1286">
        <v>44605.151498044695</v>
      </c>
      <c r="U202" s="1286">
        <v>44582.212804383671</v>
      </c>
      <c r="V202" s="1286">
        <v>44562.164171700046</v>
      </c>
      <c r="W202" s="1286">
        <v>44544.749688532211</v>
      </c>
      <c r="X202" s="1286">
        <v>44529.569777158547</v>
      </c>
      <c r="Y202" s="1286">
        <v>44516.335356047952</v>
      </c>
      <c r="Z202" s="1409"/>
      <c r="AA202" s="1410">
        <f t="shared" ca="1" si="6"/>
        <v>45404.252817658096</v>
      </c>
      <c r="AB202" s="1412"/>
      <c r="AC202" s="1287"/>
      <c r="AD202" s="1038"/>
      <c r="AE202" s="1038"/>
      <c r="AF202" s="1038"/>
      <c r="AG202" s="1038"/>
      <c r="AH202" s="1038"/>
      <c r="AI202" s="1038"/>
      <c r="AJ202" s="1038"/>
      <c r="AK202" s="1038"/>
      <c r="AL202" s="1038"/>
      <c r="AM202" s="1038"/>
      <c r="AN202" s="1038"/>
      <c r="AO202" s="1038"/>
      <c r="AP202" s="1038"/>
      <c r="AQ202" s="1038"/>
      <c r="AR202" s="1038"/>
      <c r="AS202" s="1038"/>
      <c r="AT202" s="1038"/>
      <c r="AU202" s="1038"/>
      <c r="AV202" s="1038"/>
      <c r="AW202" s="1038"/>
      <c r="AX202" s="1038"/>
      <c r="AY202" s="1038"/>
      <c r="AZ202" s="1038"/>
      <c r="BA202" s="1038"/>
      <c r="BB202" s="1038"/>
      <c r="BC202" s="1038"/>
      <c r="BD202" s="1287"/>
      <c r="BE202" s="1287"/>
    </row>
    <row r="203" spans="1:57" x14ac:dyDescent="0.25">
      <c r="A203" s="1287"/>
      <c r="B203" s="1346"/>
      <c r="C203" s="1506">
        <v>40526.386889689573</v>
      </c>
      <c r="D203" s="1286">
        <v>57886.952818597456</v>
      </c>
      <c r="E203" s="1286">
        <v>40139.845347343937</v>
      </c>
      <c r="F203" s="1286">
        <v>39994.892268964344</v>
      </c>
      <c r="G203" s="1286">
        <v>39858.928528778815</v>
      </c>
      <c r="H203" s="1286">
        <v>39737.197907400587</v>
      </c>
      <c r="I203" s="1286">
        <v>57193.806596878479</v>
      </c>
      <c r="J203" s="1286">
        <v>57101.545787971096</v>
      </c>
      <c r="K203" s="1286">
        <v>39466.964726230552</v>
      </c>
      <c r="L203" s="1286">
        <v>56957.248605873741</v>
      </c>
      <c r="M203" s="1286">
        <v>56897.124779999845</v>
      </c>
      <c r="N203" s="1286">
        <v>56844.194340435861</v>
      </c>
      <c r="O203" s="1286">
        <v>56799.705393388562</v>
      </c>
      <c r="P203" s="1286">
        <v>56759.453488917177</v>
      </c>
      <c r="Q203" s="1286">
        <v>56725.557148309723</v>
      </c>
      <c r="R203" s="1286">
        <v>56694.82212444282</v>
      </c>
      <c r="S203" s="1286">
        <v>56668.654241679062</v>
      </c>
      <c r="T203" s="1286">
        <v>56645.840457948267</v>
      </c>
      <c r="U203" s="1286">
        <v>56625.73826941735</v>
      </c>
      <c r="V203" s="1286">
        <v>56608.168768732226</v>
      </c>
      <c r="W203" s="1286">
        <v>56592.907689396983</v>
      </c>
      <c r="X203" s="1286">
        <v>56579.604863838329</v>
      </c>
      <c r="Y203" s="1286">
        <v>56568.006957166166</v>
      </c>
      <c r="Z203" s="1409"/>
      <c r="AA203" s="1410">
        <f t="shared" ca="1" si="6"/>
        <v>39789.748436979942</v>
      </c>
      <c r="AB203" s="1412"/>
      <c r="AC203" s="1287"/>
      <c r="AD203" s="1038"/>
      <c r="AE203" s="1038"/>
      <c r="AF203" s="1038"/>
      <c r="AG203" s="1038"/>
      <c r="AH203" s="1038"/>
      <c r="AI203" s="1038"/>
      <c r="AJ203" s="1038"/>
      <c r="AK203" s="1038"/>
      <c r="AL203" s="1038"/>
      <c r="AM203" s="1038"/>
      <c r="AN203" s="1038"/>
      <c r="AO203" s="1038"/>
      <c r="AP203" s="1038"/>
      <c r="AQ203" s="1038"/>
      <c r="AR203" s="1038"/>
      <c r="AS203" s="1038"/>
      <c r="AT203" s="1038"/>
      <c r="AU203" s="1038"/>
      <c r="AV203" s="1038"/>
      <c r="AW203" s="1038"/>
      <c r="AX203" s="1038"/>
      <c r="AY203" s="1038"/>
      <c r="AZ203" s="1038"/>
      <c r="BA203" s="1038"/>
      <c r="BB203" s="1038"/>
      <c r="BC203" s="1038"/>
      <c r="BD203" s="1287"/>
      <c r="BE203" s="1287"/>
    </row>
    <row r="204" spans="1:57" x14ac:dyDescent="0.25">
      <c r="A204" s="1287"/>
      <c r="B204" s="1346"/>
      <c r="C204" s="1506">
        <v>50959.408455091274</v>
      </c>
      <c r="D204" s="1286">
        <v>50787.609548392109</v>
      </c>
      <c r="E204" s="1286">
        <v>50620.272950957835</v>
      </c>
      <c r="F204" s="1286">
        <v>35089.858311449847</v>
      </c>
      <c r="G204" s="1286">
        <v>50373.808195046928</v>
      </c>
      <c r="H204" s="1286">
        <v>50267.006800818868</v>
      </c>
      <c r="I204" s="1286">
        <v>50179.471825563189</v>
      </c>
      <c r="J204" s="1286">
        <v>50098.5260215218</v>
      </c>
      <c r="K204" s="1286">
        <v>50029.915424886669</v>
      </c>
      <c r="L204" s="1286">
        <v>49971.925663643946</v>
      </c>
      <c r="M204" s="1286">
        <v>49919.175514528171</v>
      </c>
      <c r="N204" s="1286">
        <v>49872.736543967316</v>
      </c>
      <c r="O204" s="1286">
        <v>49833.703788539024</v>
      </c>
      <c r="P204" s="1286">
        <v>49798.3884383896</v>
      </c>
      <c r="Q204" s="1286">
        <v>49768.649196158527</v>
      </c>
      <c r="R204" s="1286">
        <v>49741.683562011152</v>
      </c>
      <c r="S204" s="1286">
        <v>49718.724947888237</v>
      </c>
      <c r="T204" s="1286">
        <v>49698.70908103008</v>
      </c>
      <c r="U204" s="1286">
        <v>49681.072255243518</v>
      </c>
      <c r="V204" s="1286">
        <v>49665.657504642433</v>
      </c>
      <c r="W204" s="1286">
        <v>49652.268067112454</v>
      </c>
      <c r="X204" s="1286">
        <v>49640.596720160043</v>
      </c>
      <c r="Y204" s="1286">
        <v>49630.421198268428</v>
      </c>
      <c r="Z204" s="1409"/>
      <c r="AA204" s="1410">
        <f t="shared" ca="1" si="6"/>
        <v>50313.112454129056</v>
      </c>
      <c r="AB204" s="1412"/>
      <c r="AC204" s="1287"/>
      <c r="AD204" s="1038"/>
      <c r="AE204" s="1038"/>
      <c r="AF204" s="1038"/>
      <c r="AG204" s="1038"/>
      <c r="AH204" s="1038"/>
      <c r="AI204" s="1038"/>
      <c r="AJ204" s="1038"/>
      <c r="AK204" s="1038"/>
      <c r="AL204" s="1038"/>
      <c r="AM204" s="1038"/>
      <c r="AN204" s="1038"/>
      <c r="AO204" s="1038"/>
      <c r="AP204" s="1038"/>
      <c r="AQ204" s="1038"/>
      <c r="AR204" s="1038"/>
      <c r="AS204" s="1038"/>
      <c r="AT204" s="1038"/>
      <c r="AU204" s="1038"/>
      <c r="AV204" s="1038"/>
      <c r="AW204" s="1038"/>
      <c r="AX204" s="1038"/>
      <c r="AY204" s="1038"/>
      <c r="AZ204" s="1038"/>
      <c r="BA204" s="1038"/>
      <c r="BB204" s="1038"/>
      <c r="BC204" s="1038"/>
      <c r="BD204" s="1287"/>
      <c r="BE204" s="1287"/>
    </row>
    <row r="205" spans="1:57" x14ac:dyDescent="0.25">
      <c r="A205" s="1287"/>
      <c r="B205" s="1346"/>
      <c r="C205" s="1506">
        <v>44642.126415203929</v>
      </c>
      <c r="D205" s="1286">
        <v>44491.624893632761</v>
      </c>
      <c r="E205" s="1286">
        <v>44345.032502491988</v>
      </c>
      <c r="F205" s="1286">
        <v>44233.622285225028</v>
      </c>
      <c r="G205" s="1286">
        <v>44129.121228718803</v>
      </c>
      <c r="H205" s="1286">
        <v>44035.55967675041</v>
      </c>
      <c r="I205" s="1286">
        <v>43958.876144708258</v>
      </c>
      <c r="J205" s="1286">
        <v>43887.964944473657</v>
      </c>
      <c r="K205" s="1286">
        <v>43827.859793702381</v>
      </c>
      <c r="L205" s="1286">
        <v>43777.058845836851</v>
      </c>
      <c r="M205" s="1286">
        <v>43730.847971404852</v>
      </c>
      <c r="N205" s="1286">
        <v>43690.165898020954</v>
      </c>
      <c r="O205" s="1286">
        <v>43655.971913926754</v>
      </c>
      <c r="P205" s="1286">
        <v>43625.034499746267</v>
      </c>
      <c r="Q205" s="1286">
        <v>43598.981940436395</v>
      </c>
      <c r="R205" s="1286">
        <v>43575.359153497375</v>
      </c>
      <c r="S205" s="1286">
        <v>43555.246648563247</v>
      </c>
      <c r="T205" s="1286">
        <v>43537.712087513959</v>
      </c>
      <c r="U205" s="1286">
        <v>43522.261645089369</v>
      </c>
      <c r="V205" s="1286">
        <v>43508.757813984281</v>
      </c>
      <c r="W205" s="1286">
        <v>43497.028224081987</v>
      </c>
      <c r="X205" s="1286">
        <v>43486.803738322029</v>
      </c>
      <c r="Y205" s="1286">
        <v>43477.88964476408</v>
      </c>
      <c r="Z205" s="1409"/>
      <c r="AA205" s="1410">
        <f t="shared" ca="1" si="6"/>
        <v>44075.949753203968</v>
      </c>
      <c r="AB205" s="1412"/>
      <c r="AC205" s="1287"/>
      <c r="AD205" s="1038"/>
      <c r="AE205" s="1038"/>
      <c r="AF205" s="1038"/>
      <c r="AG205" s="1038"/>
      <c r="AH205" s="1038"/>
      <c r="AI205" s="1038"/>
      <c r="AJ205" s="1038"/>
      <c r="AK205" s="1038"/>
      <c r="AL205" s="1038"/>
      <c r="AM205" s="1038"/>
      <c r="AN205" s="1038"/>
      <c r="AO205" s="1038"/>
      <c r="AP205" s="1038"/>
      <c r="AQ205" s="1038"/>
      <c r="AR205" s="1038"/>
      <c r="AS205" s="1038"/>
      <c r="AT205" s="1038"/>
      <c r="AU205" s="1038"/>
      <c r="AV205" s="1038"/>
      <c r="AW205" s="1038"/>
      <c r="AX205" s="1038"/>
      <c r="AY205" s="1038"/>
      <c r="AZ205" s="1038"/>
      <c r="BA205" s="1038"/>
      <c r="BB205" s="1038"/>
      <c r="BC205" s="1038"/>
      <c r="BD205" s="1287"/>
      <c r="BE205" s="1287"/>
    </row>
    <row r="206" spans="1:57" x14ac:dyDescent="0.25">
      <c r="A206" s="1287"/>
      <c r="B206" s="1346"/>
      <c r="C206" s="1506">
        <v>39142.734030722291</v>
      </c>
      <c r="D206" s="1286">
        <v>39010.772551663504</v>
      </c>
      <c r="E206" s="1286">
        <v>38882.238643489356</v>
      </c>
      <c r="F206" s="1286">
        <v>38784.552873277025</v>
      </c>
      <c r="G206" s="1286">
        <v>38692.92513532591</v>
      </c>
      <c r="H206" s="1286">
        <v>38610.889281788412</v>
      </c>
      <c r="I206" s="1286">
        <v>38543.652271809413</v>
      </c>
      <c r="J206" s="1286">
        <v>38481.476509284876</v>
      </c>
      <c r="K206" s="1286">
        <v>38428.775616217303</v>
      </c>
      <c r="L206" s="1286">
        <v>38384.232756132311</v>
      </c>
      <c r="M206" s="1286">
        <v>38343.714525652082</v>
      </c>
      <c r="N206" s="1286">
        <v>38308.044012032864</v>
      </c>
      <c r="O206" s="1286">
        <v>38278.062330327084</v>
      </c>
      <c r="P206" s="1286">
        <v>38250.936046878975</v>
      </c>
      <c r="Q206" s="1286">
        <v>38228.092860817429</v>
      </c>
      <c r="R206" s="1286">
        <v>38207.380127341901</v>
      </c>
      <c r="S206" s="1286">
        <v>38189.745249827203</v>
      </c>
      <c r="T206" s="1286">
        <v>38174.370743399923</v>
      </c>
      <c r="U206" s="1286">
        <v>38160.823616346483</v>
      </c>
      <c r="V206" s="1286">
        <v>38148.98330066738</v>
      </c>
      <c r="W206" s="1286">
        <v>38138.698660245798</v>
      </c>
      <c r="X206" s="1286">
        <v>38129.733712586705</v>
      </c>
      <c r="Y206" s="1286">
        <v>38121.91773200329</v>
      </c>
      <c r="Z206" s="1409"/>
      <c r="AA206" s="1410">
        <f t="shared" ca="1" si="6"/>
        <v>38646.303769113627</v>
      </c>
      <c r="AB206" s="1412"/>
      <c r="AC206" s="1287"/>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287"/>
      <c r="BE206" s="1287"/>
    </row>
    <row r="207" spans="1:57" x14ac:dyDescent="0.25">
      <c r="A207" s="1287"/>
      <c r="B207" s="1346"/>
      <c r="C207" s="1506">
        <v>34296.490769775723</v>
      </c>
      <c r="D207" s="1286">
        <v>34180.8673786004</v>
      </c>
      <c r="E207" s="1286">
        <v>34068.247192390671</v>
      </c>
      <c r="F207" s="1286">
        <v>33982.655850871291</v>
      </c>
      <c r="G207" s="1286">
        <v>33902.372499523655</v>
      </c>
      <c r="H207" s="1286">
        <v>33830.49346594794</v>
      </c>
      <c r="I207" s="1286">
        <v>33771.581038156815</v>
      </c>
      <c r="J207" s="1286">
        <v>33717.103227182932</v>
      </c>
      <c r="K207" s="1286">
        <v>33670.927206590393</v>
      </c>
      <c r="L207" s="1286">
        <v>33631.899176801642</v>
      </c>
      <c r="M207" s="1286">
        <v>33596.397489142772</v>
      </c>
      <c r="N207" s="1286">
        <v>33565.143324828801</v>
      </c>
      <c r="O207" s="1286">
        <v>33538.873660858015</v>
      </c>
      <c r="P207" s="1286">
        <v>33515.105869646337</v>
      </c>
      <c r="Q207" s="1286">
        <v>33495.090887573358</v>
      </c>
      <c r="R207" s="1286">
        <v>33476.942587766236</v>
      </c>
      <c r="S207" s="1286">
        <v>33461.49107603907</v>
      </c>
      <c r="T207" s="1286">
        <v>33448.020079931353</v>
      </c>
      <c r="U207" s="1286">
        <v>33436.15021622739</v>
      </c>
      <c r="V207" s="1286">
        <v>33425.775844394273</v>
      </c>
      <c r="W207" s="1286">
        <v>33416.764540405842</v>
      </c>
      <c r="X207" s="1286">
        <v>33408.9095386474</v>
      </c>
      <c r="Y207" s="1286">
        <v>33402.061250898121</v>
      </c>
      <c r="Z207" s="1409"/>
      <c r="AA207" s="1410">
        <f t="shared" ca="1" si="6"/>
        <v>33861.523302461464</v>
      </c>
      <c r="AB207" s="1412"/>
      <c r="AC207" s="1287"/>
      <c r="AD207" s="1038"/>
      <c r="AE207" s="1038"/>
      <c r="AF207" s="1038"/>
      <c r="AG207" s="1038"/>
      <c r="AH207" s="1038"/>
      <c r="AI207" s="1038"/>
      <c r="AJ207" s="1038"/>
      <c r="AK207" s="1038"/>
      <c r="AL207" s="1038"/>
      <c r="AM207" s="1038"/>
      <c r="AN207" s="1038"/>
      <c r="AO207" s="1038"/>
      <c r="AP207" s="1038"/>
      <c r="AQ207" s="1038"/>
      <c r="AR207" s="1038"/>
      <c r="AS207" s="1038"/>
      <c r="AT207" s="1038"/>
      <c r="AU207" s="1038"/>
      <c r="AV207" s="1038"/>
      <c r="AW207" s="1038"/>
      <c r="AX207" s="1038"/>
      <c r="AY207" s="1038"/>
      <c r="AZ207" s="1038"/>
      <c r="BA207" s="1038"/>
      <c r="BB207" s="1038"/>
      <c r="BC207" s="1038"/>
      <c r="BD207" s="1287"/>
      <c r="BE207" s="1287"/>
    </row>
    <row r="208" spans="1:57" x14ac:dyDescent="0.25">
      <c r="A208" s="1287"/>
      <c r="B208" s="1346"/>
      <c r="C208" s="1506">
        <v>30093.021148967557</v>
      </c>
      <c r="D208" s="1286">
        <v>29991.568869802581</v>
      </c>
      <c r="E208" s="1286">
        <v>29892.751714771759</v>
      </c>
      <c r="F208" s="1286">
        <v>29817.650676948353</v>
      </c>
      <c r="G208" s="1286">
        <v>29747.207067827163</v>
      </c>
      <c r="H208" s="1286">
        <v>29684.137720817827</v>
      </c>
      <c r="I208" s="1286">
        <v>29632.445757714198</v>
      </c>
      <c r="J208" s="1286">
        <v>29584.644892932098</v>
      </c>
      <c r="K208" s="1286">
        <v>29544.128328902436</v>
      </c>
      <c r="L208" s="1286">
        <v>29509.883678809241</v>
      </c>
      <c r="M208" s="1286">
        <v>29478.733172924716</v>
      </c>
      <c r="N208" s="1286">
        <v>29451.309602565656</v>
      </c>
      <c r="O208" s="1286">
        <v>29428.259618858701</v>
      </c>
      <c r="P208" s="1286">
        <v>29407.404871695257</v>
      </c>
      <c r="Q208" s="1286">
        <v>29389.8429793471</v>
      </c>
      <c r="R208" s="1286">
        <v>29373.91898369461</v>
      </c>
      <c r="S208" s="1286">
        <v>29360.361250563528</v>
      </c>
      <c r="T208" s="1286">
        <v>29348.541295761501</v>
      </c>
      <c r="U208" s="1286">
        <v>29338.126234294232</v>
      </c>
      <c r="V208" s="1286">
        <v>29329.02337321503</v>
      </c>
      <c r="W208" s="1286">
        <v>29321.116518740502</v>
      </c>
      <c r="X208" s="1286">
        <v>29314.224247002592</v>
      </c>
      <c r="Y208" s="1286">
        <v>29308.215303712834</v>
      </c>
      <c r="Z208" s="1409"/>
      <c r="AA208" s="1410">
        <f t="shared" ca="1" si="6"/>
        <v>29711.364457591535</v>
      </c>
      <c r="AB208" s="1412"/>
      <c r="AC208" s="1287"/>
      <c r="AD208" s="1038"/>
      <c r="AE208" s="1038"/>
      <c r="AF208" s="1038"/>
      <c r="AG208" s="1038"/>
      <c r="AH208" s="1038"/>
      <c r="AI208" s="1038"/>
      <c r="AJ208" s="1038"/>
      <c r="AK208" s="1038"/>
      <c r="AL208" s="1038"/>
      <c r="AM208" s="1038"/>
      <c r="AN208" s="1038"/>
      <c r="AO208" s="1038"/>
      <c r="AP208" s="1038"/>
      <c r="AQ208" s="1038"/>
      <c r="AR208" s="1038"/>
      <c r="AS208" s="1038"/>
      <c r="AT208" s="1038"/>
      <c r="AU208" s="1038"/>
      <c r="AV208" s="1038"/>
      <c r="AW208" s="1038"/>
      <c r="AX208" s="1038"/>
      <c r="AY208" s="1038"/>
      <c r="AZ208" s="1038"/>
      <c r="BA208" s="1038"/>
      <c r="BB208" s="1038"/>
      <c r="BC208" s="1038"/>
      <c r="BD208" s="1287"/>
      <c r="BE208" s="1287"/>
    </row>
    <row r="209" spans="1:57" x14ac:dyDescent="0.25">
      <c r="A209" s="1287"/>
      <c r="B209" s="1346"/>
      <c r="C209" s="1506">
        <v>26414.167707773478</v>
      </c>
      <c r="D209" s="1286">
        <v>26325.11790772403</v>
      </c>
      <c r="E209" s="1286">
        <v>26238.38108949404</v>
      </c>
      <c r="F209" s="1286">
        <v>26172.461107639261</v>
      </c>
      <c r="G209" s="1286">
        <v>26110.629186674698</v>
      </c>
      <c r="H209" s="1286">
        <v>26055.270028786312</v>
      </c>
      <c r="I209" s="1286">
        <v>26009.897376575544</v>
      </c>
      <c r="J209" s="1286">
        <v>25967.940138294925</v>
      </c>
      <c r="K209" s="1286">
        <v>25932.376699452259</v>
      </c>
      <c r="L209" s="1286">
        <v>25902.31843690102</v>
      </c>
      <c r="M209" s="1286">
        <v>25874.976061320227</v>
      </c>
      <c r="N209" s="1286">
        <v>25850.905005674987</v>
      </c>
      <c r="O209" s="1286">
        <v>25830.672868386977</v>
      </c>
      <c r="P209" s="1286">
        <v>25812.367601316862</v>
      </c>
      <c r="Q209" s="1286">
        <v>25796.952639573614</v>
      </c>
      <c r="R209" s="1286">
        <v>25782.975342656147</v>
      </c>
      <c r="S209" s="1286">
        <v>25771.075034113219</v>
      </c>
      <c r="T209" s="1286">
        <v>25760.700061560827</v>
      </c>
      <c r="U209" s="1286">
        <v>25751.558234991753</v>
      </c>
      <c r="V209" s="1286">
        <v>25743.568193115396</v>
      </c>
      <c r="W209" s="1286">
        <v>25736.627946767334</v>
      </c>
      <c r="X209" s="1286">
        <v>25730.578251036506</v>
      </c>
      <c r="Y209" s="1286">
        <v>25725.303897390972</v>
      </c>
      <c r="Z209" s="1409"/>
      <c r="AA209" s="1410">
        <f t="shared" ca="1" si="6"/>
        <v>26079.16831363169</v>
      </c>
      <c r="AB209" s="1412"/>
      <c r="AC209" s="1287"/>
      <c r="AD209" s="1038"/>
      <c r="AE209" s="1038"/>
      <c r="AF209" s="1038"/>
      <c r="AG209" s="1038"/>
      <c r="AH209" s="1038"/>
      <c r="AI209" s="1038"/>
      <c r="AJ209" s="1038"/>
      <c r="AK209" s="1038"/>
      <c r="AL209" s="1038"/>
      <c r="AM209" s="1038"/>
      <c r="AN209" s="1038"/>
      <c r="AO209" s="1038"/>
      <c r="AP209" s="1038"/>
      <c r="AQ209" s="1038"/>
      <c r="AR209" s="1038"/>
      <c r="AS209" s="1038"/>
      <c r="AT209" s="1038"/>
      <c r="AU209" s="1038"/>
      <c r="AV209" s="1038"/>
      <c r="AW209" s="1038"/>
      <c r="AX209" s="1038"/>
      <c r="AY209" s="1038"/>
      <c r="AZ209" s="1038"/>
      <c r="BA209" s="1038"/>
      <c r="BB209" s="1038"/>
      <c r="BC209" s="1038"/>
      <c r="BD209" s="1287"/>
      <c r="BE209" s="1287"/>
    </row>
    <row r="210" spans="1:57" x14ac:dyDescent="0.25">
      <c r="A210" s="1287"/>
      <c r="B210" s="1346"/>
      <c r="C210" s="1506">
        <v>23133.607264409751</v>
      </c>
      <c r="D210" s="1286">
        <v>23055.617182567723</v>
      </c>
      <c r="E210" s="1286">
        <v>22979.652817137176</v>
      </c>
      <c r="F210" s="1286">
        <v>29914.396625313802</v>
      </c>
      <c r="G210" s="1286">
        <v>29860.244043569688</v>
      </c>
      <c r="H210" s="1286">
        <v>22819.283601228264</v>
      </c>
      <c r="I210" s="1286">
        <v>22779.546096401282</v>
      </c>
      <c r="J210" s="1286">
        <v>22742.799821333239</v>
      </c>
      <c r="K210" s="1286">
        <v>29704.129980884511</v>
      </c>
      <c r="L210" s="1286">
        <v>29677.80486443171</v>
      </c>
      <c r="M210" s="1286">
        <v>22661.381604025639</v>
      </c>
      <c r="N210" s="1286">
        <v>29632.776827233749</v>
      </c>
      <c r="O210" s="1286">
        <v>22622.580734839987</v>
      </c>
      <c r="P210" s="1286">
        <v>22606.548927063377</v>
      </c>
      <c r="Q210" s="1286">
        <v>22593.048457356763</v>
      </c>
      <c r="R210" s="1286">
        <v>22580.807098814483</v>
      </c>
      <c r="S210" s="1286">
        <v>29562.861498820974</v>
      </c>
      <c r="T210" s="1286">
        <v>22561.298340853056</v>
      </c>
      <c r="U210" s="1286">
        <v>22553.291901737957</v>
      </c>
      <c r="V210" s="1286">
        <v>22546.294199109627</v>
      </c>
      <c r="W210" s="1286">
        <v>22540.215910552117</v>
      </c>
      <c r="X210" s="1286">
        <v>22534.917568894925</v>
      </c>
      <c r="Y210" s="1286">
        <v>22530.298274160399</v>
      </c>
      <c r="Z210" s="1409"/>
      <c r="AA210" s="1410">
        <f t="shared" ca="1" si="6"/>
        <v>25858.832695803998</v>
      </c>
      <c r="AB210" s="1412"/>
      <c r="AC210" s="1287"/>
      <c r="AD210" s="1038"/>
      <c r="AE210" s="1038"/>
      <c r="AF210" s="1038"/>
      <c r="AG210" s="1038"/>
      <c r="AH210" s="1038"/>
      <c r="AI210" s="1038"/>
      <c r="AJ210" s="1038"/>
      <c r="AK210" s="1038"/>
      <c r="AL210" s="1038"/>
      <c r="AM210" s="1038"/>
      <c r="AN210" s="1038"/>
      <c r="AO210" s="1038"/>
      <c r="AP210" s="1038"/>
      <c r="AQ210" s="1038"/>
      <c r="AR210" s="1038"/>
      <c r="AS210" s="1038"/>
      <c r="AT210" s="1038"/>
      <c r="AU210" s="1038"/>
      <c r="AV210" s="1038"/>
      <c r="AW210" s="1038"/>
      <c r="AX210" s="1038"/>
      <c r="AY210" s="1038"/>
      <c r="AZ210" s="1038"/>
      <c r="BA210" s="1038"/>
      <c r="BB210" s="1038"/>
      <c r="BC210" s="1038"/>
      <c r="BD210" s="1287"/>
      <c r="BE210" s="1287"/>
    </row>
    <row r="211" spans="1:57" x14ac:dyDescent="0.25">
      <c r="A211" s="1287"/>
      <c r="B211" s="1346"/>
      <c r="C211" s="1506">
        <v>20307.132692630359</v>
      </c>
      <c r="D211" s="1286">
        <v>26376.804239203419</v>
      </c>
      <c r="E211" s="1286">
        <v>26310.121234210812</v>
      </c>
      <c r="F211" s="1286">
        <v>26259.442150416435</v>
      </c>
      <c r="G211" s="1286">
        <v>26211.905955539551</v>
      </c>
      <c r="H211" s="1286">
        <v>26169.346001448666</v>
      </c>
      <c r="I211" s="1286">
        <v>26134.463642888131</v>
      </c>
      <c r="J211" s="1286">
        <v>26102.207044285173</v>
      </c>
      <c r="K211" s="1286">
        <v>26074.86597946065</v>
      </c>
      <c r="L211" s="1286">
        <v>26051.757277612043</v>
      </c>
      <c r="M211" s="1286">
        <v>26030.736541498238</v>
      </c>
      <c r="N211" s="1286">
        <v>26012.230786312331</v>
      </c>
      <c r="O211" s="1286">
        <v>25996.67638001384</v>
      </c>
      <c r="P211" s="1286">
        <v>25982.60334574377</v>
      </c>
      <c r="Q211" s="1286">
        <v>25970.752369516347</v>
      </c>
      <c r="R211" s="1286">
        <v>25960.006665683191</v>
      </c>
      <c r="S211" s="1286">
        <v>25950.857744265777</v>
      </c>
      <c r="T211" s="1286">
        <v>25942.881496570426</v>
      </c>
      <c r="U211" s="1286">
        <v>25935.853287798342</v>
      </c>
      <c r="V211" s="1286">
        <v>25929.710567634</v>
      </c>
      <c r="W211" s="1286">
        <v>25924.374927114535</v>
      </c>
      <c r="X211" s="1286">
        <v>25919.723939231244</v>
      </c>
      <c r="Y211" s="1286">
        <v>25915.669032011276</v>
      </c>
      <c r="Z211" s="1409"/>
      <c r="AA211" s="1410">
        <f t="shared" ca="1" si="6"/>
        <v>26187.718930963252</v>
      </c>
      <c r="AB211" s="1412"/>
      <c r="AC211" s="1287"/>
      <c r="AD211" s="1038"/>
      <c r="AE211" s="1038"/>
      <c r="AF211" s="1038"/>
      <c r="AG211" s="1038"/>
      <c r="AH211" s="1038"/>
      <c r="AI211" s="1038"/>
      <c r="AJ211" s="1038"/>
      <c r="AK211" s="1038"/>
      <c r="AL211" s="1038"/>
      <c r="AM211" s="1038"/>
      <c r="AN211" s="1038"/>
      <c r="AO211" s="1038"/>
      <c r="AP211" s="1038"/>
      <c r="AQ211" s="1038"/>
      <c r="AR211" s="1038"/>
      <c r="AS211" s="1038"/>
      <c r="AT211" s="1038"/>
      <c r="AU211" s="1038"/>
      <c r="AV211" s="1038"/>
      <c r="AW211" s="1038"/>
      <c r="AX211" s="1038"/>
      <c r="AY211" s="1038"/>
      <c r="AZ211" s="1038"/>
      <c r="BA211" s="1038"/>
      <c r="BB211" s="1038"/>
      <c r="BC211" s="1038"/>
      <c r="BD211" s="1287"/>
      <c r="BE211" s="1287"/>
    </row>
    <row r="212" spans="1:57" x14ac:dyDescent="0.25">
      <c r="A212" s="1287"/>
      <c r="B212" s="1346"/>
      <c r="C212" s="1506">
        <v>23177.728539499905</v>
      </c>
      <c r="D212" s="1286">
        <v>23117.726285430344</v>
      </c>
      <c r="E212" s="1286">
        <v>23059.282531466477</v>
      </c>
      <c r="F212" s="1286">
        <v>23014.865278453941</v>
      </c>
      <c r="G212" s="1286">
        <v>22973.202583767779</v>
      </c>
      <c r="H212" s="1286">
        <v>22935.901273098338</v>
      </c>
      <c r="I212" s="1286">
        <v>22905.328925892067</v>
      </c>
      <c r="J212" s="1286">
        <v>22877.057903722754</v>
      </c>
      <c r="K212" s="1286">
        <v>22853.095059428444</v>
      </c>
      <c r="L212" s="1286">
        <v>22832.841633755532</v>
      </c>
      <c r="M212" s="1286">
        <v>22814.418187935851</v>
      </c>
      <c r="N212" s="1286">
        <v>22798.198975812451</v>
      </c>
      <c r="O212" s="1286">
        <v>22784.56644838116</v>
      </c>
      <c r="P212" s="1286">
        <v>22772.232256895695</v>
      </c>
      <c r="Q212" s="1286">
        <v>22761.845569328991</v>
      </c>
      <c r="R212" s="1286">
        <v>22752.427588374725</v>
      </c>
      <c r="S212" s="1286">
        <v>22744.409093821079</v>
      </c>
      <c r="T212" s="1286">
        <v>22737.418379201757</v>
      </c>
      <c r="U212" s="1286">
        <v>22731.258565253243</v>
      </c>
      <c r="V212" s="1286">
        <v>22725.874830282188</v>
      </c>
      <c r="W212" s="1286">
        <v>22721.198453418339</v>
      </c>
      <c r="X212" s="1286">
        <v>22717.122134548637</v>
      </c>
      <c r="Y212" s="1286">
        <v>22713.568245518942</v>
      </c>
      <c r="Z212" s="1409"/>
      <c r="AA212" s="1410">
        <f t="shared" ca="1" si="6"/>
        <v>22952.004071289048</v>
      </c>
      <c r="AB212" s="1412"/>
      <c r="AC212" s="1287"/>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287"/>
      <c r="BE212" s="1287"/>
    </row>
    <row r="213" spans="1:57" x14ac:dyDescent="0.25">
      <c r="A213" s="1287"/>
      <c r="B213" s="1346"/>
      <c r="C213" s="1506">
        <v>20330.753213116248</v>
      </c>
      <c r="D213" s="1286">
        <v>20278.121178115925</v>
      </c>
      <c r="E213" s="1286">
        <v>20226.856208959758</v>
      </c>
      <c r="F213" s="1286">
        <v>20187.894832401078</v>
      </c>
      <c r="G213" s="1286">
        <v>20151.349665241392</v>
      </c>
      <c r="H213" s="1286">
        <v>20118.630162963425</v>
      </c>
      <c r="I213" s="1286">
        <v>24810.724406088983</v>
      </c>
      <c r="J213" s="1286">
        <v>20067.01466410363</v>
      </c>
      <c r="K213" s="1286">
        <v>20045.995232764548</v>
      </c>
      <c r="L213" s="1286">
        <v>20028.229583366483</v>
      </c>
      <c r="M213" s="1286">
        <v>20012.06913305934</v>
      </c>
      <c r="N213" s="1286">
        <v>24716.753481669439</v>
      </c>
      <c r="O213" s="1286">
        <v>19985.884153421048</v>
      </c>
      <c r="P213" s="1286">
        <v>19975.064999907063</v>
      </c>
      <c r="Q213" s="1286">
        <v>24684.865450259811</v>
      </c>
      <c r="R213" s="1286">
        <v>19957.692985756443</v>
      </c>
      <c r="S213" s="1286">
        <v>19950.659421892189</v>
      </c>
      <c r="T213" s="1286">
        <v>19944.527393317148</v>
      </c>
      <c r="U213" s="1286">
        <v>19939.124203914336</v>
      </c>
      <c r="V213" s="1286">
        <v>19934.401765868915</v>
      </c>
      <c r="W213" s="1286">
        <v>19930.299799457996</v>
      </c>
      <c r="X213" s="1286">
        <v>19926.724184495699</v>
      </c>
      <c r="Y213" s="1286">
        <v>19923.606828078035</v>
      </c>
      <c r="Z213" s="1409"/>
      <c r="AA213" s="1410">
        <f t="shared" ca="1" si="6"/>
        <v>20132.75501628967</v>
      </c>
      <c r="AB213" s="1412"/>
      <c r="AC213" s="1287"/>
      <c r="AD213" s="1038"/>
      <c r="AE213" s="1038"/>
      <c r="AF213" s="1038"/>
      <c r="AG213" s="1038"/>
      <c r="AH213" s="1038"/>
      <c r="AI213" s="1038"/>
      <c r="AJ213" s="1038"/>
      <c r="AK213" s="1038"/>
      <c r="AL213" s="1038"/>
      <c r="AM213" s="1038"/>
      <c r="AN213" s="1038"/>
      <c r="AO213" s="1038"/>
      <c r="AP213" s="1038"/>
      <c r="AQ213" s="1038"/>
      <c r="AR213" s="1038"/>
      <c r="AS213" s="1038"/>
      <c r="AT213" s="1038"/>
      <c r="AU213" s="1038"/>
      <c r="AV213" s="1038"/>
      <c r="AW213" s="1038"/>
      <c r="AX213" s="1038"/>
      <c r="AY213" s="1038"/>
      <c r="AZ213" s="1038"/>
      <c r="BA213" s="1038"/>
      <c r="BB213" s="1038"/>
      <c r="BC213" s="1038"/>
      <c r="BD213" s="1287"/>
      <c r="BE213" s="1287"/>
    </row>
    <row r="214" spans="1:57" x14ac:dyDescent="0.25">
      <c r="A214" s="1287"/>
      <c r="B214" s="1346"/>
      <c r="C214" s="1506">
        <v>17831.2816520614</v>
      </c>
      <c r="D214" s="1286">
        <v>17785.120222124489</v>
      </c>
      <c r="E214" s="1286">
        <v>17740.15779036775</v>
      </c>
      <c r="F214" s="1286">
        <v>17705.986342232631</v>
      </c>
      <c r="G214" s="1286">
        <v>21812.700379396869</v>
      </c>
      <c r="H214" s="1286">
        <v>21784.003426828625</v>
      </c>
      <c r="I214" s="1286">
        <v>21760.483256037489</v>
      </c>
      <c r="J214" s="1286">
        <v>21738.733559641074</v>
      </c>
      <c r="K214" s="1286">
        <v>17581.531940523531</v>
      </c>
      <c r="L214" s="1286">
        <v>21704.716733443223</v>
      </c>
      <c r="M214" s="1286">
        <v>21690.54305586078</v>
      </c>
      <c r="N214" s="1286">
        <v>21678.065157560519</v>
      </c>
      <c r="O214" s="1286">
        <v>21667.57726890298</v>
      </c>
      <c r="P214" s="1286">
        <v>17519.321901059175</v>
      </c>
      <c r="Q214" s="1286">
        <v>21650.097454473751</v>
      </c>
      <c r="R214" s="1286">
        <v>21642.851935539347</v>
      </c>
      <c r="S214" s="1286">
        <v>21636.683081047508</v>
      </c>
      <c r="T214" s="1286">
        <v>21631.304926707933</v>
      </c>
      <c r="U214" s="1286">
        <v>17487.799682013589</v>
      </c>
      <c r="V214" s="1286">
        <v>21622.424148261569</v>
      </c>
      <c r="W214" s="1286">
        <v>21618.82647936885</v>
      </c>
      <c r="X214" s="1286">
        <v>21615.69045205084</v>
      </c>
      <c r="Y214" s="1286">
        <v>21612.956344774509</v>
      </c>
      <c r="Z214" s="1409"/>
      <c r="AA214" s="1410">
        <f t="shared" ca="1" si="6"/>
        <v>21796.391764600179</v>
      </c>
      <c r="AB214" s="1412"/>
      <c r="AC214" s="1287"/>
      <c r="AD214" s="1038"/>
      <c r="AE214" s="1038"/>
      <c r="AF214" s="1038"/>
      <c r="AG214" s="1038"/>
      <c r="AH214" s="1038"/>
      <c r="AI214" s="1038"/>
      <c r="AJ214" s="1038"/>
      <c r="AK214" s="1038"/>
      <c r="AL214" s="1038"/>
      <c r="AM214" s="1038"/>
      <c r="AN214" s="1038"/>
      <c r="AO214" s="1038"/>
      <c r="AP214" s="1038"/>
      <c r="AQ214" s="1038"/>
      <c r="AR214" s="1038"/>
      <c r="AS214" s="1038"/>
      <c r="AT214" s="1038"/>
      <c r="AU214" s="1038"/>
      <c r="AV214" s="1038"/>
      <c r="AW214" s="1038"/>
      <c r="AX214" s="1038"/>
      <c r="AY214" s="1038"/>
      <c r="AZ214" s="1038"/>
      <c r="BA214" s="1038"/>
      <c r="BB214" s="1038"/>
      <c r="BC214" s="1038"/>
      <c r="BD214" s="1287"/>
      <c r="BE214" s="1287"/>
    </row>
    <row r="215" spans="1:57" x14ac:dyDescent="0.25">
      <c r="A215" s="1287"/>
      <c r="B215" s="1346"/>
      <c r="C215" s="1506">
        <v>15632.09024830716</v>
      </c>
      <c r="D215" s="1286">
        <v>15591.622061395799</v>
      </c>
      <c r="E215" s="1286">
        <v>19180.523475108046</v>
      </c>
      <c r="F215" s="1286">
        <v>19150.566505576262</v>
      </c>
      <c r="G215" s="1286">
        <v>19122.467332604589</v>
      </c>
      <c r="H215" s="1286">
        <v>19097.309670853094</v>
      </c>
      <c r="I215" s="1286">
        <v>19076.690321126196</v>
      </c>
      <c r="J215" s="1286">
        <v>19057.623087285341</v>
      </c>
      <c r="K215" s="1286">
        <v>19041.461480077945</v>
      </c>
      <c r="L215" s="1286">
        <v>19027.801669651893</v>
      </c>
      <c r="M215" s="1286">
        <v>19015.376078971283</v>
      </c>
      <c r="N215" s="1286">
        <v>19004.437121461389</v>
      </c>
      <c r="O215" s="1286">
        <v>18995.242739071611</v>
      </c>
      <c r="P215" s="1286">
        <v>18986.92401214753</v>
      </c>
      <c r="Q215" s="1286">
        <v>18979.918768421987</v>
      </c>
      <c r="R215" s="1286">
        <v>18973.566863489494</v>
      </c>
      <c r="S215" s="1286">
        <v>18968.158834384983</v>
      </c>
      <c r="T215" s="1286">
        <v>18963.443985747286</v>
      </c>
      <c r="U215" s="1286">
        <v>18959.289533450898</v>
      </c>
      <c r="V215" s="1286">
        <v>18955.658503309307</v>
      </c>
      <c r="W215" s="1286">
        <v>18952.504546913358</v>
      </c>
      <c r="X215" s="1286">
        <v>18949.755296297899</v>
      </c>
      <c r="Y215" s="1286">
        <v>18947.358395585652</v>
      </c>
      <c r="Z215" s="1409"/>
      <c r="AA215" s="1410">
        <f t="shared" ca="1" si="6"/>
        <v>19108.170113632827</v>
      </c>
      <c r="AB215" s="1413"/>
      <c r="AC215" s="1287"/>
      <c r="AD215" s="1038"/>
      <c r="AE215" s="1038"/>
      <c r="AF215" s="1038"/>
      <c r="AG215" s="1038"/>
      <c r="AH215" s="1038"/>
      <c r="AI215" s="1038"/>
      <c r="AJ215" s="1038"/>
      <c r="AK215" s="1038"/>
      <c r="AL215" s="1038"/>
      <c r="AM215" s="1038"/>
      <c r="AN215" s="1038"/>
      <c r="AO215" s="1038"/>
      <c r="AP215" s="1038"/>
      <c r="AQ215" s="1038"/>
      <c r="AR215" s="1038"/>
      <c r="AS215" s="1038"/>
      <c r="AT215" s="1038"/>
      <c r="AU215" s="1038"/>
      <c r="AV215" s="1038"/>
      <c r="AW215" s="1038"/>
      <c r="AX215" s="1038"/>
      <c r="AY215" s="1038"/>
      <c r="AZ215" s="1038"/>
      <c r="BA215" s="1038"/>
      <c r="BB215" s="1038"/>
      <c r="BC215" s="1038"/>
      <c r="BD215" s="1287"/>
      <c r="BE215" s="1287"/>
    </row>
    <row r="216" spans="1:57" x14ac:dyDescent="0.25">
      <c r="A216" s="1287"/>
      <c r="B216" s="1346"/>
      <c r="C216" s="1512"/>
      <c r="D216" s="1407"/>
      <c r="E216" s="1407"/>
      <c r="F216" s="1407"/>
      <c r="G216" s="1407"/>
      <c r="H216" s="1407"/>
      <c r="I216" s="1407"/>
      <c r="J216" s="1407"/>
      <c r="K216" s="1407"/>
      <c r="L216" s="1407"/>
      <c r="M216" s="1407"/>
      <c r="N216" s="1407"/>
      <c r="O216" s="1407"/>
      <c r="P216" s="1409"/>
      <c r="Q216" s="1409"/>
      <c r="R216" s="1409"/>
      <c r="S216" s="1409"/>
      <c r="T216" s="1407"/>
      <c r="U216" s="1409"/>
      <c r="V216" s="1409"/>
      <c r="W216" s="1409"/>
      <c r="X216" s="1409"/>
      <c r="Y216" s="1409"/>
      <c r="Z216" s="1409"/>
      <c r="AA216" s="1409"/>
      <c r="AB216" s="1420"/>
      <c r="AC216" s="1287"/>
      <c r="AD216" s="1038"/>
      <c r="AE216" s="1038"/>
      <c r="AF216" s="1038"/>
      <c r="AG216" s="1038"/>
      <c r="AH216" s="1038"/>
      <c r="AI216" s="1038"/>
      <c r="AJ216" s="1038"/>
      <c r="AK216" s="1038"/>
      <c r="AL216" s="1038"/>
      <c r="AM216" s="1038"/>
      <c r="AN216" s="1038"/>
      <c r="AO216" s="1038"/>
      <c r="AP216" s="1038"/>
      <c r="AQ216" s="1038"/>
      <c r="AR216" s="1038"/>
      <c r="AS216" s="1038"/>
      <c r="AT216" s="1038"/>
      <c r="AU216" s="1038"/>
      <c r="AV216" s="1038"/>
      <c r="AW216" s="1038"/>
      <c r="AX216" s="1038"/>
      <c r="AY216" s="1038"/>
      <c r="AZ216" s="1038"/>
      <c r="BA216" s="1038"/>
      <c r="BB216" s="1038"/>
      <c r="BC216" s="1038"/>
      <c r="BD216" s="1287"/>
      <c r="BE216" s="1287"/>
    </row>
    <row r="217" spans="1:57" x14ac:dyDescent="0.25">
      <c r="A217" s="1287"/>
      <c r="B217" s="1340" t="s">
        <v>1290</v>
      </c>
      <c r="C217" s="1506">
        <v>6352.628054976064</v>
      </c>
      <c r="D217" s="1286">
        <v>6219.3430591622637</v>
      </c>
      <c r="E217" s="1286">
        <v>6089.5200112916782</v>
      </c>
      <c r="F217" s="1286">
        <v>5990.8544949100333</v>
      </c>
      <c r="G217" s="1286">
        <v>5898.3077702419805</v>
      </c>
      <c r="H217" s="1286">
        <v>5815.4491324537776</v>
      </c>
      <c r="I217" s="1286">
        <v>5747.5377642461572</v>
      </c>
      <c r="J217" s="1286">
        <v>5684.7384056233941</v>
      </c>
      <c r="K217" s="1286">
        <v>5631.5089453142473</v>
      </c>
      <c r="L217" s="1286">
        <v>5655.3581878292925</v>
      </c>
      <c r="M217" s="1286">
        <v>5605.6080835919429</v>
      </c>
      <c r="N217" s="1286">
        <v>5561.8102239687069</v>
      </c>
      <c r="O217" s="1286">
        <v>5524.9973678198658</v>
      </c>
      <c r="P217" s="1286">
        <v>5491.6904979709134</v>
      </c>
      <c r="Q217" s="1286">
        <v>5498.4717867647114</v>
      </c>
      <c r="R217" s="1286">
        <v>5468.5282100824907</v>
      </c>
      <c r="S217" s="1286">
        <v>5443.0341676004709</v>
      </c>
      <c r="T217" s="1286">
        <v>5443.9355301858068</v>
      </c>
      <c r="U217" s="1286">
        <v>5421.4002138061878</v>
      </c>
      <c r="V217" s="1286">
        <v>5419.3020377030607</v>
      </c>
      <c r="W217" s="1286">
        <v>5399.9536357296583</v>
      </c>
      <c r="X217" s="1286">
        <v>5396.4930048512879</v>
      </c>
      <c r="Y217" s="1286">
        <v>5391.7890340407967</v>
      </c>
      <c r="Z217" s="1409"/>
      <c r="AA217" s="1410">
        <f t="shared" ref="AA217:AA239" ca="1" si="7">FORECAST($C$54,OFFSET(C217:Y217,0,MATCH($C$54,$G$72:$Y$72,1)-1,1,2), OFFSET($G$72:$Y$72,0,MATCH($C$54,$G$72:$Y$72,1)-1,1,2))</f>
        <v>5851.218811822002</v>
      </c>
      <c r="AB217" s="1411" t="e">
        <f ca="1">FORECAST($C$55,OFFSET(AA217:AA239,MATCH($C$55,$B$73:$B$95,1)-1,0,2), OFFSET($B$73:$B$95,MATCH($C$55,$B$73:$B$95,1)-1,0,2))</f>
        <v>#REF!</v>
      </c>
      <c r="AC217" s="1287"/>
      <c r="AD217" s="1038"/>
      <c r="AE217" s="1038"/>
      <c r="AF217" s="1038"/>
      <c r="AG217" s="1038"/>
      <c r="AH217" s="1038"/>
      <c r="AI217" s="1038"/>
      <c r="AJ217" s="1038"/>
      <c r="AK217" s="1038"/>
      <c r="AL217" s="1038"/>
      <c r="AM217" s="1038"/>
      <c r="AN217" s="1038"/>
      <c r="AO217" s="1038"/>
      <c r="AP217" s="1038"/>
      <c r="AQ217" s="1038"/>
      <c r="AR217" s="1038"/>
      <c r="AS217" s="1038"/>
      <c r="AT217" s="1038"/>
      <c r="AU217" s="1038"/>
      <c r="AV217" s="1038"/>
      <c r="AW217" s="1038"/>
      <c r="AX217" s="1038"/>
      <c r="AY217" s="1038"/>
      <c r="AZ217" s="1038"/>
      <c r="BA217" s="1038"/>
      <c r="BB217" s="1038"/>
      <c r="BC217" s="1038"/>
      <c r="BD217" s="1287"/>
      <c r="BE217" s="1287"/>
    </row>
    <row r="218" spans="1:57" x14ac:dyDescent="0.25">
      <c r="A218" s="1287"/>
      <c r="B218" s="1346"/>
      <c r="C218" s="1506">
        <v>6352.628054976064</v>
      </c>
      <c r="D218" s="1286">
        <v>6219.3430591622637</v>
      </c>
      <c r="E218" s="1286">
        <v>6089.5200112916782</v>
      </c>
      <c r="F218" s="1286">
        <v>5990.8544949100333</v>
      </c>
      <c r="G218" s="1286">
        <v>5898.3077702419805</v>
      </c>
      <c r="H218" s="1286">
        <v>5815.4491324537776</v>
      </c>
      <c r="I218" s="1286">
        <v>5747.5377642461572</v>
      </c>
      <c r="J218" s="1286">
        <v>5783.7608131933985</v>
      </c>
      <c r="K218" s="1286">
        <v>5717.9043344692845</v>
      </c>
      <c r="L218" s="1286">
        <v>5662.2423570956526</v>
      </c>
      <c r="M218" s="1286">
        <v>5611.6096670549232</v>
      </c>
      <c r="N218" s="1286">
        <v>5567.0348167154971</v>
      </c>
      <c r="O218" s="1286">
        <v>5579.8537028174505</v>
      </c>
      <c r="P218" s="1286">
        <v>5539.4565583769736</v>
      </c>
      <c r="Q218" s="1286">
        <v>5505.4379104270993</v>
      </c>
      <c r="R218" s="1286">
        <v>5507.9415016230687</v>
      </c>
      <c r="S218" s="1286">
        <v>5477.4539199413384</v>
      </c>
      <c r="T218" s="1286">
        <v>5450.8741197625732</v>
      </c>
      <c r="U218" s="1286">
        <v>5449.6482126164356</v>
      </c>
      <c r="V218" s="1286">
        <v>5445.6992528688133</v>
      </c>
      <c r="W218" s="1286">
        <v>5439.8841620673566</v>
      </c>
      <c r="X218" s="1286">
        <v>5417.9414090443079</v>
      </c>
      <c r="Y218" s="1286">
        <v>5411.6837996765844</v>
      </c>
      <c r="Z218" s="1409"/>
      <c r="AA218" s="1410">
        <f t="shared" ca="1" si="7"/>
        <v>5851.218811822002</v>
      </c>
      <c r="AB218" s="1412"/>
      <c r="AC218" s="1287"/>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287"/>
      <c r="BE218" s="1287"/>
    </row>
    <row r="219" spans="1:57" x14ac:dyDescent="0.25">
      <c r="A219" s="1287"/>
      <c r="B219" s="1346"/>
      <c r="C219" s="1506">
        <v>6352.628054976064</v>
      </c>
      <c r="D219" s="1286">
        <v>6219.3430591622637</v>
      </c>
      <c r="E219" s="1286">
        <v>6089.5200112916782</v>
      </c>
      <c r="F219" s="1286">
        <v>5990.8544949100333</v>
      </c>
      <c r="G219" s="1286">
        <v>5898.3077702419805</v>
      </c>
      <c r="H219" s="1286">
        <v>5958.9886145475048</v>
      </c>
      <c r="I219" s="1286">
        <v>5873.2935936911044</v>
      </c>
      <c r="J219" s="1286">
        <v>5794.0492419870798</v>
      </c>
      <c r="K219" s="1286">
        <v>5726.8808159671271</v>
      </c>
      <c r="L219" s="1286">
        <v>5670.1099791143497</v>
      </c>
      <c r="M219" s="1286">
        <v>5618.4686195840441</v>
      </c>
      <c r="N219" s="1286">
        <v>5636.4451045300402</v>
      </c>
      <c r="O219" s="1286">
        <v>5590.3028883110328</v>
      </c>
      <c r="P219" s="1286">
        <v>5596.8898924369596</v>
      </c>
      <c r="Q219" s="1286">
        <v>5555.6920777295873</v>
      </c>
      <c r="R219" s="1286">
        <v>5518.336546259171</v>
      </c>
      <c r="S219" s="1286">
        <v>5518.6821913368458</v>
      </c>
      <c r="T219" s="1286">
        <v>5514.971559849715</v>
      </c>
      <c r="U219" s="1286">
        <v>5483.373025892286</v>
      </c>
      <c r="V219" s="1286">
        <v>5477.1246475201997</v>
      </c>
      <c r="W219" s="1286">
        <v>5469.0644549628287</v>
      </c>
      <c r="X219" s="1286">
        <v>5459.6891661045938</v>
      </c>
      <c r="Y219" s="1286">
        <v>5463.6774960606717</v>
      </c>
      <c r="Z219" s="1409"/>
      <c r="AA219" s="1410">
        <f t="shared" ca="1" si="7"/>
        <v>5932.7929830172125</v>
      </c>
      <c r="AB219" s="1412"/>
      <c r="AC219" s="1287"/>
      <c r="AD219" s="1038"/>
      <c r="AE219" s="1038"/>
      <c r="AF219" s="1038"/>
      <c r="AG219" s="1038"/>
      <c r="AH219" s="1038"/>
      <c r="AI219" s="1038"/>
      <c r="AJ219" s="1038"/>
      <c r="AK219" s="1038"/>
      <c r="AL219" s="1038"/>
      <c r="AM219" s="1038"/>
      <c r="AN219" s="1038"/>
      <c r="AO219" s="1038"/>
      <c r="AP219" s="1038"/>
      <c r="AQ219" s="1038"/>
      <c r="AR219" s="1038"/>
      <c r="AS219" s="1038"/>
      <c r="AT219" s="1038"/>
      <c r="AU219" s="1038"/>
      <c r="AV219" s="1038"/>
      <c r="AW219" s="1038"/>
      <c r="AX219" s="1038"/>
      <c r="AY219" s="1038"/>
      <c r="AZ219" s="1038"/>
      <c r="BA219" s="1038"/>
      <c r="BB219" s="1038"/>
      <c r="BC219" s="1038"/>
      <c r="BD219" s="1287"/>
      <c r="BE219" s="1287"/>
    </row>
    <row r="220" spans="1:57" x14ac:dyDescent="0.25">
      <c r="A220" s="1287"/>
      <c r="B220" s="1346"/>
      <c r="C220" s="1506">
        <v>6352.628054976064</v>
      </c>
      <c r="D220" s="1286">
        <v>6219.3430591622637</v>
      </c>
      <c r="E220" s="1286">
        <v>6089.5200112916782</v>
      </c>
      <c r="F220" s="1286">
        <v>5990.8544949100333</v>
      </c>
      <c r="G220" s="1286">
        <v>6081.0413916181997</v>
      </c>
      <c r="H220" s="1286">
        <v>5974.1874298108978</v>
      </c>
      <c r="I220" s="1286">
        <v>5886.6093698953155</v>
      </c>
      <c r="J220" s="1286">
        <v>5805.6237243799706</v>
      </c>
      <c r="K220" s="1286">
        <v>5736.9793576521997</v>
      </c>
      <c r="L220" s="1286">
        <v>5771.4027682286478</v>
      </c>
      <c r="M220" s="1286">
        <v>5706.7751536836895</v>
      </c>
      <c r="N220" s="1286">
        <v>5649.8797715932178</v>
      </c>
      <c r="O220" s="1286">
        <v>5663.445297922387</v>
      </c>
      <c r="P220" s="1286">
        <v>5612.2437976520205</v>
      </c>
      <c r="Q220" s="1286">
        <v>5615.8978502640593</v>
      </c>
      <c r="R220" s="1286">
        <v>5611.4563157149669</v>
      </c>
      <c r="S220" s="1286">
        <v>5567.8537349627695</v>
      </c>
      <c r="T220" s="1286">
        <v>5560.8974590468179</v>
      </c>
      <c r="U220" s="1286">
        <v>5550.5343990510601</v>
      </c>
      <c r="V220" s="1286">
        <v>5537.9641650287185</v>
      </c>
      <c r="W220" s="1286">
        <v>5544.757438286445</v>
      </c>
      <c r="X220" s="1286">
        <v>5527.4815326609178</v>
      </c>
      <c r="Y220" s="1286">
        <v>5525.8695974864941</v>
      </c>
      <c r="Z220" s="1409"/>
      <c r="AA220" s="1410">
        <f t="shared" ca="1" si="7"/>
        <v>6020.3157762947194</v>
      </c>
      <c r="AB220" s="1412"/>
      <c r="AC220" s="1287"/>
      <c r="AD220" s="1038"/>
      <c r="AE220" s="1038"/>
      <c r="AF220" s="1038"/>
      <c r="AG220" s="1038"/>
      <c r="AH220" s="1038"/>
      <c r="AI220" s="1038"/>
      <c r="AJ220" s="1038"/>
      <c r="AK220" s="1038"/>
      <c r="AL220" s="1038"/>
      <c r="AM220" s="1038"/>
      <c r="AN220" s="1038"/>
      <c r="AO220" s="1038"/>
      <c r="AP220" s="1038"/>
      <c r="AQ220" s="1038"/>
      <c r="AR220" s="1038"/>
      <c r="AS220" s="1038"/>
      <c r="AT220" s="1038"/>
      <c r="AU220" s="1038"/>
      <c r="AV220" s="1038"/>
      <c r="AW220" s="1038"/>
      <c r="AX220" s="1038"/>
      <c r="AY220" s="1038"/>
      <c r="AZ220" s="1038"/>
      <c r="BA220" s="1038"/>
      <c r="BB220" s="1038"/>
      <c r="BC220" s="1038"/>
      <c r="BD220" s="1287"/>
      <c r="BE220" s="1287"/>
    </row>
    <row r="221" spans="1:57" x14ac:dyDescent="0.25">
      <c r="A221" s="1287"/>
      <c r="B221" s="1346"/>
      <c r="C221" s="1506">
        <v>6352.628054976064</v>
      </c>
      <c r="D221" s="1286">
        <v>6219.3430591622637</v>
      </c>
      <c r="E221" s="1286">
        <v>6089.5200112916782</v>
      </c>
      <c r="F221" s="1286">
        <v>5990.8544949100333</v>
      </c>
      <c r="G221" s="1286">
        <v>6102.4257712329736</v>
      </c>
      <c r="H221" s="1286">
        <v>5992.7637595772658</v>
      </c>
      <c r="I221" s="1286">
        <v>5902.8842074782406</v>
      </c>
      <c r="J221" s="1286">
        <v>5684.7384056233941</v>
      </c>
      <c r="K221" s="1286">
        <v>5867.1350941092187</v>
      </c>
      <c r="L221" s="1286">
        <v>5793.038728780065</v>
      </c>
      <c r="M221" s="1286">
        <v>5545.5947286749215</v>
      </c>
      <c r="N221" s="1286">
        <v>5744.6666527493171</v>
      </c>
      <c r="O221" s="1286">
        <v>5753.5676339608117</v>
      </c>
      <c r="P221" s="1286">
        <v>5511.5937084348798</v>
      </c>
      <c r="Q221" s="1286">
        <v>5690.0358701233072</v>
      </c>
      <c r="R221" s="1286">
        <v>5680.7553605843395</v>
      </c>
      <c r="S221" s="1286">
        <v>5429.7964745407126</v>
      </c>
      <c r="T221" s="1286">
        <v>5409.2444935430549</v>
      </c>
      <c r="U221" s="1286">
        <v>5421.4010475027262</v>
      </c>
      <c r="V221" s="1286">
        <v>5639.2798002627633</v>
      </c>
      <c r="W221" s="1286">
        <v>5638.002859184583</v>
      </c>
      <c r="X221" s="1286">
        <v>5389.7913132265221</v>
      </c>
      <c r="Y221" s="1286">
        <v>5374.2358530435567</v>
      </c>
      <c r="Z221" s="1409"/>
      <c r="AA221" s="1410">
        <f t="shared" ca="1" si="7"/>
        <v>6040.1043278089801</v>
      </c>
      <c r="AB221" s="1412"/>
      <c r="AC221" s="1287"/>
      <c r="AD221" s="1038"/>
      <c r="AE221" s="1038"/>
      <c r="AF221" s="1038"/>
      <c r="AG221" s="1038"/>
      <c r="AH221" s="1038"/>
      <c r="AI221" s="1038"/>
      <c r="AJ221" s="1038"/>
      <c r="AK221" s="1038"/>
      <c r="AL221" s="1038"/>
      <c r="AM221" s="1038"/>
      <c r="AN221" s="1038"/>
      <c r="AO221" s="1038"/>
      <c r="AP221" s="1038"/>
      <c r="AQ221" s="1038"/>
      <c r="AR221" s="1038"/>
      <c r="AS221" s="1038"/>
      <c r="AT221" s="1038"/>
      <c r="AU221" s="1038"/>
      <c r="AV221" s="1038"/>
      <c r="AW221" s="1038"/>
      <c r="AX221" s="1038"/>
      <c r="AY221" s="1038"/>
      <c r="AZ221" s="1038"/>
      <c r="BA221" s="1038"/>
      <c r="BB221" s="1038"/>
      <c r="BC221" s="1038"/>
      <c r="BD221" s="1287"/>
      <c r="BE221" s="1287"/>
    </row>
    <row r="222" spans="1:57" x14ac:dyDescent="0.25">
      <c r="A222" s="1287"/>
      <c r="B222" s="1346"/>
      <c r="C222" s="1506">
        <v>6352.628054976064</v>
      </c>
      <c r="D222" s="1286">
        <v>6219.3430591622637</v>
      </c>
      <c r="E222" s="1286">
        <v>6089.5200112916782</v>
      </c>
      <c r="F222" s="1286">
        <v>5990.8544949100333</v>
      </c>
      <c r="G222" s="1286">
        <v>6123.8101508477457</v>
      </c>
      <c r="H222" s="1286">
        <v>5815.4491324537776</v>
      </c>
      <c r="I222" s="1286">
        <v>5747.5377642461572</v>
      </c>
      <c r="J222" s="1286">
        <v>5684.7384056233941</v>
      </c>
      <c r="K222" s="1286">
        <v>5631.5089453142473</v>
      </c>
      <c r="L222" s="1286">
        <v>5586.5193395421193</v>
      </c>
      <c r="M222" s="1286">
        <v>5545.5947286749215</v>
      </c>
      <c r="N222" s="1286">
        <v>5596.1432620190481</v>
      </c>
      <c r="O222" s="1286">
        <v>5555.0387761139145</v>
      </c>
      <c r="P222" s="1286">
        <v>5517.849003152126</v>
      </c>
      <c r="Q222" s="1286">
        <v>5486.5312996053581</v>
      </c>
      <c r="R222" s="1286">
        <v>5458.134418151034</v>
      </c>
      <c r="S222" s="1286">
        <v>5477.8332649908634</v>
      </c>
      <c r="T222" s="1286">
        <v>5451.2054844105778</v>
      </c>
      <c r="U222" s="1286">
        <v>5427.7426221471078</v>
      </c>
      <c r="V222" s="1286">
        <v>5436.3985750880393</v>
      </c>
      <c r="W222" s="1286">
        <v>5414.8738422401702</v>
      </c>
      <c r="X222" s="1286">
        <v>5418.3255339283633</v>
      </c>
      <c r="Y222" s="1286">
        <v>5418.5394324483605</v>
      </c>
      <c r="Z222" s="1409"/>
      <c r="AA222" s="1410">
        <f t="shared" ca="1" si="7"/>
        <v>5948.5671157086499</v>
      </c>
      <c r="AB222" s="1412"/>
      <c r="AC222" s="1287"/>
      <c r="AD222" s="1038"/>
      <c r="AE222" s="1038"/>
      <c r="AF222" s="1038"/>
      <c r="AG222" s="1038"/>
      <c r="AH222" s="1038"/>
      <c r="AI222" s="1038"/>
      <c r="AJ222" s="1038"/>
      <c r="AK222" s="1038"/>
      <c r="AL222" s="1038"/>
      <c r="AM222" s="1038"/>
      <c r="AN222" s="1038"/>
      <c r="AO222" s="1038"/>
      <c r="AP222" s="1038"/>
      <c r="AQ222" s="1038"/>
      <c r="AR222" s="1038"/>
      <c r="AS222" s="1038"/>
      <c r="AT222" s="1038"/>
      <c r="AU222" s="1038"/>
      <c r="AV222" s="1038"/>
      <c r="AW222" s="1038"/>
      <c r="AX222" s="1038"/>
      <c r="AY222" s="1038"/>
      <c r="AZ222" s="1038"/>
      <c r="BA222" s="1038"/>
      <c r="BB222" s="1038"/>
      <c r="BC222" s="1038"/>
      <c r="BD222" s="1287"/>
      <c r="BE222" s="1287"/>
    </row>
    <row r="223" spans="1:57" x14ac:dyDescent="0.25">
      <c r="A223" s="1287"/>
      <c r="B223" s="1346"/>
      <c r="C223" s="1506">
        <v>6352.628054976064</v>
      </c>
      <c r="D223" s="1286">
        <v>6219.3430591622637</v>
      </c>
      <c r="E223" s="1286">
        <v>6089.5200112916782</v>
      </c>
      <c r="F223" s="1286">
        <v>5990.8544949100333</v>
      </c>
      <c r="G223" s="1286">
        <v>5898.3077702419805</v>
      </c>
      <c r="H223" s="1286">
        <v>5815.4491324537776</v>
      </c>
      <c r="I223" s="1286">
        <v>5747.5377642461572</v>
      </c>
      <c r="J223" s="1286">
        <v>5684.7384056233941</v>
      </c>
      <c r="K223" s="1286">
        <v>5631.5089453142473</v>
      </c>
      <c r="L223" s="1286">
        <v>5714.3653529695212</v>
      </c>
      <c r="M223" s="1286">
        <v>5657.0502275603476</v>
      </c>
      <c r="N223" s="1286">
        <v>5606.5924475126303</v>
      </c>
      <c r="O223" s="1286">
        <v>5564.1818134207988</v>
      </c>
      <c r="P223" s="1286">
        <v>5525.810287337712</v>
      </c>
      <c r="Q223" s="1286">
        <v>5558.1814181566106</v>
      </c>
      <c r="R223" s="1286">
        <v>5520.5034332630039</v>
      </c>
      <c r="S223" s="1286">
        <v>5488.4242946314171</v>
      </c>
      <c r="T223" s="1286">
        <v>5503.4091551295169</v>
      </c>
      <c r="U223" s="1286">
        <v>5473.2858245329408</v>
      </c>
      <c r="V223" s="1286">
        <v>5479.6401915306642</v>
      </c>
      <c r="W223" s="1286">
        <v>5452.6109484532226</v>
      </c>
      <c r="X223" s="1286">
        <v>5453.9455711390247</v>
      </c>
      <c r="Y223" s="1286">
        <v>5451.9763424838302</v>
      </c>
      <c r="Z223" s="1409"/>
      <c r="AA223" s="1410">
        <f t="shared" ca="1" si="7"/>
        <v>5851.218811822002</v>
      </c>
      <c r="AB223" s="1412"/>
      <c r="AC223" s="1287"/>
      <c r="AD223" s="1038"/>
      <c r="AE223" s="1038"/>
      <c r="AF223" s="1038"/>
      <c r="AG223" s="1038"/>
      <c r="AH223" s="1038"/>
      <c r="AI223" s="1038"/>
      <c r="AJ223" s="1038"/>
      <c r="AK223" s="1038"/>
      <c r="AL223" s="1038"/>
      <c r="AM223" s="1038"/>
      <c r="AN223" s="1038"/>
      <c r="AO223" s="1038"/>
      <c r="AP223" s="1038"/>
      <c r="AQ223" s="1038"/>
      <c r="AR223" s="1038"/>
      <c r="AS223" s="1038"/>
      <c r="AT223" s="1038"/>
      <c r="AU223" s="1038"/>
      <c r="AV223" s="1038"/>
      <c r="AW223" s="1038"/>
      <c r="AX223" s="1038"/>
      <c r="AY223" s="1038"/>
      <c r="AZ223" s="1038"/>
      <c r="BA223" s="1038"/>
      <c r="BB223" s="1038"/>
      <c r="BC223" s="1038"/>
      <c r="BD223" s="1287"/>
      <c r="BE223" s="1287"/>
    </row>
    <row r="224" spans="1:57" x14ac:dyDescent="0.25">
      <c r="A224" s="1287"/>
      <c r="B224" s="1346"/>
      <c r="C224" s="1506">
        <v>6352.628054976064</v>
      </c>
      <c r="D224" s="1286">
        <v>6219.3430591622637</v>
      </c>
      <c r="E224" s="1286">
        <v>6089.5200112916782</v>
      </c>
      <c r="F224" s="1286">
        <v>5990.8544949100333</v>
      </c>
      <c r="G224" s="1286">
        <v>5898.3077702419805</v>
      </c>
      <c r="H224" s="1286">
        <v>5815.4491324537776</v>
      </c>
      <c r="I224" s="1286">
        <v>5747.5377642461572</v>
      </c>
      <c r="J224" s="1286">
        <v>5871.2124579396868</v>
      </c>
      <c r="K224" s="1286">
        <v>5794.2044272009452</v>
      </c>
      <c r="L224" s="1286">
        <v>5729.1171442545783</v>
      </c>
      <c r="M224" s="1286">
        <v>5669.9107635524497</v>
      </c>
      <c r="N224" s="1286">
        <v>5617.7880033986121</v>
      </c>
      <c r="O224" s="1286">
        <v>5668.6717795128998</v>
      </c>
      <c r="P224" s="1286">
        <v>5616.7947476083855</v>
      </c>
      <c r="Q224" s="1286">
        <v>5573.1088260045844</v>
      </c>
      <c r="R224" s="1286">
        <v>5596.2993810299404</v>
      </c>
      <c r="S224" s="1286">
        <v>5554.6171358939455</v>
      </c>
      <c r="T224" s="1286">
        <v>5566.1859147273362</v>
      </c>
      <c r="U224" s="1286">
        <v>5528.0531354924178</v>
      </c>
      <c r="V224" s="1286">
        <v>5531.1783041245844</v>
      </c>
      <c r="W224" s="1286">
        <v>5529.4015936974147</v>
      </c>
      <c r="X224" s="1286">
        <v>5523.845085680302</v>
      </c>
      <c r="Y224" s="1286">
        <v>5515.5064231968254</v>
      </c>
      <c r="Z224" s="1409"/>
      <c r="AA224" s="1410">
        <f t="shared" ca="1" si="7"/>
        <v>5851.218811822002</v>
      </c>
      <c r="AB224" s="1412"/>
      <c r="AC224" s="1287"/>
      <c r="AD224" s="1038"/>
      <c r="AE224" s="1038"/>
      <c r="AF224" s="1038"/>
      <c r="AG224" s="1038"/>
      <c r="AH224" s="1038"/>
      <c r="AI224" s="1038"/>
      <c r="AJ224" s="1038"/>
      <c r="AK224" s="1038"/>
      <c r="AL224" s="1038"/>
      <c r="AM224" s="1038"/>
      <c r="AN224" s="1038"/>
      <c r="AO224" s="1038"/>
      <c r="AP224" s="1038"/>
      <c r="AQ224" s="1038"/>
      <c r="AR224" s="1038"/>
      <c r="AS224" s="1038"/>
      <c r="AT224" s="1038"/>
      <c r="AU224" s="1038"/>
      <c r="AV224" s="1038"/>
      <c r="AW224" s="1038"/>
      <c r="AX224" s="1038"/>
      <c r="AY224" s="1038"/>
      <c r="AZ224" s="1038"/>
      <c r="BA224" s="1038"/>
      <c r="BB224" s="1038"/>
      <c r="BC224" s="1038"/>
      <c r="BD224" s="1287"/>
      <c r="BE224" s="1287"/>
    </row>
    <row r="225" spans="1:57" x14ac:dyDescent="0.25">
      <c r="A225" s="1287"/>
      <c r="B225" s="1346"/>
      <c r="C225" s="1506">
        <v>6352.628054976064</v>
      </c>
      <c r="D225" s="1286">
        <v>6219.3430591622637</v>
      </c>
      <c r="E225" s="1286">
        <v>6089.5200112916782</v>
      </c>
      <c r="F225" s="1286">
        <v>5990.8544949100333</v>
      </c>
      <c r="G225" s="1286">
        <v>5898.3077702419805</v>
      </c>
      <c r="H225" s="1286">
        <v>6090.711680163573</v>
      </c>
      <c r="I225" s="1286">
        <v>5988.696987460934</v>
      </c>
      <c r="J225" s="1286">
        <v>5894.3614227254693</v>
      </c>
      <c r="K225" s="1286">
        <v>5814.4015105710905</v>
      </c>
      <c r="L225" s="1286">
        <v>5746.8192937966478</v>
      </c>
      <c r="M225" s="1286">
        <v>5825.0920848110209</v>
      </c>
      <c r="N225" s="1286">
        <v>5752.8788857442432</v>
      </c>
      <c r="O225" s="1286">
        <v>5692.1824468734594</v>
      </c>
      <c r="P225" s="1286">
        <v>5729.9570709674772</v>
      </c>
      <c r="Q225" s="1286">
        <v>5672.1258589437903</v>
      </c>
      <c r="R225" s="1286">
        <v>5690.286656910057</v>
      </c>
      <c r="S225" s="1286">
        <v>5636.6965216173048</v>
      </c>
      <c r="T225" s="1286">
        <v>5643.8310805610854</v>
      </c>
      <c r="U225" s="1286">
        <v>5642.7763184840505</v>
      </c>
      <c r="V225" s="1286">
        <v>5635.7629831581153</v>
      </c>
      <c r="W225" s="1286">
        <v>5624.6222983948555</v>
      </c>
      <c r="X225" s="1286">
        <v>5610.4058444450238</v>
      </c>
      <c r="Y225" s="1286">
        <v>5594.083331020578</v>
      </c>
      <c r="Z225" s="1409"/>
      <c r="AA225" s="1410">
        <f t="shared" ca="1" si="7"/>
        <v>6007.6518284595168</v>
      </c>
      <c r="AB225" s="1412"/>
      <c r="AC225" s="1287"/>
      <c r="AD225" s="1038"/>
      <c r="AE225" s="1038"/>
      <c r="AF225" s="1038"/>
      <c r="AG225" s="1038"/>
      <c r="AH225" s="1038"/>
      <c r="AI225" s="1038"/>
      <c r="AJ225" s="1038"/>
      <c r="AK225" s="1038"/>
      <c r="AL225" s="1038"/>
      <c r="AM225" s="1038"/>
      <c r="AN225" s="1038"/>
      <c r="AO225" s="1038"/>
      <c r="AP225" s="1038"/>
      <c r="AQ225" s="1038"/>
      <c r="AR225" s="1038"/>
      <c r="AS225" s="1038"/>
      <c r="AT225" s="1038"/>
      <c r="AU225" s="1038"/>
      <c r="AV225" s="1038"/>
      <c r="AW225" s="1038"/>
      <c r="AX225" s="1038"/>
      <c r="AY225" s="1038"/>
      <c r="AZ225" s="1038"/>
      <c r="BA225" s="1038"/>
      <c r="BB225" s="1038"/>
      <c r="BC225" s="1038"/>
      <c r="BD225" s="1287"/>
      <c r="BE225" s="1287"/>
    </row>
    <row r="226" spans="1:57" x14ac:dyDescent="0.25">
      <c r="A226" s="1287"/>
      <c r="B226" s="1346"/>
      <c r="C226" s="1506">
        <v>6352.628054976064</v>
      </c>
      <c r="D226" s="1286">
        <v>6219.3430591622637</v>
      </c>
      <c r="E226" s="1286">
        <v>6089.5200112916782</v>
      </c>
      <c r="F226" s="1286">
        <v>6398.7842493262478</v>
      </c>
      <c r="G226" s="1286">
        <v>6254.0604630468179</v>
      </c>
      <c r="H226" s="1286">
        <v>6124.486825193334</v>
      </c>
      <c r="I226" s="1286">
        <v>6018.2876012480683</v>
      </c>
      <c r="J226" s="1286">
        <v>5920.0824947096708</v>
      </c>
      <c r="K226" s="1286">
        <v>6042.1764833171474</v>
      </c>
      <c r="L226" s="1286">
        <v>5946.4573581446612</v>
      </c>
      <c r="M226" s="1286">
        <v>5859.3868474566234</v>
      </c>
      <c r="N226" s="1286">
        <v>5919.3173245706212</v>
      </c>
      <c r="O226" s="1286">
        <v>5837.8160808465409</v>
      </c>
      <c r="P226" s="1286">
        <v>5868.1405731955556</v>
      </c>
      <c r="Q226" s="1286">
        <v>5793.0364233933587</v>
      </c>
      <c r="R226" s="1286">
        <v>5804.1977683427031</v>
      </c>
      <c r="S226" s="1286">
        <v>5805.3943057671177</v>
      </c>
      <c r="T226" s="1286">
        <v>5797.7997761187207</v>
      </c>
      <c r="U226" s="1286">
        <v>5782.865800053205</v>
      </c>
      <c r="V226" s="1286">
        <v>5762.9744698769964</v>
      </c>
      <c r="W226" s="1286">
        <v>5740.0283063029956</v>
      </c>
      <c r="X226" s="1286">
        <v>5750.0139188610192</v>
      </c>
      <c r="Y226" s="1286">
        <v>5749.8996509249055</v>
      </c>
      <c r="Z226" s="1409"/>
      <c r="AA226" s="1410">
        <f t="shared" ca="1" si="7"/>
        <v>6180.4231476373589</v>
      </c>
      <c r="AB226" s="1412"/>
      <c r="AC226" s="1287"/>
      <c r="AD226" s="1038"/>
      <c r="AE226" s="1038"/>
      <c r="AF226" s="1038"/>
      <c r="AG226" s="1038"/>
      <c r="AH226" s="1038"/>
      <c r="AI226" s="1038"/>
      <c r="AJ226" s="1038"/>
      <c r="AK226" s="1038"/>
      <c r="AL226" s="1038"/>
      <c r="AM226" s="1038"/>
      <c r="AN226" s="1038"/>
      <c r="AO226" s="1038"/>
      <c r="AP226" s="1038"/>
      <c r="AQ226" s="1038"/>
      <c r="AR226" s="1038"/>
      <c r="AS226" s="1038"/>
      <c r="AT226" s="1038"/>
      <c r="AU226" s="1038"/>
      <c r="AV226" s="1038"/>
      <c r="AW226" s="1038"/>
      <c r="AX226" s="1038"/>
      <c r="AY226" s="1038"/>
      <c r="AZ226" s="1038"/>
      <c r="BA226" s="1038"/>
      <c r="BB226" s="1038"/>
      <c r="BC226" s="1038"/>
      <c r="BD226" s="1287"/>
      <c r="BE226" s="1287"/>
    </row>
    <row r="227" spans="1:57" x14ac:dyDescent="0.25">
      <c r="A227" s="1287"/>
      <c r="B227" s="1346"/>
      <c r="C227" s="1506">
        <v>6352.628054976064</v>
      </c>
      <c r="D227" s="1286">
        <v>6219.3430591622637</v>
      </c>
      <c r="E227" s="1286">
        <v>6611.338675577349</v>
      </c>
      <c r="F227" s="1286">
        <v>6450.0549194814239</v>
      </c>
      <c r="G227" s="1286">
        <v>6298.7732567867988</v>
      </c>
      <c r="H227" s="1286">
        <v>6163.3282419775587</v>
      </c>
      <c r="I227" s="1286">
        <v>5747.5377642461572</v>
      </c>
      <c r="J227" s="1286">
        <v>5684.7384056233941</v>
      </c>
      <c r="K227" s="1286">
        <v>6093.7912519297406</v>
      </c>
      <c r="L227" s="1286">
        <v>5586.5193395421193</v>
      </c>
      <c r="M227" s="1286">
        <v>5545.5947286749215</v>
      </c>
      <c r="N227" s="1286">
        <v>5509.5664551793352</v>
      </c>
      <c r="O227" s="1286">
        <v>5479.2840701291652</v>
      </c>
      <c r="P227" s="1286">
        <v>5451.8857217504392</v>
      </c>
      <c r="Q227" s="1286">
        <v>5428.8134283788822</v>
      </c>
      <c r="R227" s="1286">
        <v>5407.8929551145156</v>
      </c>
      <c r="S227" s="1286">
        <v>5467.9998314584254</v>
      </c>
      <c r="T227" s="1286">
        <v>5442.6158053170248</v>
      </c>
      <c r="U227" s="1286">
        <v>5420.2488676275598</v>
      </c>
      <c r="V227" s="1286">
        <v>5400.699955007688</v>
      </c>
      <c r="W227" s="1286">
        <v>5383.7195346897324</v>
      </c>
      <c r="X227" s="1286">
        <v>5368.917988584114</v>
      </c>
      <c r="Y227" s="1286">
        <v>5390.4534724735895</v>
      </c>
      <c r="Z227" s="1409"/>
      <c r="AA227" s="1410">
        <f t="shared" ca="1" si="7"/>
        <v>6221.7992098944469</v>
      </c>
      <c r="AB227" s="1412"/>
      <c r="AC227" s="1287"/>
      <c r="AD227" s="1038"/>
      <c r="AE227" s="1038"/>
      <c r="AF227" s="1038"/>
      <c r="AG227" s="1038"/>
      <c r="AH227" s="1038"/>
      <c r="AI227" s="1038"/>
      <c r="AJ227" s="1038"/>
      <c r="AK227" s="1038"/>
      <c r="AL227" s="1038"/>
      <c r="AM227" s="1038"/>
      <c r="AN227" s="1038"/>
      <c r="AO227" s="1038"/>
      <c r="AP227" s="1038"/>
      <c r="AQ227" s="1038"/>
      <c r="AR227" s="1038"/>
      <c r="AS227" s="1038"/>
      <c r="AT227" s="1038"/>
      <c r="AU227" s="1038"/>
      <c r="AV227" s="1038"/>
      <c r="AW227" s="1038"/>
      <c r="AX227" s="1038"/>
      <c r="AY227" s="1038"/>
      <c r="AZ227" s="1038"/>
      <c r="BA227" s="1038"/>
      <c r="BB227" s="1038"/>
      <c r="BC227" s="1038"/>
      <c r="BD227" s="1287"/>
      <c r="BE227" s="1287"/>
    </row>
    <row r="228" spans="1:57" x14ac:dyDescent="0.25">
      <c r="A228" s="1287"/>
      <c r="B228" s="1346"/>
      <c r="C228" s="1506">
        <v>6352.628054976064</v>
      </c>
      <c r="D228" s="1286">
        <v>6219.3430591622637</v>
      </c>
      <c r="E228" s="1286">
        <v>6089.5200112916782</v>
      </c>
      <c r="F228" s="1286">
        <v>6508.013068352494</v>
      </c>
      <c r="G228" s="1286">
        <v>5898.3077702419805</v>
      </c>
      <c r="H228" s="1286">
        <v>5815.4491324537776</v>
      </c>
      <c r="I228" s="1286">
        <v>5747.5377642461572</v>
      </c>
      <c r="J228" s="1286">
        <v>5684.7384056233941</v>
      </c>
      <c r="K228" s="1286">
        <v>5631.5089453142473</v>
      </c>
      <c r="L228" s="1286">
        <v>5586.5193395421193</v>
      </c>
      <c r="M228" s="1286">
        <v>5545.5947286749215</v>
      </c>
      <c r="N228" s="1286">
        <v>5509.5664551793352</v>
      </c>
      <c r="O228" s="1286">
        <v>5479.2840701291652</v>
      </c>
      <c r="P228" s="1286">
        <v>5451.8857217504392</v>
      </c>
      <c r="Q228" s="1286">
        <v>5428.8134283788822</v>
      </c>
      <c r="R228" s="1286">
        <v>5508.3771338921952</v>
      </c>
      <c r="S228" s="1286">
        <v>5477.8343589817969</v>
      </c>
      <c r="T228" s="1286">
        <v>5451.2064400311165</v>
      </c>
      <c r="U228" s="1286">
        <v>5427.7434558436471</v>
      </c>
      <c r="V228" s="1286">
        <v>5407.2365883390121</v>
      </c>
      <c r="W228" s="1286">
        <v>5440.3255112953957</v>
      </c>
      <c r="X228" s="1286">
        <v>5418.326641703834</v>
      </c>
      <c r="Y228" s="1286">
        <v>5399.1471948042499</v>
      </c>
      <c r="Z228" s="1409"/>
      <c r="AA228" s="1410">
        <f t="shared" ca="1" si="7"/>
        <v>5851.218811822002</v>
      </c>
      <c r="AB228" s="1412"/>
      <c r="AC228" s="1287"/>
      <c r="AD228" s="1038"/>
      <c r="AE228" s="1038"/>
      <c r="AF228" s="1038"/>
      <c r="AG228" s="1038"/>
      <c r="AH228" s="1038"/>
      <c r="AI228" s="1038"/>
      <c r="AJ228" s="1038"/>
      <c r="AK228" s="1038"/>
      <c r="AL228" s="1038"/>
      <c r="AM228" s="1038"/>
      <c r="AN228" s="1038"/>
      <c r="AO228" s="1038"/>
      <c r="AP228" s="1038"/>
      <c r="AQ228" s="1038"/>
      <c r="AR228" s="1038"/>
      <c r="AS228" s="1038"/>
      <c r="AT228" s="1038"/>
      <c r="AU228" s="1038"/>
      <c r="AV228" s="1038"/>
      <c r="AW228" s="1038"/>
      <c r="AX228" s="1038"/>
      <c r="AY228" s="1038"/>
      <c r="AZ228" s="1038"/>
      <c r="BA228" s="1038"/>
      <c r="BB228" s="1038"/>
      <c r="BC228" s="1038"/>
      <c r="BD228" s="1287"/>
      <c r="BE228" s="1287"/>
    </row>
    <row r="229" spans="1:57" x14ac:dyDescent="0.25">
      <c r="A229" s="1287"/>
      <c r="B229" s="1346"/>
      <c r="C229" s="1506">
        <v>6352.628054976064</v>
      </c>
      <c r="D229" s="1286">
        <v>6219.3430591622637</v>
      </c>
      <c r="E229" s="1286">
        <v>6089.5200112916782</v>
      </c>
      <c r="F229" s="1286">
        <v>5990.8544949100333</v>
      </c>
      <c r="G229" s="1286">
        <v>5898.3077702419805</v>
      </c>
      <c r="H229" s="1286">
        <v>5815.4491324537776</v>
      </c>
      <c r="I229" s="1286">
        <v>5747.5377642461572</v>
      </c>
      <c r="J229" s="1286">
        <v>5684.7384056233941</v>
      </c>
      <c r="K229" s="1286">
        <v>5631.5089453142473</v>
      </c>
      <c r="L229" s="1286">
        <v>5586.5193395421193</v>
      </c>
      <c r="M229" s="1286">
        <v>5545.5947286749215</v>
      </c>
      <c r="N229" s="1286">
        <v>5509.5664551793352</v>
      </c>
      <c r="O229" s="1286">
        <v>5479.2840701291652</v>
      </c>
      <c r="P229" s="1286">
        <v>5600.8738239446711</v>
      </c>
      <c r="Q229" s="1286">
        <v>5559.1780177988348</v>
      </c>
      <c r="R229" s="1286">
        <v>5521.3709396873237</v>
      </c>
      <c r="S229" s="1286">
        <v>5489.1818907395336</v>
      </c>
      <c r="T229" s="1286">
        <v>5461.1187108550685</v>
      </c>
      <c r="U229" s="1286">
        <v>5511.9126128816179</v>
      </c>
      <c r="V229" s="1286">
        <v>5480.6472816954383</v>
      </c>
      <c r="W229" s="1286">
        <v>5453.4898394762868</v>
      </c>
      <c r="X229" s="1286">
        <v>5479.9918422982701</v>
      </c>
      <c r="Y229" s="1286">
        <v>5452.9809149231933</v>
      </c>
      <c r="Z229" s="1409"/>
      <c r="AA229" s="1410">
        <f t="shared" ca="1" si="7"/>
        <v>5851.218811822002</v>
      </c>
      <c r="AB229" s="1412"/>
      <c r="AC229" s="1287"/>
      <c r="AD229" s="1038"/>
      <c r="AE229" s="1038"/>
      <c r="AF229" s="1038"/>
      <c r="AG229" s="1038"/>
      <c r="AH229" s="1038"/>
      <c r="AI229" s="1038"/>
      <c r="AJ229" s="1038"/>
      <c r="AK229" s="1038"/>
      <c r="AL229" s="1038"/>
      <c r="AM229" s="1038"/>
      <c r="AN229" s="1038"/>
      <c r="AO229" s="1038"/>
      <c r="AP229" s="1038"/>
      <c r="AQ229" s="1038"/>
      <c r="AR229" s="1038"/>
      <c r="AS229" s="1038"/>
      <c r="AT229" s="1038"/>
      <c r="AU229" s="1038"/>
      <c r="AV229" s="1038"/>
      <c r="AW229" s="1038"/>
      <c r="AX229" s="1038"/>
      <c r="AY229" s="1038"/>
      <c r="AZ229" s="1038"/>
      <c r="BA229" s="1038"/>
      <c r="BB229" s="1038"/>
      <c r="BC229" s="1038"/>
      <c r="BD229" s="1287"/>
      <c r="BE229" s="1287"/>
    </row>
    <row r="230" spans="1:57" x14ac:dyDescent="0.25">
      <c r="A230" s="1287"/>
      <c r="B230" s="1346"/>
      <c r="C230" s="1506">
        <v>6352.628054976064</v>
      </c>
      <c r="D230" s="1286">
        <v>6219.3430591622637</v>
      </c>
      <c r="E230" s="1286">
        <v>6089.5200112916782</v>
      </c>
      <c r="F230" s="1286">
        <v>5990.8544949100333</v>
      </c>
      <c r="G230" s="1286">
        <v>5898.3077702419805</v>
      </c>
      <c r="H230" s="1286">
        <v>5815.4491324537776</v>
      </c>
      <c r="I230" s="1286">
        <v>5747.5377642461572</v>
      </c>
      <c r="J230" s="1286">
        <v>5684.7384056233941</v>
      </c>
      <c r="K230" s="1286">
        <v>5631.5089453142473</v>
      </c>
      <c r="L230" s="1286">
        <v>5586.5193395421193</v>
      </c>
      <c r="M230" s="1286">
        <v>5545.5947286749215</v>
      </c>
      <c r="N230" s="1286">
        <v>5730.4899326508212</v>
      </c>
      <c r="O230" s="1286">
        <v>5672.5921129167155</v>
      </c>
      <c r="P230" s="1286">
        <v>5620.2083712525236</v>
      </c>
      <c r="Q230" s="1286">
        <v>5576.0957466932059</v>
      </c>
      <c r="R230" s="1286">
        <v>5536.0972529218025</v>
      </c>
      <c r="S230" s="1286">
        <v>5614.0036460837</v>
      </c>
      <c r="T230" s="1286">
        <v>5570.1527342979962</v>
      </c>
      <c r="U230" s="1286">
        <v>5531.5138436006146</v>
      </c>
      <c r="V230" s="1286">
        <v>5572.1594212001455</v>
      </c>
      <c r="W230" s="1286">
        <v>5533.3527958681889</v>
      </c>
      <c r="X230" s="1286">
        <v>5556.2116930189331</v>
      </c>
      <c r="Y230" s="1286">
        <v>5519.5208446023316</v>
      </c>
      <c r="Z230" s="1409"/>
      <c r="AA230" s="1410">
        <f t="shared" ca="1" si="7"/>
        <v>5851.218811822002</v>
      </c>
      <c r="AB230" s="1412"/>
      <c r="AC230" s="1287"/>
      <c r="AD230" s="1038"/>
      <c r="AE230" s="1038"/>
      <c r="AF230" s="1038"/>
      <c r="AG230" s="1038"/>
      <c r="AH230" s="1038"/>
      <c r="AI230" s="1038"/>
      <c r="AJ230" s="1038"/>
      <c r="AK230" s="1038"/>
      <c r="AL230" s="1038"/>
      <c r="AM230" s="1038"/>
      <c r="AN230" s="1038"/>
      <c r="AO230" s="1038"/>
      <c r="AP230" s="1038"/>
      <c r="AQ230" s="1038"/>
      <c r="AR230" s="1038"/>
      <c r="AS230" s="1038"/>
      <c r="AT230" s="1038"/>
      <c r="AU230" s="1038"/>
      <c r="AV230" s="1038"/>
      <c r="AW230" s="1038"/>
      <c r="AX230" s="1038"/>
      <c r="AY230" s="1038"/>
      <c r="AZ230" s="1038"/>
      <c r="BA230" s="1038"/>
      <c r="BB230" s="1287"/>
      <c r="BC230" s="1287"/>
      <c r="BD230" s="1287"/>
      <c r="BE230" s="1287"/>
    </row>
    <row r="231" spans="1:57" x14ac:dyDescent="0.25">
      <c r="A231" s="1287"/>
      <c r="B231" s="1346"/>
      <c r="C231" s="1506">
        <v>6352.628054976064</v>
      </c>
      <c r="D231" s="1286">
        <v>6219.3430591622637</v>
      </c>
      <c r="E231" s="1286">
        <v>6089.5200112916782</v>
      </c>
      <c r="F231" s="1286">
        <v>5990.8544949100333</v>
      </c>
      <c r="G231" s="1286">
        <v>5898.3077702419805</v>
      </c>
      <c r="H231" s="1286">
        <v>5815.4491324537776</v>
      </c>
      <c r="I231" s="1286">
        <v>5747.5377642461572</v>
      </c>
      <c r="J231" s="1286">
        <v>5684.7384056233941</v>
      </c>
      <c r="K231" s="1286">
        <v>5631.5089453142473</v>
      </c>
      <c r="L231" s="1286">
        <v>5915.9731671986383</v>
      </c>
      <c r="M231" s="1286">
        <v>5832.8108861190649</v>
      </c>
      <c r="N231" s="1286">
        <v>5759.5983779543703</v>
      </c>
      <c r="O231" s="1286">
        <v>5698.0620025573216</v>
      </c>
      <c r="P231" s="1286">
        <v>5642.3862343409428</v>
      </c>
      <c r="Q231" s="1286">
        <v>5762.1893254122642</v>
      </c>
      <c r="R231" s="1286">
        <v>5698.0854457964233</v>
      </c>
      <c r="S231" s="1286">
        <v>5643.5072286538143</v>
      </c>
      <c r="T231" s="1286">
        <v>5706.6107070205235</v>
      </c>
      <c r="U231" s="1286">
        <v>5650.5616611826808</v>
      </c>
      <c r="V231" s="1286">
        <v>5685.7955504416404</v>
      </c>
      <c r="W231" s="1286">
        <v>5632.5234335920668</v>
      </c>
      <c r="X231" s="1286">
        <v>5650.2418392887957</v>
      </c>
      <c r="Y231" s="1286">
        <v>5657.6163129975293</v>
      </c>
      <c r="Z231" s="1409"/>
      <c r="AA231" s="1410">
        <f t="shared" ca="1" si="7"/>
        <v>5851.218811822002</v>
      </c>
      <c r="AB231" s="1412"/>
      <c r="AC231" s="1287"/>
      <c r="AD231" s="1038"/>
      <c r="AE231" s="1038"/>
      <c r="AF231" s="1038"/>
      <c r="AG231" s="1038"/>
      <c r="AH231" s="1038"/>
      <c r="AI231" s="1038"/>
      <c r="AJ231" s="1038"/>
      <c r="AK231" s="1038"/>
      <c r="AL231" s="1038"/>
      <c r="AM231" s="1038"/>
      <c r="AN231" s="1038"/>
      <c r="AO231" s="1038"/>
      <c r="AP231" s="1038"/>
      <c r="AQ231" s="1038"/>
      <c r="AR231" s="1038"/>
      <c r="AS231" s="1038"/>
      <c r="AT231" s="1038"/>
      <c r="AU231" s="1038"/>
      <c r="AV231" s="1038"/>
      <c r="AW231" s="1038"/>
      <c r="AX231" s="1038"/>
      <c r="AY231" s="1038"/>
      <c r="AZ231" s="1038"/>
      <c r="BA231" s="1038"/>
      <c r="BB231" s="1287"/>
      <c r="BC231" s="1287"/>
      <c r="BD231" s="1287"/>
      <c r="BE231" s="1287"/>
    </row>
    <row r="232" spans="1:57" x14ac:dyDescent="0.25">
      <c r="A232" s="1287"/>
      <c r="B232" s="1346"/>
      <c r="C232" s="1506">
        <v>6352.628054976064</v>
      </c>
      <c r="D232" s="1286">
        <v>6219.3430591622637</v>
      </c>
      <c r="E232" s="1286">
        <v>6089.5200112916782</v>
      </c>
      <c r="F232" s="1286">
        <v>5990.8544949100333</v>
      </c>
      <c r="G232" s="1286">
        <v>5898.3077702419805</v>
      </c>
      <c r="H232" s="1286">
        <v>5815.4491324537776</v>
      </c>
      <c r="I232" s="1286">
        <v>5747.5377642461572</v>
      </c>
      <c r="J232" s="1286">
        <v>6172.1490001548564</v>
      </c>
      <c r="K232" s="1286">
        <v>6056.7665110128373</v>
      </c>
      <c r="L232" s="1286">
        <v>5959.2450883014726</v>
      </c>
      <c r="M232" s="1286">
        <v>5870.5351250292288</v>
      </c>
      <c r="N232" s="1286">
        <v>5792.4386752199152</v>
      </c>
      <c r="O232" s="1286">
        <v>5974.3104552001814</v>
      </c>
      <c r="P232" s="1286">
        <v>5882.9291046694198</v>
      </c>
      <c r="Q232" s="1286">
        <v>5805.9763884329896</v>
      </c>
      <c r="R232" s="1286">
        <v>5900.3544366359411</v>
      </c>
      <c r="S232" s="1286">
        <v>5820.1493790249779</v>
      </c>
      <c r="T232" s="1286">
        <v>5875.4487644346254</v>
      </c>
      <c r="U232" s="1286">
        <v>5797.858311271536</v>
      </c>
      <c r="V232" s="1286">
        <v>5825.3268040341482</v>
      </c>
      <c r="W232" s="1286">
        <v>5837.4468731302659</v>
      </c>
      <c r="X232" s="1286">
        <v>5837.5360976113498</v>
      </c>
      <c r="Y232" s="1286">
        <v>5828.4804271006005</v>
      </c>
      <c r="Z232" s="1409"/>
      <c r="AA232" s="1410">
        <f t="shared" ca="1" si="7"/>
        <v>5851.218811822002</v>
      </c>
      <c r="AB232" s="1412"/>
      <c r="AC232" s="1287"/>
      <c r="AD232" s="1038"/>
      <c r="AE232" s="1038"/>
      <c r="AF232" s="1038"/>
      <c r="AG232" s="1038"/>
      <c r="AH232" s="1038"/>
      <c r="AI232" s="1038"/>
      <c r="AJ232" s="1038"/>
      <c r="AK232" s="1038"/>
      <c r="AL232" s="1038"/>
      <c r="AM232" s="1038"/>
      <c r="AN232" s="1038"/>
      <c r="AO232" s="1038"/>
      <c r="AP232" s="1038"/>
      <c r="AQ232" s="1038"/>
      <c r="AR232" s="1038"/>
      <c r="AS232" s="1038"/>
      <c r="AT232" s="1038"/>
      <c r="AU232" s="1038"/>
      <c r="AV232" s="1038"/>
      <c r="AW232" s="1038"/>
      <c r="AX232" s="1038"/>
      <c r="AY232" s="1038"/>
      <c r="AZ232" s="1038"/>
      <c r="BA232" s="1038"/>
      <c r="BB232" s="1287"/>
      <c r="BC232" s="1287"/>
      <c r="BD232" s="1287"/>
      <c r="BE232" s="1287"/>
    </row>
    <row r="233" spans="1:57" x14ac:dyDescent="0.25">
      <c r="A233" s="1287"/>
      <c r="B233" s="1346"/>
      <c r="C233" s="1506">
        <v>6352.628054976064</v>
      </c>
      <c r="D233" s="1286">
        <v>6219.3430591622637</v>
      </c>
      <c r="E233" s="1286">
        <v>6089.5200112916782</v>
      </c>
      <c r="F233" s="1286">
        <v>5990.8544949100333</v>
      </c>
      <c r="G233" s="1286">
        <v>5898.3077702419805</v>
      </c>
      <c r="H233" s="1286">
        <v>6539.9211090593926</v>
      </c>
      <c r="I233" s="1286">
        <v>6382.2521508298369</v>
      </c>
      <c r="J233" s="1286">
        <v>6236.4516801153623</v>
      </c>
      <c r="K233" s="1286">
        <v>6112.8695203743537</v>
      </c>
      <c r="L233" s="1286">
        <v>6008.4177259183307</v>
      </c>
      <c r="M233" s="1286">
        <v>6281.2124279975451</v>
      </c>
      <c r="N233" s="1286">
        <v>6149.9479345003692</v>
      </c>
      <c r="O233" s="1286">
        <v>6039.6178645350701</v>
      </c>
      <c r="P233" s="1286">
        <v>6183.750269545907</v>
      </c>
      <c r="Q233" s="1286">
        <v>6069.1949076999172</v>
      </c>
      <c r="R233" s="1286">
        <v>6151.1336357772707</v>
      </c>
      <c r="S233" s="1286">
        <v>6039.155647958356</v>
      </c>
      <c r="T233" s="1286">
        <v>6083.2750870896034</v>
      </c>
      <c r="U233" s="1286">
        <v>6102.8287335945961</v>
      </c>
      <c r="V233" s="1286">
        <v>6103.8864932706001</v>
      </c>
      <c r="W233" s="1286">
        <v>6091.5171378771247</v>
      </c>
      <c r="X233" s="1286">
        <v>6068.8773234211685</v>
      </c>
      <c r="Y233" s="1286">
        <v>6038.8006656274392</v>
      </c>
      <c r="Z233" s="1409"/>
      <c r="AA233" s="1410">
        <f t="shared" ca="1" si="7"/>
        <v>6262.9396859935287</v>
      </c>
      <c r="AB233" s="1412"/>
      <c r="AC233" s="1287"/>
      <c r="AD233" s="1038"/>
      <c r="AE233" s="1038"/>
      <c r="AF233" s="1038"/>
      <c r="AG233" s="1038"/>
      <c r="AH233" s="1038"/>
      <c r="AI233" s="1038"/>
      <c r="AJ233" s="1038"/>
      <c r="AK233" s="1038"/>
      <c r="AL233" s="1038"/>
      <c r="AM233" s="1038"/>
      <c r="AN233" s="1038"/>
      <c r="AO233" s="1038"/>
      <c r="AP233" s="1038"/>
      <c r="AQ233" s="1038"/>
      <c r="AR233" s="1038"/>
      <c r="AS233" s="1038"/>
      <c r="AT233" s="1038"/>
      <c r="AU233" s="1038"/>
      <c r="AV233" s="1038"/>
      <c r="AW233" s="1038"/>
      <c r="AX233" s="1038"/>
      <c r="AY233" s="1038"/>
      <c r="AZ233" s="1038"/>
      <c r="BA233" s="1038"/>
      <c r="BB233" s="1038"/>
      <c r="BC233" s="1038"/>
      <c r="BD233" s="1038"/>
      <c r="BE233" s="1038"/>
    </row>
    <row r="234" spans="1:57" x14ac:dyDescent="0.25">
      <c r="A234" s="1287"/>
      <c r="B234" s="1346"/>
      <c r="C234" s="1506">
        <v>6352.628054976064</v>
      </c>
      <c r="D234" s="1286">
        <v>6219.3430591622637</v>
      </c>
      <c r="E234" s="1286">
        <v>6089.5200112916782</v>
      </c>
      <c r="F234" s="1286">
        <v>5990.8544949100333</v>
      </c>
      <c r="G234" s="1286">
        <v>5898.3077702419805</v>
      </c>
      <c r="H234" s="1286">
        <v>6637.8690296456989</v>
      </c>
      <c r="I234" s="1286">
        <v>6468.0649308125303</v>
      </c>
      <c r="J234" s="1286">
        <v>6311.0427888695494</v>
      </c>
      <c r="K234" s="1286">
        <v>5631.5089453142473</v>
      </c>
      <c r="L234" s="1286">
        <v>5586.5193395421193</v>
      </c>
      <c r="M234" s="1286">
        <v>6380.667239669795</v>
      </c>
      <c r="N234" s="1286">
        <v>5509.5664551793352</v>
      </c>
      <c r="O234" s="1286">
        <v>6433.4196539807299</v>
      </c>
      <c r="P234" s="1286">
        <v>6559.6349710293534</v>
      </c>
      <c r="Q234" s="1286">
        <v>6398.0940214979319</v>
      </c>
      <c r="R234" s="1286">
        <v>6462.5505952958656</v>
      </c>
      <c r="S234" s="1286">
        <v>5574.2883789225561</v>
      </c>
      <c r="T234" s="1286">
        <v>6500.9101865643506</v>
      </c>
      <c r="U234" s="1286">
        <v>6483.8980516502279</v>
      </c>
      <c r="V234" s="1286">
        <v>6450.82942351167</v>
      </c>
      <c r="W234" s="1286">
        <v>6407.0209341348082</v>
      </c>
      <c r="X234" s="1286">
        <v>6448.6371249199083</v>
      </c>
      <c r="Y234" s="1286">
        <v>6461.447386295883</v>
      </c>
      <c r="Z234" s="1409"/>
      <c r="AA234" s="1410">
        <f t="shared" ca="1" si="7"/>
        <v>6318.6039556813957</v>
      </c>
      <c r="AB234" s="1412"/>
      <c r="AC234" s="1287"/>
      <c r="AD234" s="1038"/>
      <c r="AE234" s="1038"/>
      <c r="AF234" s="1038"/>
      <c r="AG234" s="1038"/>
      <c r="AH234" s="1038"/>
      <c r="AI234" s="1038"/>
      <c r="AJ234" s="1038"/>
      <c r="AK234" s="1038"/>
      <c r="AL234" s="1038"/>
      <c r="AM234" s="1038"/>
      <c r="AN234" s="1038"/>
      <c r="AO234" s="1038"/>
      <c r="AP234" s="1038"/>
      <c r="AQ234" s="1038"/>
      <c r="AR234" s="1038"/>
      <c r="AS234" s="1038"/>
      <c r="AT234" s="1038"/>
      <c r="AU234" s="1038"/>
      <c r="AV234" s="1038"/>
      <c r="AW234" s="1038"/>
      <c r="AX234" s="1038"/>
      <c r="AY234" s="1038"/>
      <c r="AZ234" s="1038"/>
      <c r="BA234" s="1038"/>
      <c r="BB234" s="1038"/>
      <c r="BC234" s="1038"/>
      <c r="BD234" s="1038"/>
      <c r="BE234" s="1038"/>
    </row>
    <row r="235" spans="1:57" x14ac:dyDescent="0.25">
      <c r="A235" s="1287"/>
      <c r="B235" s="1346"/>
      <c r="C235" s="1506">
        <v>6352.628054976064</v>
      </c>
      <c r="D235" s="1286">
        <v>6219.3430591622637</v>
      </c>
      <c r="E235" s="1286">
        <v>6089.5200112916782</v>
      </c>
      <c r="F235" s="1286">
        <v>5990.8544949100333</v>
      </c>
      <c r="G235" s="1286">
        <v>5898.3077702419805</v>
      </c>
      <c r="H235" s="1286">
        <v>5815.4491324537776</v>
      </c>
      <c r="I235" s="1286">
        <v>5747.5377642461572</v>
      </c>
      <c r="J235" s="1286">
        <v>5684.7384056233941</v>
      </c>
      <c r="K235" s="1286">
        <v>5631.5089453142473</v>
      </c>
      <c r="L235" s="1286">
        <v>5586.5193395421193</v>
      </c>
      <c r="M235" s="1286">
        <v>6018.8599734714635</v>
      </c>
      <c r="N235" s="1286">
        <v>5921.5607531048963</v>
      </c>
      <c r="O235" s="1286">
        <v>5839.7790808140317</v>
      </c>
      <c r="P235" s="1286">
        <v>5765.7861392175337</v>
      </c>
      <c r="Q235" s="1286">
        <v>5703.4762936625903</v>
      </c>
      <c r="R235" s="1286">
        <v>5886.0625029659441</v>
      </c>
      <c r="S235" s="1286">
        <v>5807.6681880824008</v>
      </c>
      <c r="T235" s="1286">
        <v>5739.3221563601028</v>
      </c>
      <c r="U235" s="1286">
        <v>5838.2146199777726</v>
      </c>
      <c r="V235" s="1286">
        <v>5765.2415134484745</v>
      </c>
      <c r="W235" s="1286">
        <v>5822.9673812756228</v>
      </c>
      <c r="X235" s="1286">
        <v>5752.3164526144101</v>
      </c>
      <c r="Y235" s="1286">
        <v>5783.0070224645087</v>
      </c>
      <c r="Z235" s="1409"/>
      <c r="AA235" s="1410">
        <f t="shared" ca="1" si="7"/>
        <v>5851.218811822002</v>
      </c>
      <c r="AB235" s="1412"/>
      <c r="AC235" s="1287"/>
      <c r="AD235" s="1038"/>
      <c r="AE235" s="1038"/>
      <c r="AF235" s="1038"/>
      <c r="AG235" s="1038"/>
      <c r="AH235" s="1038"/>
      <c r="AI235" s="1038"/>
      <c r="AJ235" s="1038"/>
      <c r="AK235" s="1038"/>
      <c r="AL235" s="1038"/>
      <c r="AM235" s="1038"/>
      <c r="AN235" s="1038"/>
      <c r="AO235" s="1038"/>
      <c r="AP235" s="1038"/>
      <c r="AQ235" s="1038"/>
      <c r="AR235" s="1038"/>
      <c r="AS235" s="1038"/>
      <c r="AT235" s="1038"/>
      <c r="AU235" s="1038"/>
      <c r="AV235" s="1038"/>
      <c r="AW235" s="1038"/>
      <c r="AX235" s="1038"/>
      <c r="AY235" s="1038"/>
      <c r="AZ235" s="1038"/>
      <c r="BA235" s="1038"/>
      <c r="BB235" s="1038"/>
      <c r="BC235" s="1038"/>
      <c r="BD235" s="1038"/>
      <c r="BE235" s="1038"/>
    </row>
    <row r="236" spans="1:57" x14ac:dyDescent="0.25">
      <c r="A236" s="1287"/>
      <c r="B236" s="1346"/>
      <c r="C236" s="1506">
        <v>6352.628054976064</v>
      </c>
      <c r="D236" s="1286">
        <v>6219.3430591622637</v>
      </c>
      <c r="E236" s="1286">
        <v>6089.5200112916782</v>
      </c>
      <c r="F236" s="1286">
        <v>5990.8544949100333</v>
      </c>
      <c r="G236" s="1286">
        <v>5898.3077702419805</v>
      </c>
      <c r="H236" s="1286">
        <v>5815.4491324537776</v>
      </c>
      <c r="I236" s="1286">
        <v>5747.5377642461572</v>
      </c>
      <c r="J236" s="1286">
        <v>5684.7384056233941</v>
      </c>
      <c r="K236" s="1286">
        <v>6335.0374374459552</v>
      </c>
      <c r="L236" s="1286">
        <v>6203.1413708810869</v>
      </c>
      <c r="M236" s="1286">
        <v>6083.1626534319694</v>
      </c>
      <c r="N236" s="1286">
        <v>5977.5385325348016</v>
      </c>
      <c r="O236" s="1286">
        <v>5888.7596378151984</v>
      </c>
      <c r="P236" s="1286">
        <v>6164.9860301016261</v>
      </c>
      <c r="Q236" s="1286">
        <v>6052.7761981861704</v>
      </c>
      <c r="R236" s="1286">
        <v>5951.0315319415849</v>
      </c>
      <c r="S236" s="1286">
        <v>6101.5681666168393</v>
      </c>
      <c r="T236" s="1286">
        <v>5996.0490150799087</v>
      </c>
      <c r="U236" s="1286">
        <v>6083.8056770545318</v>
      </c>
      <c r="V236" s="1286">
        <v>5979.4412324026407</v>
      </c>
      <c r="W236" s="1286">
        <v>6026.355617098222</v>
      </c>
      <c r="X236" s="1286">
        <v>6049.9196382094215</v>
      </c>
      <c r="Y236" s="1286">
        <v>6055.3536260812525</v>
      </c>
      <c r="Z236" s="1409"/>
      <c r="AA236" s="1410">
        <f t="shared" ca="1" si="7"/>
        <v>5851.218811822002</v>
      </c>
      <c r="AB236" s="1412"/>
      <c r="AC236" s="1287"/>
      <c r="AD236" s="1038"/>
      <c r="AE236" s="1038"/>
      <c r="AF236" s="1038"/>
      <c r="AG236" s="1038"/>
      <c r="AH236" s="1038"/>
      <c r="AI236" s="1038"/>
      <c r="AJ236" s="1038"/>
      <c r="AK236" s="1038"/>
      <c r="AL236" s="1038"/>
      <c r="AM236" s="1038"/>
      <c r="AN236" s="1038"/>
      <c r="AO236" s="1038"/>
      <c r="AP236" s="1038"/>
      <c r="AQ236" s="1038"/>
      <c r="AR236" s="1038"/>
      <c r="AS236" s="1038"/>
      <c r="AT236" s="1038"/>
      <c r="AU236" s="1038"/>
      <c r="AV236" s="1038"/>
      <c r="AW236" s="1038"/>
      <c r="AX236" s="1038"/>
      <c r="AY236" s="1038"/>
      <c r="AZ236" s="1038"/>
      <c r="BA236" s="1038"/>
      <c r="BB236" s="1038"/>
      <c r="BC236" s="1038"/>
      <c r="BD236" s="1038"/>
      <c r="BE236" s="1038"/>
    </row>
    <row r="237" spans="1:57" x14ac:dyDescent="0.25">
      <c r="A237" s="1287"/>
      <c r="B237" s="1346"/>
      <c r="C237" s="1506">
        <v>6352.628054976064</v>
      </c>
      <c r="D237" s="1286">
        <v>6219.3430591622637</v>
      </c>
      <c r="E237" s="1286">
        <v>6089.5200112916782</v>
      </c>
      <c r="F237" s="1286">
        <v>5990.8544949100333</v>
      </c>
      <c r="G237" s="1286">
        <v>5898.3077702419805</v>
      </c>
      <c r="H237" s="1286">
        <v>5815.4491324537776</v>
      </c>
      <c r="I237" s="1286">
        <v>5747.5377642461572</v>
      </c>
      <c r="J237" s="1286">
        <v>6600.4048486918273</v>
      </c>
      <c r="K237" s="1286">
        <v>6430.4125533605311</v>
      </c>
      <c r="L237" s="1286">
        <v>6286.7348548297459</v>
      </c>
      <c r="M237" s="1286">
        <v>6156.0390240538773</v>
      </c>
      <c r="N237" s="1286">
        <v>5509.5664551793352</v>
      </c>
      <c r="O237" s="1286">
        <v>6409.2578013705424</v>
      </c>
      <c r="P237" s="1286">
        <v>6261.6587666408905</v>
      </c>
      <c r="Q237" s="1286">
        <v>5428.8134283788822</v>
      </c>
      <c r="R237" s="1286">
        <v>6333.0481696137094</v>
      </c>
      <c r="S237" s="1286">
        <v>6467.3358462836086</v>
      </c>
      <c r="T237" s="1286">
        <v>6315.5535890180745</v>
      </c>
      <c r="U237" s="1286">
        <v>6387.0474127165735</v>
      </c>
      <c r="V237" s="1286">
        <v>6422.9252087678742</v>
      </c>
      <c r="W237" s="1286">
        <v>6432.0350613950086</v>
      </c>
      <c r="X237" s="1286">
        <v>6420.2960744355651</v>
      </c>
      <c r="Y237" s="1286">
        <v>6392.9031471779481</v>
      </c>
      <c r="Z237" s="1409"/>
      <c r="AA237" s="1410">
        <f t="shared" ca="1" si="7"/>
        <v>5851.218811822002</v>
      </c>
      <c r="AB237" s="1412"/>
      <c r="AC237" s="1287"/>
      <c r="AD237" s="1038"/>
      <c r="AE237" s="1038"/>
      <c r="AF237" s="1038"/>
      <c r="AG237" s="1038"/>
      <c r="AH237" s="1038"/>
      <c r="AI237" s="1038"/>
      <c r="AJ237" s="1038"/>
      <c r="AK237" s="1038"/>
      <c r="AL237" s="1038"/>
      <c r="AM237" s="1038"/>
      <c r="AN237" s="1038"/>
      <c r="AO237" s="1038"/>
      <c r="AP237" s="1038"/>
      <c r="AQ237" s="1038"/>
      <c r="AR237" s="1038"/>
      <c r="AS237" s="1038"/>
      <c r="AT237" s="1038"/>
      <c r="AU237" s="1038"/>
      <c r="AV237" s="1038"/>
      <c r="AW237" s="1038"/>
      <c r="AX237" s="1038"/>
      <c r="AY237" s="1038"/>
      <c r="AZ237" s="1038"/>
      <c r="BA237" s="1038"/>
      <c r="BB237" s="1038"/>
      <c r="BC237" s="1038"/>
      <c r="BD237" s="1038"/>
      <c r="BE237" s="1038"/>
    </row>
    <row r="238" spans="1:57" x14ac:dyDescent="0.25">
      <c r="A238" s="1287"/>
      <c r="B238" s="1346"/>
      <c r="C238" s="1506">
        <v>6352.628054976064</v>
      </c>
      <c r="D238" s="1286">
        <v>6219.3430591622637</v>
      </c>
      <c r="E238" s="1286">
        <v>6089.5200112916782</v>
      </c>
      <c r="F238" s="1286">
        <v>5990.8544949100333</v>
      </c>
      <c r="G238" s="1286">
        <v>5898.3077702419805</v>
      </c>
      <c r="H238" s="1286">
        <v>5815.4491324537776</v>
      </c>
      <c r="I238" s="1286">
        <v>5747.5377642461572</v>
      </c>
      <c r="J238" s="1286">
        <v>5684.7384056233941</v>
      </c>
      <c r="K238" s="1286">
        <v>6539.2523915218717</v>
      </c>
      <c r="L238" s="1286">
        <v>5586.5193395421193</v>
      </c>
      <c r="M238" s="1286">
        <v>5545.5947286749215</v>
      </c>
      <c r="N238" s="1286">
        <v>5509.5664551793352</v>
      </c>
      <c r="O238" s="1286">
        <v>5479.2840701291652</v>
      </c>
      <c r="P238" s="1286">
        <v>6832.0262675150925</v>
      </c>
      <c r="Q238" s="1286">
        <v>5831.3544208935728</v>
      </c>
      <c r="R238" s="1286">
        <v>5758.2913320184953</v>
      </c>
      <c r="S238" s="1286">
        <v>5696.085219788928</v>
      </c>
      <c r="T238" s="1286">
        <v>5641.8524488784515</v>
      </c>
      <c r="U238" s="1286">
        <v>6760.0464694668053</v>
      </c>
      <c r="V238" s="1286">
        <v>5755.6886995595951</v>
      </c>
      <c r="W238" s="1286">
        <v>5693.5194233078664</v>
      </c>
      <c r="X238" s="1286">
        <v>5794.2573798921949</v>
      </c>
      <c r="Y238" s="1286">
        <v>5727.3347292426888</v>
      </c>
      <c r="Z238" s="1409"/>
      <c r="AA238" s="1410">
        <f t="shared" ca="1" si="7"/>
        <v>5851.218811822002</v>
      </c>
      <c r="AB238" s="1412"/>
      <c r="AC238" s="1287"/>
      <c r="AD238" s="1038"/>
      <c r="AE238" s="1038"/>
      <c r="AF238" s="1038"/>
      <c r="AG238" s="1038"/>
      <c r="AH238" s="1038"/>
      <c r="AI238" s="1038"/>
      <c r="AJ238" s="1038"/>
      <c r="AK238" s="1038"/>
      <c r="AL238" s="1038"/>
      <c r="AM238" s="1038"/>
      <c r="AN238" s="1038"/>
      <c r="AO238" s="1038"/>
      <c r="AP238" s="1038"/>
      <c r="AQ238" s="1038"/>
      <c r="AR238" s="1038"/>
      <c r="AS238" s="1038"/>
      <c r="AT238" s="1038"/>
      <c r="AU238" s="1038"/>
      <c r="AV238" s="1038"/>
      <c r="AW238" s="1038"/>
      <c r="AX238" s="1038"/>
      <c r="AY238" s="1038"/>
      <c r="AZ238" s="1038"/>
      <c r="BA238" s="1038"/>
      <c r="BB238" s="1038"/>
      <c r="BC238" s="1038"/>
      <c r="BD238" s="1038"/>
      <c r="BE238" s="1038"/>
    </row>
    <row r="239" spans="1:57" ht="13.8" thickBot="1" x14ac:dyDescent="0.3">
      <c r="A239" s="1287"/>
      <c r="B239" s="1421"/>
      <c r="C239" s="1515">
        <v>6352.628054976064</v>
      </c>
      <c r="D239" s="1341">
        <v>6219.3430591622637</v>
      </c>
      <c r="E239" s="1341">
        <v>6089.5200112916782</v>
      </c>
      <c r="F239" s="1341">
        <v>5990.8544949100333</v>
      </c>
      <c r="G239" s="1341">
        <v>5898.3077702419805</v>
      </c>
      <c r="H239" s="1341">
        <v>5815.4491324537776</v>
      </c>
      <c r="I239" s="1341">
        <v>5747.5377642461572</v>
      </c>
      <c r="J239" s="1341">
        <v>5684.7384056233941</v>
      </c>
      <c r="K239" s="1341">
        <v>5631.5089453142473</v>
      </c>
      <c r="L239" s="1341">
        <v>5586.5193395421193</v>
      </c>
      <c r="M239" s="1341">
        <v>5545.5947286749215</v>
      </c>
      <c r="N239" s="1341">
        <v>6196.2250575076305</v>
      </c>
      <c r="O239" s="1341">
        <v>6080.1103471664237</v>
      </c>
      <c r="P239" s="1341">
        <v>5975.0541806672363</v>
      </c>
      <c r="Q239" s="1341">
        <v>5886.5858299310794</v>
      </c>
      <c r="R239" s="1341">
        <v>5806.3684134604691</v>
      </c>
      <c r="S239" s="1341">
        <v>6086.0609672055334</v>
      </c>
      <c r="T239" s="1341">
        <v>5982.5032005743806</v>
      </c>
      <c r="U239" s="1341">
        <v>5891.2540779727706</v>
      </c>
      <c r="V239" s="1341">
        <v>6042.7970210554477</v>
      </c>
      <c r="W239" s="1341">
        <v>5944.0798351119902</v>
      </c>
      <c r="X239" s="1341">
        <v>6034.2170445329093</v>
      </c>
      <c r="Y239" s="1341">
        <v>5936.8195164740328</v>
      </c>
      <c r="Z239" s="1422"/>
      <c r="AA239" s="1423">
        <f t="shared" ca="1" si="7"/>
        <v>5851.218811822002</v>
      </c>
      <c r="AB239" s="1424"/>
      <c r="AC239" s="1287"/>
      <c r="AD239" s="1038"/>
      <c r="AE239" s="1038"/>
      <c r="AF239" s="1038"/>
      <c r="AG239" s="1038"/>
      <c r="AH239" s="1038"/>
      <c r="AI239" s="1038"/>
      <c r="AJ239" s="1038"/>
      <c r="AK239" s="1038"/>
      <c r="AL239" s="1038"/>
      <c r="AM239" s="1038"/>
      <c r="AN239" s="1038"/>
      <c r="AO239" s="1038"/>
      <c r="AP239" s="1038"/>
      <c r="AQ239" s="1038"/>
      <c r="AR239" s="1038"/>
      <c r="AS239" s="1038"/>
      <c r="AT239" s="1038"/>
      <c r="AU239" s="1038"/>
      <c r="AV239" s="1038"/>
      <c r="AW239" s="1038"/>
      <c r="AX239" s="1038"/>
      <c r="AY239" s="1038"/>
      <c r="AZ239" s="1038"/>
      <c r="BA239" s="1038"/>
      <c r="BB239" s="1038"/>
      <c r="BC239" s="1038"/>
      <c r="BD239" s="1038"/>
      <c r="BE239" s="1038"/>
    </row>
    <row r="240" spans="1:57" x14ac:dyDescent="0.25">
      <c r="A240" s="1287"/>
      <c r="B240" s="1287"/>
      <c r="C240" s="1496"/>
      <c r="D240" s="1287"/>
      <c r="E240" s="1287"/>
      <c r="F240" s="1287"/>
      <c r="G240" s="1287"/>
      <c r="H240" s="1287"/>
      <c r="I240" s="1287"/>
      <c r="J240" s="1287"/>
      <c r="K240" s="1287"/>
      <c r="L240" s="1287"/>
      <c r="M240" s="1287"/>
      <c r="N240" s="1287"/>
      <c r="O240" s="1287"/>
      <c r="P240" s="1287"/>
      <c r="Q240" s="1287"/>
      <c r="R240" s="1287"/>
      <c r="S240" s="1287"/>
      <c r="T240" s="1287"/>
      <c r="U240" s="1287"/>
      <c r="V240" s="1287"/>
      <c r="W240" s="1287"/>
      <c r="X240" s="1287"/>
      <c r="Y240" s="1287"/>
      <c r="Z240" s="1287"/>
      <c r="AA240" s="1287"/>
      <c r="AB240" s="1287"/>
      <c r="AC240" s="1287"/>
      <c r="AD240" s="1038"/>
      <c r="AE240" s="1038"/>
      <c r="AF240" s="1038"/>
      <c r="AG240" s="1038"/>
      <c r="AH240" s="1038"/>
      <c r="AI240" s="1038"/>
      <c r="AJ240" s="1038"/>
      <c r="AK240" s="1038"/>
      <c r="AL240" s="1038"/>
      <c r="AM240" s="1038"/>
      <c r="AN240" s="1038"/>
      <c r="AO240" s="1038"/>
      <c r="AP240" s="1038"/>
      <c r="AQ240" s="1038"/>
      <c r="AR240" s="1038"/>
      <c r="AS240" s="1038"/>
      <c r="AT240" s="1038"/>
      <c r="AU240" s="1038"/>
      <c r="AV240" s="1038"/>
      <c r="AW240" s="1038"/>
      <c r="AX240" s="1038"/>
      <c r="AY240" s="1038"/>
      <c r="AZ240" s="1038"/>
      <c r="BA240" s="1038"/>
      <c r="BB240" s="1038"/>
      <c r="BC240" s="1038"/>
      <c r="BD240" s="1038"/>
      <c r="BE240" s="1038"/>
    </row>
    <row r="241" spans="1:57" x14ac:dyDescent="0.25">
      <c r="A241" s="1287"/>
      <c r="B241" s="1287"/>
      <c r="C241" s="1496"/>
      <c r="D241" s="1287"/>
      <c r="E241" s="1287"/>
      <c r="F241" s="1287"/>
      <c r="G241" s="1287"/>
      <c r="H241" s="1287"/>
      <c r="I241" s="1287"/>
      <c r="J241" s="1287"/>
      <c r="K241" s="1287"/>
      <c r="L241" s="1287"/>
      <c r="M241" s="1287"/>
      <c r="N241" s="1287"/>
      <c r="O241" s="1287"/>
      <c r="P241" s="1287"/>
      <c r="Q241" s="1287"/>
      <c r="R241" s="1287"/>
      <c r="S241" s="1287"/>
      <c r="T241" s="1287"/>
      <c r="U241" s="1287"/>
      <c r="V241" s="1287"/>
      <c r="W241" s="1287"/>
      <c r="X241" s="1287"/>
      <c r="Y241" s="1287"/>
      <c r="Z241" s="1287"/>
      <c r="AA241" s="1287"/>
      <c r="AB241" s="1287"/>
      <c r="AC241" s="1287"/>
      <c r="AD241" s="1038"/>
      <c r="AE241" s="1038"/>
      <c r="AF241" s="1038"/>
      <c r="AG241" s="1038"/>
      <c r="AH241" s="1038"/>
      <c r="AI241" s="1038"/>
      <c r="AJ241" s="1038"/>
      <c r="AK241" s="1038"/>
      <c r="AL241" s="1038"/>
      <c r="AM241" s="1038"/>
      <c r="AN241" s="1038"/>
      <c r="AO241" s="1038"/>
      <c r="AP241" s="1038"/>
      <c r="AQ241" s="1038"/>
      <c r="AR241" s="1038"/>
      <c r="AS241" s="1038"/>
      <c r="AT241" s="1038"/>
      <c r="AU241" s="1038"/>
      <c r="AV241" s="1038"/>
      <c r="AW241" s="1038"/>
      <c r="AX241" s="1038"/>
      <c r="AY241" s="1038"/>
      <c r="AZ241" s="1038"/>
      <c r="BA241" s="1038"/>
      <c r="BB241" s="1038"/>
      <c r="BC241" s="1038"/>
      <c r="BD241" s="1038"/>
      <c r="BE241" s="1038"/>
    </row>
    <row r="242" spans="1:57" x14ac:dyDescent="0.25">
      <c r="A242" s="1287"/>
      <c r="B242" s="1287"/>
      <c r="C242" s="1496"/>
      <c r="D242" s="1287"/>
      <c r="E242" s="1287"/>
      <c r="F242" s="1287"/>
      <c r="G242" s="1287"/>
      <c r="H242" s="1287"/>
      <c r="I242" s="1287"/>
      <c r="J242" s="1287"/>
      <c r="K242" s="1287"/>
      <c r="L242" s="1287"/>
      <c r="M242" s="1287"/>
      <c r="N242" s="1287"/>
      <c r="O242" s="1287"/>
      <c r="P242" s="1287"/>
      <c r="Q242" s="1287"/>
      <c r="R242" s="1287"/>
      <c r="S242" s="1287"/>
      <c r="T242" s="1287"/>
      <c r="U242" s="1287"/>
      <c r="V242" s="1287"/>
      <c r="W242" s="1287"/>
      <c r="X242" s="1287"/>
      <c r="Y242" s="1287"/>
      <c r="Z242" s="1287"/>
      <c r="AA242" s="1287"/>
      <c r="AB242" s="1287"/>
      <c r="AC242" s="1287"/>
      <c r="AD242" s="1038"/>
      <c r="AE242" s="1038"/>
      <c r="AF242" s="1038"/>
      <c r="AG242" s="1038"/>
      <c r="AH242" s="1038"/>
      <c r="AI242" s="1038"/>
      <c r="AJ242" s="1038"/>
      <c r="AK242" s="1038"/>
      <c r="AL242" s="1038"/>
      <c r="AM242" s="1038"/>
      <c r="AN242" s="1038"/>
      <c r="AO242" s="1038"/>
      <c r="AP242" s="1038"/>
      <c r="AQ242" s="1038"/>
      <c r="AR242" s="1038"/>
      <c r="AS242" s="1038"/>
      <c r="AT242" s="1038"/>
      <c r="AU242" s="1038"/>
      <c r="AV242" s="1038"/>
      <c r="AW242" s="1038"/>
      <c r="AX242" s="1038"/>
      <c r="AY242" s="1038"/>
      <c r="AZ242" s="1038"/>
      <c r="BA242" s="1038"/>
      <c r="BB242" s="1038"/>
      <c r="BC242" s="1038"/>
      <c r="BD242" s="1038"/>
      <c r="BE242" s="1038"/>
    </row>
    <row r="243" spans="1:57" x14ac:dyDescent="0.25">
      <c r="A243" s="1287"/>
      <c r="B243" s="1287"/>
      <c r="C243" s="1496"/>
      <c r="D243" s="1287"/>
      <c r="E243" s="1287"/>
      <c r="F243" s="1287"/>
      <c r="G243" s="1287"/>
      <c r="H243" s="1287"/>
      <c r="I243" s="1287"/>
      <c r="J243" s="1287"/>
      <c r="K243" s="1287"/>
      <c r="L243" s="1287"/>
      <c r="M243" s="1287"/>
      <c r="N243" s="1287"/>
      <c r="O243" s="1287"/>
      <c r="P243" s="1287"/>
      <c r="Q243" s="1287"/>
      <c r="R243" s="1287"/>
      <c r="S243" s="1287"/>
      <c r="T243" s="1287"/>
      <c r="U243" s="1287"/>
      <c r="V243" s="1287"/>
      <c r="W243" s="1287"/>
      <c r="X243" s="1287"/>
      <c r="Y243" s="1287"/>
      <c r="Z243" s="1287"/>
      <c r="AA243" s="1287"/>
      <c r="AB243" s="1287"/>
      <c r="AC243" s="1287"/>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row>
    <row r="244" spans="1:57" ht="13.8" thickBot="1" x14ac:dyDescent="0.3">
      <c r="A244" s="1287"/>
      <c r="B244" s="1287"/>
      <c r="C244" s="1496"/>
      <c r="D244" s="1287"/>
      <c r="E244" s="1287"/>
      <c r="F244" s="1287"/>
      <c r="G244" s="1287"/>
      <c r="H244" s="1287"/>
      <c r="I244" s="1287"/>
      <c r="J244" s="1287"/>
      <c r="K244" s="1287"/>
      <c r="L244" s="1287"/>
      <c r="M244" s="1287"/>
      <c r="N244" s="1287"/>
      <c r="O244" s="1287"/>
      <c r="P244" s="1287"/>
      <c r="Q244" s="1287"/>
      <c r="R244" s="1287"/>
      <c r="S244" s="1287"/>
      <c r="T244" s="1287"/>
      <c r="U244" s="1287"/>
      <c r="V244" s="1287"/>
      <c r="W244" s="1287"/>
      <c r="X244" s="1287"/>
      <c r="Y244" s="1287"/>
      <c r="Z244" s="1287"/>
      <c r="AA244" s="1287"/>
      <c r="AB244" s="1287"/>
      <c r="AC244" s="1287"/>
      <c r="AD244" s="1038"/>
      <c r="AE244" s="1038"/>
      <c r="AF244" s="1038"/>
      <c r="AG244" s="1038"/>
      <c r="AH244" s="1038"/>
      <c r="AI244" s="1038"/>
      <c r="AJ244" s="1038"/>
      <c r="AK244" s="1038"/>
      <c r="AL244" s="1038"/>
      <c r="AM244" s="1038"/>
      <c r="AN244" s="1038"/>
      <c r="AO244" s="1038"/>
      <c r="AP244" s="1038"/>
      <c r="AQ244" s="1038"/>
      <c r="AR244" s="1038"/>
      <c r="AS244" s="1038"/>
      <c r="AT244" s="1038"/>
      <c r="AU244" s="1038"/>
      <c r="AV244" s="1038"/>
      <c r="AW244" s="1038"/>
      <c r="AX244" s="1038"/>
      <c r="AY244" s="1038"/>
      <c r="AZ244" s="1038"/>
      <c r="BA244" s="1038"/>
      <c r="BB244" s="1038"/>
      <c r="BC244" s="1038"/>
      <c r="BD244" s="1038"/>
      <c r="BE244" s="1038"/>
    </row>
    <row r="245" spans="1:57" ht="13.8" x14ac:dyDescent="0.25">
      <c r="A245" s="1287"/>
      <c r="B245" s="1342" t="s">
        <v>1314</v>
      </c>
      <c r="C245" s="1510" t="s">
        <v>1339</v>
      </c>
      <c r="D245" s="1397"/>
      <c r="E245" s="1397"/>
      <c r="F245" s="1401"/>
      <c r="G245" s="1287"/>
      <c r="H245" s="1287"/>
      <c r="I245" s="1287"/>
      <c r="J245" s="1287"/>
      <c r="K245" s="1287"/>
      <c r="L245" s="1287"/>
      <c r="M245" s="1287"/>
      <c r="N245" s="1287"/>
      <c r="O245" s="1287"/>
      <c r="P245" s="1287"/>
      <c r="Q245" s="1287"/>
      <c r="R245" s="1287"/>
      <c r="S245" s="1287"/>
      <c r="T245" s="1287"/>
      <c r="U245" s="1287"/>
      <c r="V245" s="1287"/>
      <c r="W245" s="1287"/>
      <c r="X245" s="1287"/>
      <c r="Y245" s="1287"/>
      <c r="Z245" s="1287"/>
      <c r="AA245" s="1287"/>
      <c r="AB245" s="1287"/>
      <c r="AC245" s="1287"/>
      <c r="AD245" s="1038"/>
      <c r="AE245" s="1038"/>
      <c r="AF245" s="1038"/>
      <c r="AG245" s="1038"/>
      <c r="AH245" s="1038"/>
      <c r="AI245" s="1038"/>
      <c r="AJ245" s="1038"/>
      <c r="AK245" s="1038"/>
      <c r="AL245" s="1038"/>
      <c r="AM245" s="1038"/>
      <c r="AN245" s="1038"/>
      <c r="AO245" s="1038"/>
      <c r="AP245" s="1038"/>
      <c r="AQ245" s="1038"/>
      <c r="AR245" s="1038"/>
      <c r="AS245" s="1038"/>
      <c r="AT245" s="1038"/>
      <c r="AU245" s="1038"/>
      <c r="AV245" s="1038"/>
      <c r="AW245" s="1038"/>
      <c r="AX245" s="1038"/>
      <c r="AY245" s="1038"/>
      <c r="AZ245" s="1038"/>
      <c r="BA245" s="1038"/>
      <c r="BB245" s="1038"/>
      <c r="BC245" s="1038"/>
      <c r="BD245" s="1038"/>
      <c r="BE245" s="1038"/>
    </row>
    <row r="246" spans="1:57" ht="39.6" x14ac:dyDescent="0.25">
      <c r="A246" s="1287"/>
      <c r="B246" s="1431" t="s">
        <v>1305</v>
      </c>
      <c r="C246" s="1511" t="s">
        <v>1306</v>
      </c>
      <c r="D246" s="1428" t="s">
        <v>1307</v>
      </c>
      <c r="E246" s="1428" t="s">
        <v>1308</v>
      </c>
      <c r="F246" s="1429" t="s">
        <v>1309</v>
      </c>
      <c r="G246" s="1287"/>
      <c r="H246" s="1287"/>
      <c r="I246" s="1287"/>
      <c r="J246" s="1287"/>
      <c r="K246" s="1287"/>
      <c r="L246" s="1287"/>
      <c r="M246" s="1287"/>
      <c r="N246" s="1287"/>
      <c r="O246" s="1287"/>
      <c r="P246" s="1287"/>
      <c r="Q246" s="1287"/>
      <c r="R246" s="1287"/>
      <c r="S246" s="1287"/>
      <c r="T246" s="1287"/>
      <c r="U246" s="1287"/>
      <c r="V246" s="1287"/>
      <c r="W246" s="1287"/>
      <c r="X246" s="1287"/>
      <c r="Y246" s="1287"/>
      <c r="Z246" s="1287"/>
      <c r="AA246" s="1287"/>
      <c r="AB246" s="1287"/>
      <c r="AC246" s="1287"/>
      <c r="AD246" s="1038"/>
      <c r="AE246" s="1038"/>
      <c r="AF246" s="1038"/>
      <c r="AG246" s="1038"/>
      <c r="AH246" s="1038"/>
      <c r="AI246" s="1038"/>
      <c r="AJ246" s="1038"/>
      <c r="AK246" s="1038"/>
      <c r="AL246" s="1038"/>
      <c r="AM246" s="1038"/>
      <c r="AN246" s="1038"/>
      <c r="AO246" s="1038"/>
      <c r="AP246" s="1038"/>
      <c r="AQ246" s="1038"/>
      <c r="AR246" s="1038"/>
      <c r="AS246" s="1038"/>
      <c r="AT246" s="1038"/>
      <c r="AU246" s="1038"/>
      <c r="AV246" s="1038"/>
      <c r="AW246" s="1038"/>
      <c r="AX246" s="1038"/>
      <c r="AY246" s="1038"/>
      <c r="AZ246" s="1038"/>
      <c r="BA246" s="1038"/>
      <c r="BB246" s="1038"/>
      <c r="BC246" s="1038"/>
      <c r="BD246" s="1038"/>
      <c r="BE246" s="1038"/>
    </row>
    <row r="247" spans="1:57" x14ac:dyDescent="0.25">
      <c r="A247" s="1287"/>
      <c r="B247" s="1427">
        <v>0.5</v>
      </c>
      <c r="C247" s="1506">
        <v>97624774.966992736</v>
      </c>
      <c r="D247" s="1286">
        <v>78481357.028610617</v>
      </c>
      <c r="E247" s="1308">
        <v>2.2872737345894539E-2</v>
      </c>
      <c r="F247" s="1343">
        <v>2.7748085045719149E-2</v>
      </c>
      <c r="G247" s="1287"/>
      <c r="H247" s="1287"/>
      <c r="I247" s="1287"/>
      <c r="J247" s="1287"/>
      <c r="K247" s="1287"/>
      <c r="L247" s="1287"/>
      <c r="M247" s="1287"/>
      <c r="N247" s="1287"/>
      <c r="O247" s="1287"/>
      <c r="P247" s="1287"/>
      <c r="Q247" s="1287"/>
      <c r="R247" s="1287"/>
      <c r="S247" s="1287"/>
      <c r="T247" s="1287"/>
      <c r="U247" s="1287"/>
      <c r="V247" s="1287"/>
      <c r="W247" s="1287"/>
      <c r="X247" s="1287"/>
      <c r="Y247" s="1287"/>
      <c r="Z247" s="1287"/>
      <c r="AA247" s="1287"/>
      <c r="AB247" s="1287"/>
      <c r="AC247" s="1287"/>
      <c r="AD247" s="1038"/>
      <c r="AE247" s="1038"/>
      <c r="AF247" s="1038"/>
      <c r="AG247" s="1038"/>
      <c r="AH247" s="1038"/>
      <c r="AI247" s="1038"/>
      <c r="AJ247" s="1038"/>
      <c r="AK247" s="1038"/>
      <c r="AL247" s="1038"/>
      <c r="AM247" s="1038"/>
      <c r="AN247" s="1038"/>
      <c r="AO247" s="1038"/>
      <c r="AP247" s="1038"/>
      <c r="AQ247" s="1038"/>
      <c r="AR247" s="1038"/>
      <c r="AS247" s="1038"/>
      <c r="AT247" s="1038"/>
      <c r="AU247" s="1038"/>
      <c r="AV247" s="1038"/>
      <c r="AW247" s="1038"/>
      <c r="AX247" s="1038"/>
      <c r="AY247" s="1038"/>
      <c r="AZ247" s="1038"/>
      <c r="BA247" s="1038"/>
      <c r="BB247" s="1038"/>
      <c r="BC247" s="1038"/>
      <c r="BD247" s="1038"/>
      <c r="BE247" s="1038"/>
    </row>
    <row r="248" spans="1:57" x14ac:dyDescent="0.25">
      <c r="A248" s="1287"/>
      <c r="B248" s="1427">
        <v>0.56999999999999995</v>
      </c>
      <c r="C248" s="1506">
        <v>101786356.99347538</v>
      </c>
      <c r="D248" s="1286">
        <v>82133493.314325452</v>
      </c>
      <c r="E248" s="1308">
        <v>2.3013836908320012E-2</v>
      </c>
      <c r="F248" s="1343">
        <v>2.7924081599160596E-2</v>
      </c>
      <c r="G248" s="1287"/>
      <c r="H248" s="1287"/>
      <c r="I248" s="1287"/>
      <c r="J248" s="1287"/>
      <c r="K248" s="1287"/>
      <c r="L248" s="1287"/>
      <c r="M248" s="1287"/>
      <c r="N248" s="1287"/>
      <c r="O248" s="1287"/>
      <c r="P248" s="1287"/>
      <c r="Q248" s="1287"/>
      <c r="R248" s="1287"/>
      <c r="S248" s="1287"/>
      <c r="T248" s="1287"/>
      <c r="U248" s="1287"/>
      <c r="V248" s="1287"/>
      <c r="W248" s="1287"/>
      <c r="X248" s="1287"/>
      <c r="Y248" s="1287"/>
      <c r="Z248" s="1287"/>
      <c r="AA248" s="1287"/>
      <c r="AB248" s="1287"/>
      <c r="AC248" s="1287"/>
      <c r="AD248" s="1038"/>
      <c r="AE248" s="1038"/>
      <c r="AF248" s="1038"/>
      <c r="AG248" s="1038"/>
      <c r="AH248" s="1038"/>
      <c r="AI248" s="1038"/>
      <c r="AJ248" s="1038"/>
      <c r="AK248" s="1038"/>
      <c r="AL248" s="1038"/>
      <c r="AM248" s="1038"/>
      <c r="AN248" s="1038"/>
      <c r="AO248" s="1038"/>
      <c r="AP248" s="1038"/>
      <c r="AQ248" s="1038"/>
      <c r="AR248" s="1038"/>
      <c r="AS248" s="1038"/>
      <c r="AT248" s="1038"/>
      <c r="AU248" s="1038"/>
      <c r="AV248" s="1038"/>
      <c r="AW248" s="1038"/>
      <c r="AX248" s="1038"/>
      <c r="AY248" s="1038"/>
      <c r="AZ248" s="1038"/>
      <c r="BA248" s="1038"/>
      <c r="BB248" s="1038"/>
      <c r="BC248" s="1038"/>
      <c r="BD248" s="1038"/>
      <c r="BE248" s="1038"/>
    </row>
    <row r="249" spans="1:57" x14ac:dyDescent="0.25">
      <c r="A249" s="1287"/>
      <c r="B249" s="1427">
        <v>0.65</v>
      </c>
      <c r="C249" s="1506">
        <v>104506439.36356887</v>
      </c>
      <c r="D249" s="1286">
        <v>86187075.937801316</v>
      </c>
      <c r="E249" s="1308">
        <v>2.3227730383590339E-2</v>
      </c>
      <c r="F249" s="1343">
        <v>2.6610745803564428E-2</v>
      </c>
      <c r="G249" s="1287"/>
      <c r="H249" s="1287"/>
      <c r="I249" s="1287"/>
      <c r="J249" s="1287"/>
      <c r="K249" s="1287"/>
      <c r="L249" s="1287"/>
      <c r="M249" s="1287"/>
      <c r="N249" s="1287"/>
      <c r="O249" s="1287"/>
      <c r="P249" s="1287"/>
      <c r="Q249" s="1287"/>
      <c r="R249" s="1287"/>
      <c r="S249" s="1287"/>
      <c r="T249" s="1287"/>
      <c r="U249" s="1287"/>
      <c r="V249" s="1287"/>
      <c r="W249" s="1287"/>
      <c r="X249" s="1287"/>
      <c r="Y249" s="1287"/>
      <c r="Z249" s="1287"/>
      <c r="AA249" s="1287"/>
      <c r="AB249" s="1287"/>
      <c r="AC249" s="1287"/>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row>
    <row r="250" spans="1:57" x14ac:dyDescent="0.25">
      <c r="A250" s="1287"/>
      <c r="B250" s="1427">
        <v>0.74</v>
      </c>
      <c r="C250" s="1506">
        <v>111280771.2667349</v>
      </c>
      <c r="D250" s="1286">
        <v>90621285.77097027</v>
      </c>
      <c r="E250" s="1308">
        <v>2.3320765185481079E-2</v>
      </c>
      <c r="F250" s="1343">
        <v>2.8025919602951827E-2</v>
      </c>
      <c r="G250" s="1287"/>
      <c r="H250" s="1287"/>
      <c r="I250" s="1287"/>
      <c r="J250" s="1287"/>
      <c r="K250" s="1287"/>
      <c r="L250" s="1287"/>
      <c r="M250" s="1287"/>
      <c r="N250" s="1287"/>
      <c r="O250" s="1287"/>
      <c r="P250" s="1287"/>
      <c r="Q250" s="1287"/>
      <c r="R250" s="1287"/>
      <c r="S250" s="1287"/>
      <c r="T250" s="1287"/>
      <c r="U250" s="1287"/>
      <c r="V250" s="1287"/>
      <c r="W250" s="1287"/>
      <c r="X250" s="1287"/>
      <c r="Y250" s="1287"/>
      <c r="Z250" s="1287"/>
      <c r="AA250" s="1287"/>
      <c r="AB250" s="1287"/>
      <c r="AC250" s="1287"/>
      <c r="AD250" s="1038"/>
      <c r="AE250" s="1038"/>
      <c r="AF250" s="1038"/>
      <c r="AG250" s="1038"/>
      <c r="AH250" s="1038"/>
      <c r="AI250" s="1038"/>
      <c r="AJ250" s="1038"/>
      <c r="AK250" s="1038"/>
      <c r="AL250" s="1038"/>
      <c r="AM250" s="1038"/>
      <c r="AN250" s="1038"/>
      <c r="AO250" s="1038"/>
      <c r="AP250" s="1038"/>
      <c r="AQ250" s="1038"/>
      <c r="AR250" s="1038"/>
      <c r="AS250" s="1038"/>
      <c r="AT250" s="1038"/>
      <c r="AU250" s="1038"/>
      <c r="AV250" s="1038"/>
      <c r="AW250" s="1038"/>
      <c r="AX250" s="1038"/>
      <c r="AY250" s="1038"/>
      <c r="AZ250" s="1038"/>
      <c r="BA250" s="1038"/>
      <c r="BB250" s="1038"/>
      <c r="BC250" s="1038"/>
      <c r="BD250" s="1038"/>
      <c r="BE250" s="1038"/>
    </row>
    <row r="251" spans="1:57" x14ac:dyDescent="0.25">
      <c r="A251" s="1287"/>
      <c r="B251" s="1427">
        <v>0.85</v>
      </c>
      <c r="C251" s="1506">
        <v>115446954.04566029</v>
      </c>
      <c r="D251" s="1286">
        <v>95892454.843455911</v>
      </c>
      <c r="E251" s="1308">
        <v>2.347044362126726E-2</v>
      </c>
      <c r="F251" s="1343">
        <v>2.6485346250437112E-2</v>
      </c>
      <c r="G251" s="1287"/>
      <c r="H251" s="1287"/>
      <c r="I251" s="1287"/>
      <c r="J251" s="1287"/>
      <c r="K251" s="1287"/>
      <c r="L251" s="1287"/>
      <c r="M251" s="1287"/>
      <c r="N251" s="1287"/>
      <c r="O251" s="1287"/>
      <c r="P251" s="1287"/>
      <c r="Q251" s="1287"/>
      <c r="R251" s="1287"/>
      <c r="S251" s="1287"/>
      <c r="T251" s="1287"/>
      <c r="U251" s="1287"/>
      <c r="V251" s="1287"/>
      <c r="W251" s="1287"/>
      <c r="X251" s="1287"/>
      <c r="Y251" s="1287"/>
      <c r="Z251" s="1287"/>
      <c r="AA251" s="1287"/>
      <c r="AB251" s="1287"/>
      <c r="AC251" s="1287"/>
      <c r="AD251" s="1038"/>
      <c r="AE251" s="1038"/>
      <c r="AF251" s="1038"/>
      <c r="AG251" s="1038"/>
      <c r="AH251" s="1038"/>
      <c r="AI251" s="1038"/>
      <c r="AJ251" s="1038"/>
      <c r="AK251" s="1038"/>
      <c r="AL251" s="1038"/>
      <c r="AM251" s="1038"/>
      <c r="AN251" s="1038"/>
      <c r="AO251" s="1038"/>
      <c r="AP251" s="1038"/>
      <c r="AQ251" s="1038"/>
      <c r="AR251" s="1038"/>
      <c r="AS251" s="1038"/>
      <c r="AT251" s="1038"/>
      <c r="AU251" s="1038"/>
      <c r="AV251" s="1038"/>
      <c r="AW251" s="1038"/>
      <c r="AX251" s="1038"/>
      <c r="AY251" s="1038"/>
      <c r="AZ251" s="1038"/>
      <c r="BA251" s="1038"/>
      <c r="BB251" s="1038"/>
      <c r="BC251" s="1038"/>
      <c r="BD251" s="1038"/>
      <c r="BE251" s="1038"/>
    </row>
    <row r="252" spans="1:57" x14ac:dyDescent="0.25">
      <c r="A252" s="1287"/>
      <c r="B252" s="1427">
        <v>0.96</v>
      </c>
      <c r="C252" s="1506">
        <v>123968286.57717459</v>
      </c>
      <c r="D252" s="1286">
        <v>105169256.89884396</v>
      </c>
      <c r="E252" s="1308">
        <v>2.3516863324812093E-2</v>
      </c>
      <c r="F252" s="1343">
        <v>2.688606397640542E-2</v>
      </c>
      <c r="G252" s="1287"/>
      <c r="H252" s="1287"/>
      <c r="I252" s="1287"/>
      <c r="J252" s="1287"/>
      <c r="K252" s="1287"/>
      <c r="L252" s="1287"/>
      <c r="M252" s="1287"/>
      <c r="N252" s="1287"/>
      <c r="O252" s="1287"/>
      <c r="P252" s="1287"/>
      <c r="Q252" s="1287"/>
      <c r="R252" s="1287"/>
      <c r="S252" s="1287"/>
      <c r="T252" s="1287"/>
      <c r="U252" s="1287"/>
      <c r="V252" s="1287"/>
      <c r="W252" s="1287"/>
      <c r="X252" s="1287"/>
      <c r="Y252" s="1287"/>
      <c r="Z252" s="1287"/>
      <c r="AA252" s="1287"/>
      <c r="AB252" s="1287"/>
      <c r="AC252" s="1287"/>
      <c r="AD252" s="1038"/>
      <c r="AE252" s="1038"/>
      <c r="AF252" s="1038"/>
      <c r="AG252" s="1038"/>
      <c r="AH252" s="1038"/>
      <c r="AI252" s="1038"/>
      <c r="AJ252" s="1038"/>
      <c r="AK252" s="1038"/>
      <c r="AL252" s="1038"/>
      <c r="AM252" s="1038"/>
      <c r="AN252" s="1038"/>
      <c r="AO252" s="1038"/>
      <c r="AP252" s="1038"/>
      <c r="AQ252" s="1038"/>
      <c r="AR252" s="1038"/>
      <c r="AS252" s="1038"/>
      <c r="AT252" s="1038"/>
      <c r="AU252" s="1038"/>
      <c r="AV252" s="1038"/>
      <c r="AW252" s="1038"/>
      <c r="AX252" s="1038"/>
      <c r="AY252" s="1038"/>
      <c r="AZ252" s="1038"/>
      <c r="BA252" s="1038"/>
      <c r="BB252" s="1038"/>
      <c r="BC252" s="1038"/>
      <c r="BD252" s="1038"/>
      <c r="BE252" s="1038"/>
    </row>
    <row r="253" spans="1:57" x14ac:dyDescent="0.25">
      <c r="A253" s="1287"/>
      <c r="B253" s="1427">
        <v>1.1000000000000001</v>
      </c>
      <c r="C253" s="1506">
        <v>132054903.86834562</v>
      </c>
      <c r="D253" s="1286">
        <v>111547603.89317225</v>
      </c>
      <c r="E253" s="1308">
        <v>2.3826137412277192E-2</v>
      </c>
      <c r="F253" s="1343">
        <v>2.7556216019459318E-2</v>
      </c>
      <c r="G253" s="1287"/>
      <c r="H253" s="1287"/>
      <c r="I253" s="1287"/>
      <c r="J253" s="1287"/>
      <c r="K253" s="1287"/>
      <c r="L253" s="1287"/>
      <c r="M253" s="1287"/>
      <c r="N253" s="1287"/>
      <c r="O253" s="1287"/>
      <c r="P253" s="1287"/>
      <c r="Q253" s="1287"/>
      <c r="R253" s="1287"/>
      <c r="S253" s="1287"/>
      <c r="T253" s="1287"/>
      <c r="U253" s="1287"/>
      <c r="V253" s="1287"/>
      <c r="W253" s="1287"/>
      <c r="X253" s="1287"/>
      <c r="Y253" s="1287"/>
      <c r="Z253" s="1287"/>
      <c r="AA253" s="1287"/>
      <c r="AB253" s="1287"/>
      <c r="AC253" s="1287"/>
      <c r="AD253" s="1038"/>
      <c r="AE253" s="1038"/>
      <c r="AF253" s="1038"/>
      <c r="AG253" s="1038"/>
      <c r="AH253" s="1038"/>
      <c r="AI253" s="1038"/>
      <c r="AJ253" s="1038"/>
      <c r="AK253" s="1038"/>
      <c r="AL253" s="1038"/>
      <c r="AM253" s="1038"/>
      <c r="AN253" s="1038"/>
      <c r="AO253" s="1038"/>
      <c r="AP253" s="1038"/>
      <c r="AQ253" s="1038"/>
      <c r="AR253" s="1038"/>
      <c r="AS253" s="1038"/>
      <c r="AT253" s="1038"/>
      <c r="AU253" s="1038"/>
      <c r="AV253" s="1038"/>
      <c r="AW253" s="1038"/>
      <c r="AX253" s="1038"/>
      <c r="AY253" s="1038"/>
      <c r="AZ253" s="1038"/>
      <c r="BA253" s="1038"/>
      <c r="BB253" s="1038"/>
      <c r="BC253" s="1038"/>
      <c r="BD253" s="1038"/>
      <c r="BE253" s="1038"/>
    </row>
    <row r="254" spans="1:57" x14ac:dyDescent="0.25">
      <c r="A254" s="1287"/>
      <c r="B254" s="1427">
        <v>1.25</v>
      </c>
      <c r="C254" s="1506">
        <v>138218851.13802677</v>
      </c>
      <c r="D254" s="1286">
        <v>118218203.26593877</v>
      </c>
      <c r="E254" s="1308">
        <v>2.4134227659898911E-2</v>
      </c>
      <c r="F254" s="1343">
        <v>2.6980826820367825E-2</v>
      </c>
      <c r="G254" s="1287"/>
      <c r="H254" s="1287"/>
      <c r="I254" s="1287"/>
      <c r="J254" s="1287"/>
      <c r="K254" s="1287"/>
      <c r="L254" s="1287"/>
      <c r="M254" s="1287"/>
      <c r="N254" s="1287"/>
      <c r="O254" s="1287"/>
      <c r="P254" s="1287"/>
      <c r="Q254" s="1287"/>
      <c r="R254" s="1287"/>
      <c r="S254" s="1287"/>
      <c r="T254" s="1287"/>
      <c r="U254" s="1287"/>
      <c r="V254" s="1287"/>
      <c r="W254" s="1287"/>
      <c r="X254" s="1287"/>
      <c r="Y254" s="1287"/>
      <c r="Z254" s="1287"/>
      <c r="AA254" s="1287"/>
      <c r="AB254" s="1287"/>
      <c r="AC254" s="1287"/>
      <c r="AD254" s="1038"/>
      <c r="AE254" s="1038"/>
      <c r="AF254" s="1038"/>
      <c r="AG254" s="1038"/>
      <c r="AH254" s="1038"/>
      <c r="AI254" s="1038"/>
      <c r="AJ254" s="1038"/>
      <c r="AK254" s="1038"/>
      <c r="AL254" s="1038"/>
      <c r="AM254" s="1038"/>
      <c r="AN254" s="1038"/>
      <c r="AO254" s="1038"/>
      <c r="AP254" s="1038"/>
      <c r="AQ254" s="1038"/>
      <c r="AR254" s="1038"/>
      <c r="AS254" s="1038"/>
      <c r="AT254" s="1038"/>
      <c r="AU254" s="1038"/>
      <c r="AV254" s="1038"/>
      <c r="AW254" s="1038"/>
      <c r="AX254" s="1038"/>
      <c r="AY254" s="1038"/>
      <c r="AZ254" s="1038"/>
      <c r="BA254" s="1038"/>
      <c r="BB254" s="1038"/>
      <c r="BC254" s="1038"/>
      <c r="BD254" s="1038"/>
      <c r="BE254" s="1038"/>
    </row>
    <row r="255" spans="1:57" x14ac:dyDescent="0.25">
      <c r="A255" s="1287"/>
      <c r="B255" s="1427">
        <v>1.43</v>
      </c>
      <c r="C255" s="1506">
        <v>148790150.92586643</v>
      </c>
      <c r="D255" s="1286">
        <v>130180160.96168636</v>
      </c>
      <c r="E255" s="1308">
        <v>2.4291599894042143E-2</v>
      </c>
      <c r="F255" s="1343">
        <v>2.6712729064429397E-2</v>
      </c>
      <c r="G255" s="1287"/>
      <c r="H255" s="1287"/>
      <c r="I255" s="1287"/>
      <c r="J255" s="1287"/>
      <c r="K255" s="1287"/>
      <c r="L255" s="1287"/>
      <c r="M255" s="1287"/>
      <c r="N255" s="1287"/>
      <c r="O255" s="1287"/>
      <c r="P255" s="1287"/>
      <c r="Q255" s="1287"/>
      <c r="R255" s="1287"/>
      <c r="S255" s="1287"/>
      <c r="T255" s="1287"/>
      <c r="U255" s="1287"/>
      <c r="V255" s="1287"/>
      <c r="W255" s="1287"/>
      <c r="X255" s="1287"/>
      <c r="Y255" s="1287"/>
      <c r="Z255" s="1287"/>
      <c r="AA255" s="1287"/>
      <c r="AB255" s="1287"/>
      <c r="AC255" s="1287"/>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row>
    <row r="256" spans="1:57" x14ac:dyDescent="0.25">
      <c r="A256" s="1287"/>
      <c r="B256" s="1427">
        <v>1.63</v>
      </c>
      <c r="C256" s="1506">
        <v>156646304.3596887</v>
      </c>
      <c r="D256" s="1286">
        <v>138679145.23706797</v>
      </c>
      <c r="E256" s="1308">
        <v>2.457573592851504E-2</v>
      </c>
      <c r="F256" s="1343">
        <v>2.5910618090346307E-2</v>
      </c>
      <c r="G256" s="1287"/>
      <c r="H256" s="1287"/>
      <c r="I256" s="1287"/>
      <c r="J256" s="1287"/>
      <c r="K256" s="1287"/>
      <c r="L256" s="1287"/>
      <c r="M256" s="1287"/>
      <c r="N256" s="1287"/>
      <c r="O256" s="1287"/>
      <c r="P256" s="1287"/>
      <c r="Q256" s="1287"/>
      <c r="R256" s="1287"/>
      <c r="S256" s="1287"/>
      <c r="T256" s="1287"/>
      <c r="U256" s="1287"/>
      <c r="V256" s="1287"/>
      <c r="W256" s="1287"/>
      <c r="X256" s="1287"/>
      <c r="Y256" s="1287"/>
      <c r="Z256" s="1287"/>
      <c r="AA256" s="1287"/>
      <c r="AB256" s="1287"/>
      <c r="AC256" s="1287"/>
      <c r="AD256" s="1038"/>
      <c r="AE256" s="1038"/>
      <c r="AF256" s="1038"/>
      <c r="AG256" s="1038"/>
      <c r="AH256" s="1038"/>
      <c r="AI256" s="1038"/>
      <c r="AJ256" s="1038"/>
      <c r="AK256" s="1038"/>
      <c r="AL256" s="1038"/>
      <c r="AM256" s="1038"/>
      <c r="AN256" s="1038"/>
      <c r="AO256" s="1038"/>
      <c r="AP256" s="1038"/>
      <c r="AQ256" s="1038"/>
      <c r="AR256" s="1038"/>
      <c r="AS256" s="1038"/>
      <c r="AT256" s="1038"/>
      <c r="AU256" s="1038"/>
      <c r="AV256" s="1038"/>
      <c r="AW256" s="1038"/>
      <c r="AX256" s="1038"/>
      <c r="AY256" s="1038"/>
      <c r="AZ256" s="1038"/>
      <c r="BA256" s="1038"/>
      <c r="BB256" s="1038"/>
      <c r="BC256" s="1038"/>
      <c r="BD256" s="1038"/>
      <c r="BE256" s="1038"/>
    </row>
    <row r="257" spans="1:57" x14ac:dyDescent="0.25">
      <c r="A257" s="1287"/>
      <c r="B257" s="1427">
        <v>1.86</v>
      </c>
      <c r="C257" s="1506">
        <v>167246152.86965409</v>
      </c>
      <c r="D257" s="1286">
        <v>152388054.34049419</v>
      </c>
      <c r="E257" s="1308">
        <v>2.5063805723438852E-2</v>
      </c>
      <c r="F257" s="1343">
        <v>2.5468563701597228E-2</v>
      </c>
      <c r="G257" s="1287"/>
      <c r="H257" s="1287"/>
      <c r="I257" s="1287"/>
      <c r="J257" s="1287"/>
      <c r="K257" s="1287"/>
      <c r="L257" s="1287"/>
      <c r="M257" s="1287"/>
      <c r="N257" s="1287"/>
      <c r="O257" s="1287"/>
      <c r="P257" s="1287"/>
      <c r="Q257" s="1287"/>
      <c r="R257" s="1287"/>
      <c r="S257" s="1287"/>
      <c r="T257" s="1287"/>
      <c r="U257" s="1287"/>
      <c r="V257" s="1287"/>
      <c r="W257" s="1287"/>
      <c r="X257" s="1287"/>
      <c r="Y257" s="1287"/>
      <c r="Z257" s="1287"/>
      <c r="AA257" s="1287"/>
      <c r="AB257" s="1287"/>
      <c r="AC257" s="1287"/>
      <c r="AD257" s="1038"/>
      <c r="AE257" s="1038"/>
      <c r="AF257" s="1038"/>
      <c r="AG257" s="1038"/>
      <c r="AH257" s="1038"/>
      <c r="AI257" s="1038"/>
      <c r="AJ257" s="1038"/>
      <c r="AK257" s="1038"/>
      <c r="AL257" s="1038"/>
      <c r="AM257" s="1038"/>
      <c r="AN257" s="1038"/>
      <c r="AO257" s="1038"/>
      <c r="AP257" s="1038"/>
      <c r="AQ257" s="1038"/>
      <c r="AR257" s="1038"/>
      <c r="AS257" s="1038"/>
      <c r="AT257" s="1038"/>
      <c r="AU257" s="1038"/>
      <c r="AV257" s="1038"/>
      <c r="AW257" s="1038"/>
      <c r="AX257" s="1038"/>
      <c r="AY257" s="1038"/>
      <c r="AZ257" s="1038"/>
      <c r="BA257" s="1038"/>
      <c r="BB257" s="1038"/>
      <c r="BC257" s="1038"/>
      <c r="BD257" s="1038"/>
      <c r="BE257" s="1038"/>
    </row>
    <row r="258" spans="1:57" x14ac:dyDescent="0.25">
      <c r="A258" s="1287"/>
      <c r="B258" s="1427">
        <v>2.12</v>
      </c>
      <c r="C258" s="1506">
        <v>182282789.12653089</v>
      </c>
      <c r="D258" s="1286">
        <v>167128279.54632628</v>
      </c>
      <c r="E258" s="1308">
        <v>2.5213229256799818E-2</v>
      </c>
      <c r="F258" s="1343">
        <v>2.5637446762237802E-2</v>
      </c>
      <c r="G258" s="1287"/>
      <c r="H258" s="1287"/>
      <c r="I258" s="1287"/>
      <c r="J258" s="1287"/>
      <c r="K258" s="1287"/>
      <c r="L258" s="1287"/>
      <c r="M258" s="1287"/>
      <c r="N258" s="1287"/>
      <c r="O258" s="1287"/>
      <c r="P258" s="1287"/>
      <c r="Q258" s="1287"/>
      <c r="R258" s="1287"/>
      <c r="S258" s="1287"/>
      <c r="T258" s="1287"/>
      <c r="U258" s="1287"/>
      <c r="V258" s="1287"/>
      <c r="W258" s="1287"/>
      <c r="X258" s="1287"/>
      <c r="Y258" s="1287"/>
      <c r="Z258" s="1287"/>
      <c r="AA258" s="1287"/>
      <c r="AB258" s="1287"/>
      <c r="AC258" s="1287"/>
      <c r="AD258" s="1038"/>
      <c r="AE258" s="1038"/>
      <c r="AF258" s="1038"/>
      <c r="AG258" s="1038"/>
      <c r="AH258" s="1038"/>
      <c r="AI258" s="1038"/>
      <c r="AJ258" s="1038"/>
      <c r="AK258" s="1038"/>
      <c r="AL258" s="1038"/>
      <c r="AM258" s="1038"/>
      <c r="AN258" s="1038"/>
      <c r="AO258" s="1038"/>
      <c r="AP258" s="1038"/>
      <c r="AQ258" s="1038"/>
      <c r="AR258" s="1038"/>
      <c r="AS258" s="1038"/>
      <c r="AT258" s="1038"/>
      <c r="AU258" s="1038"/>
      <c r="AV258" s="1038"/>
      <c r="AW258" s="1038"/>
      <c r="AX258" s="1038"/>
      <c r="AY258" s="1038"/>
      <c r="AZ258" s="1038"/>
      <c r="BA258" s="1038"/>
      <c r="BB258" s="1038"/>
      <c r="BC258" s="1038"/>
      <c r="BD258" s="1038"/>
      <c r="BE258" s="1038"/>
    </row>
    <row r="259" spans="1:57" x14ac:dyDescent="0.25">
      <c r="A259" s="1287"/>
      <c r="B259" s="1427">
        <v>2.42</v>
      </c>
      <c r="C259" s="1506">
        <v>196977943.92104512</v>
      </c>
      <c r="D259" s="1286">
        <v>183264677.08103243</v>
      </c>
      <c r="E259" s="1308">
        <v>2.545787765564848E-2</v>
      </c>
      <c r="F259" s="1343">
        <v>2.5582561484340596E-2</v>
      </c>
      <c r="G259" s="1287"/>
      <c r="H259" s="1287"/>
      <c r="I259" s="1287"/>
      <c r="J259" s="1287"/>
      <c r="K259" s="1287"/>
      <c r="L259" s="1287"/>
      <c r="M259" s="1287"/>
      <c r="N259" s="1287"/>
      <c r="O259" s="1287"/>
      <c r="P259" s="1287"/>
      <c r="Q259" s="1287"/>
      <c r="R259" s="1287"/>
      <c r="S259" s="1287"/>
      <c r="T259" s="1287"/>
      <c r="U259" s="1287"/>
      <c r="V259" s="1287"/>
      <c r="W259" s="1287"/>
      <c r="X259" s="1287"/>
      <c r="Y259" s="1287"/>
      <c r="Z259" s="1287"/>
      <c r="AA259" s="1287"/>
      <c r="AB259" s="1287"/>
      <c r="AC259" s="1287"/>
      <c r="AD259" s="1038"/>
      <c r="AE259" s="1038"/>
      <c r="AF259" s="1038"/>
      <c r="AG259" s="1038"/>
      <c r="AH259" s="1038"/>
      <c r="AI259" s="1038"/>
      <c r="AJ259" s="1038"/>
      <c r="AK259" s="1038"/>
      <c r="AL259" s="1038"/>
      <c r="AM259" s="1038"/>
      <c r="AN259" s="1038"/>
      <c r="AO259" s="1038"/>
      <c r="AP259" s="1038"/>
      <c r="AQ259" s="1038"/>
      <c r="AR259" s="1038"/>
      <c r="AS259" s="1038"/>
      <c r="AT259" s="1038"/>
      <c r="AU259" s="1038"/>
      <c r="AV259" s="1038"/>
      <c r="AW259" s="1038"/>
      <c r="AX259" s="1038"/>
      <c r="AY259" s="1038"/>
      <c r="AZ259" s="1038"/>
      <c r="BA259" s="1038"/>
      <c r="BB259" s="1038"/>
      <c r="BC259" s="1038"/>
      <c r="BD259" s="1038"/>
      <c r="BE259" s="1038"/>
    </row>
    <row r="260" spans="1:57" x14ac:dyDescent="0.25">
      <c r="A260" s="1287"/>
      <c r="B260" s="1427">
        <v>2.76</v>
      </c>
      <c r="C260" s="1506">
        <v>212538114.72414896</v>
      </c>
      <c r="D260" s="1286">
        <v>200751116.84884009</v>
      </c>
      <c r="E260" s="1308">
        <v>2.5919318917591937E-2</v>
      </c>
      <c r="F260" s="1343">
        <v>2.5364827101646871E-2</v>
      </c>
      <c r="G260" s="1287"/>
      <c r="H260" s="1287"/>
      <c r="I260" s="1287"/>
      <c r="J260" s="1287"/>
      <c r="K260" s="1287"/>
      <c r="L260" s="1287"/>
      <c r="M260" s="1287"/>
      <c r="N260" s="1287"/>
      <c r="O260" s="1287"/>
      <c r="P260" s="1287"/>
      <c r="Q260" s="1287"/>
      <c r="R260" s="1287"/>
      <c r="S260" s="1287"/>
      <c r="T260" s="1287"/>
      <c r="U260" s="1287"/>
      <c r="V260" s="1287"/>
      <c r="W260" s="1287"/>
      <c r="X260" s="1287"/>
      <c r="Y260" s="1287"/>
      <c r="Z260" s="1287"/>
      <c r="AA260" s="1287"/>
      <c r="AB260" s="1287"/>
      <c r="AC260" s="1287"/>
      <c r="AD260" s="1038"/>
      <c r="AE260" s="1038"/>
      <c r="AF260" s="1038"/>
      <c r="AG260" s="1038"/>
      <c r="AH260" s="1038"/>
      <c r="AI260" s="1038"/>
      <c r="AJ260" s="1038"/>
      <c r="AK260" s="1038"/>
      <c r="AL260" s="1038"/>
      <c r="AM260" s="1038"/>
      <c r="AN260" s="1038"/>
      <c r="AO260" s="1038"/>
      <c r="AP260" s="1038"/>
      <c r="AQ260" s="1038"/>
      <c r="AR260" s="1038"/>
      <c r="AS260" s="1038"/>
      <c r="AT260" s="1038"/>
      <c r="AU260" s="1038"/>
      <c r="AV260" s="1038"/>
      <c r="AW260" s="1038"/>
      <c r="AX260" s="1038"/>
      <c r="AY260" s="1038"/>
      <c r="AZ260" s="1038"/>
      <c r="BA260" s="1038"/>
      <c r="BB260" s="1038"/>
      <c r="BC260" s="1038"/>
      <c r="BD260" s="1038"/>
      <c r="BE260" s="1038"/>
    </row>
    <row r="261" spans="1:57" x14ac:dyDescent="0.25">
      <c r="A261" s="1287"/>
      <c r="B261" s="1427">
        <v>3.15</v>
      </c>
      <c r="C261" s="1506">
        <v>229599236.25573727</v>
      </c>
      <c r="D261" s="1286">
        <v>219932490.63017336</v>
      </c>
      <c r="E261" s="1308">
        <v>2.6259854407995158E-2</v>
      </c>
      <c r="F261" s="1343">
        <v>2.4987917217627179E-2</v>
      </c>
      <c r="G261" s="1287"/>
      <c r="H261" s="1287"/>
      <c r="I261" s="1287"/>
      <c r="J261" s="1287"/>
      <c r="K261" s="1287"/>
      <c r="L261" s="1287"/>
      <c r="M261" s="1287"/>
      <c r="N261" s="1287"/>
      <c r="O261" s="1287"/>
      <c r="P261" s="1287"/>
      <c r="Q261" s="1287"/>
      <c r="R261" s="1287"/>
      <c r="S261" s="1287"/>
      <c r="T261" s="1287"/>
      <c r="U261" s="1287"/>
      <c r="V261" s="1287"/>
      <c r="W261" s="1287"/>
      <c r="X261" s="1287"/>
      <c r="Y261" s="1287"/>
      <c r="Z261" s="1287"/>
      <c r="AA261" s="1287"/>
      <c r="AB261" s="1287"/>
      <c r="AC261" s="1287"/>
      <c r="AD261" s="1038"/>
      <c r="AE261" s="1038"/>
      <c r="AF261" s="1038"/>
      <c r="AG261" s="1038"/>
      <c r="AH261" s="1038"/>
      <c r="AI261" s="1038"/>
      <c r="AJ261" s="1038"/>
      <c r="AK261" s="1038"/>
      <c r="AL261" s="1038"/>
      <c r="AM261" s="1038"/>
      <c r="AN261" s="1038"/>
      <c r="AO261" s="1038"/>
      <c r="AP261" s="1038"/>
      <c r="AQ261" s="1038"/>
      <c r="AR261" s="1038"/>
      <c r="AS261" s="1038"/>
      <c r="AT261" s="1038"/>
      <c r="AU261" s="1038"/>
      <c r="AV261" s="1038"/>
      <c r="AW261" s="1038"/>
      <c r="AX261" s="1038"/>
      <c r="AY261" s="1038"/>
      <c r="AZ261" s="1038"/>
      <c r="BA261" s="1038"/>
      <c r="BB261" s="1038"/>
      <c r="BC261" s="1038"/>
      <c r="BD261" s="1038"/>
      <c r="BE261" s="1038"/>
    </row>
    <row r="262" spans="1:57" x14ac:dyDescent="0.25">
      <c r="A262" s="1287"/>
      <c r="B262" s="1427">
        <v>3.59</v>
      </c>
      <c r="C262" s="1506">
        <v>249413492.02992871</v>
      </c>
      <c r="D262" s="1286">
        <v>240760221.82423592</v>
      </c>
      <c r="E262" s="1308">
        <v>2.6709664343673226E-2</v>
      </c>
      <c r="F262" s="1343">
        <v>2.4983725815490316E-2</v>
      </c>
      <c r="G262" s="1287"/>
      <c r="H262" s="1287"/>
      <c r="I262" s="1287"/>
      <c r="J262" s="1287"/>
      <c r="K262" s="1287"/>
      <c r="L262" s="1287"/>
      <c r="M262" s="1287"/>
      <c r="N262" s="1287"/>
      <c r="O262" s="1287"/>
      <c r="P262" s="1287"/>
      <c r="Q262" s="1287"/>
      <c r="R262" s="1287"/>
      <c r="S262" s="1287"/>
      <c r="T262" s="1287"/>
      <c r="U262" s="1287"/>
      <c r="V262" s="1287"/>
      <c r="W262" s="1287"/>
      <c r="X262" s="1287"/>
      <c r="Y262" s="1287"/>
      <c r="Z262" s="1287"/>
      <c r="AA262" s="1287"/>
      <c r="AB262" s="1287"/>
      <c r="AC262" s="1287"/>
      <c r="AD262" s="1038"/>
      <c r="AE262" s="1038"/>
      <c r="AF262" s="1038"/>
      <c r="AG262" s="1038"/>
      <c r="AH262" s="1038"/>
      <c r="AI262" s="1038"/>
      <c r="AJ262" s="1038"/>
      <c r="AK262" s="1038"/>
      <c r="AL262" s="1038"/>
      <c r="AM262" s="1038"/>
      <c r="AN262" s="1038"/>
      <c r="AO262" s="1038"/>
      <c r="AP262" s="1038"/>
      <c r="AQ262" s="1038"/>
      <c r="AR262" s="1038"/>
      <c r="AS262" s="1038"/>
      <c r="AT262" s="1038"/>
      <c r="AU262" s="1038"/>
      <c r="AV262" s="1038"/>
      <c r="AW262" s="1038"/>
      <c r="AX262" s="1038"/>
      <c r="AY262" s="1038"/>
      <c r="AZ262" s="1038"/>
      <c r="BA262" s="1038"/>
      <c r="BB262" s="1038"/>
      <c r="BC262" s="1038"/>
      <c r="BD262" s="1038"/>
      <c r="BE262" s="1038"/>
    </row>
    <row r="263" spans="1:57" x14ac:dyDescent="0.25">
      <c r="A263" s="1287"/>
      <c r="B263" s="1427">
        <v>4.09</v>
      </c>
      <c r="C263" s="1506">
        <v>270616575.46090251</v>
      </c>
      <c r="D263" s="1286">
        <v>263565382.15915081</v>
      </c>
      <c r="E263" s="1308">
        <v>2.7663901320999398E-2</v>
      </c>
      <c r="F263" s="1343">
        <v>2.4452053667054705E-2</v>
      </c>
      <c r="G263" s="1287"/>
      <c r="H263" s="1287"/>
      <c r="I263" s="1287"/>
      <c r="J263" s="1287"/>
      <c r="K263" s="1287"/>
      <c r="L263" s="1287"/>
      <c r="M263" s="1287"/>
      <c r="N263" s="1287"/>
      <c r="O263" s="1287"/>
      <c r="P263" s="1287"/>
      <c r="Q263" s="1287"/>
      <c r="R263" s="1287"/>
      <c r="S263" s="1287"/>
      <c r="T263" s="1287"/>
      <c r="U263" s="1287"/>
      <c r="V263" s="1287"/>
      <c r="W263" s="1287"/>
      <c r="X263" s="1287"/>
      <c r="Y263" s="1287"/>
      <c r="Z263" s="1287"/>
      <c r="AA263" s="1287"/>
      <c r="AB263" s="1287"/>
      <c r="AC263" s="1287"/>
      <c r="AD263" s="1038"/>
      <c r="AE263" s="1038"/>
      <c r="AF263" s="1038"/>
      <c r="AG263" s="1038"/>
      <c r="AH263" s="1038"/>
      <c r="AI263" s="1038"/>
      <c r="AJ263" s="1038"/>
      <c r="AK263" s="1038"/>
      <c r="AL263" s="1038"/>
      <c r="AM263" s="1038"/>
      <c r="AN263" s="1038"/>
      <c r="AO263" s="1038"/>
      <c r="AP263" s="1038"/>
      <c r="AQ263" s="1038"/>
      <c r="AR263" s="1038"/>
      <c r="AS263" s="1038"/>
      <c r="AT263" s="1038"/>
      <c r="AU263" s="1038"/>
      <c r="AV263" s="1038"/>
      <c r="AW263" s="1038"/>
      <c r="AX263" s="1038"/>
      <c r="AY263" s="1038"/>
      <c r="AZ263" s="1038"/>
      <c r="BA263" s="1038"/>
      <c r="BB263" s="1038"/>
      <c r="BC263" s="1038"/>
      <c r="BD263" s="1038"/>
      <c r="BE263" s="1038"/>
    </row>
    <row r="264" spans="1:57" x14ac:dyDescent="0.25">
      <c r="A264" s="1287"/>
      <c r="B264" s="1427">
        <v>4.67</v>
      </c>
      <c r="C264" s="1506">
        <v>299338716.5723958</v>
      </c>
      <c r="D264" s="1286">
        <v>293170609.14679205</v>
      </c>
      <c r="E264" s="1308">
        <v>2.7900487029317689E-2</v>
      </c>
      <c r="F264" s="1343">
        <v>2.4736415053468845E-2</v>
      </c>
      <c r="G264" s="1287"/>
      <c r="H264" s="1287"/>
      <c r="I264" s="1287"/>
      <c r="J264" s="1287"/>
      <c r="K264" s="1287"/>
      <c r="L264" s="1287"/>
      <c r="M264" s="1287"/>
      <c r="N264" s="1287"/>
      <c r="O264" s="1287"/>
      <c r="P264" s="1287"/>
      <c r="Q264" s="1287"/>
      <c r="R264" s="1287"/>
      <c r="S264" s="1287"/>
      <c r="T264" s="1287"/>
      <c r="U264" s="1287"/>
      <c r="V264" s="1287"/>
      <c r="W264" s="1287"/>
      <c r="X264" s="1287"/>
      <c r="Y264" s="1287"/>
      <c r="Z264" s="1287"/>
      <c r="AA264" s="1287"/>
      <c r="AB264" s="1287"/>
      <c r="AC264" s="1287"/>
      <c r="AD264" s="1038"/>
      <c r="AE264" s="1038"/>
      <c r="AF264" s="1038"/>
      <c r="AG264" s="1038"/>
      <c r="AH264" s="1038"/>
      <c r="AI264" s="1038"/>
      <c r="AJ264" s="1038"/>
      <c r="AK264" s="1038"/>
      <c r="AL264" s="1038"/>
      <c r="AM264" s="1038"/>
      <c r="AN264" s="1038"/>
      <c r="AO264" s="1038"/>
      <c r="AP264" s="1038"/>
      <c r="AQ264" s="1038"/>
      <c r="AR264" s="1038"/>
      <c r="AS264" s="1038"/>
      <c r="AT264" s="1038"/>
      <c r="AU264" s="1038"/>
      <c r="AV264" s="1038"/>
      <c r="AW264" s="1038"/>
      <c r="AX264" s="1038"/>
      <c r="AY264" s="1038"/>
      <c r="AZ264" s="1038"/>
      <c r="BA264" s="1038"/>
      <c r="BB264" s="1038"/>
      <c r="BC264" s="1038"/>
      <c r="BD264" s="1038"/>
      <c r="BE264" s="1038"/>
    </row>
    <row r="265" spans="1:57" x14ac:dyDescent="0.25">
      <c r="A265" s="1287"/>
      <c r="B265" s="1427">
        <v>5.32</v>
      </c>
      <c r="C265" s="1506">
        <v>329809742.70631826</v>
      </c>
      <c r="D265" s="1286">
        <v>325007390.47518396</v>
      </c>
      <c r="E265" s="1308">
        <v>2.8137614580023135E-2</v>
      </c>
      <c r="F265" s="1343">
        <v>2.4797174173639924E-2</v>
      </c>
      <c r="G265" s="1287"/>
      <c r="H265" s="1287"/>
      <c r="I265" s="1287"/>
      <c r="J265" s="1287"/>
      <c r="K265" s="1287"/>
      <c r="L265" s="1287"/>
      <c r="M265" s="1287"/>
      <c r="N265" s="1287"/>
      <c r="O265" s="1287"/>
      <c r="P265" s="1287"/>
      <c r="Q265" s="1287"/>
      <c r="R265" s="1287"/>
      <c r="S265" s="1287"/>
      <c r="T265" s="1287"/>
      <c r="U265" s="1287"/>
      <c r="V265" s="1287"/>
      <c r="W265" s="1287"/>
      <c r="X265" s="1287"/>
      <c r="Y265" s="1287"/>
      <c r="Z265" s="1287"/>
      <c r="AA265" s="1287"/>
      <c r="AB265" s="1287"/>
      <c r="AC265" s="1287"/>
      <c r="AD265" s="1038"/>
      <c r="AE265" s="1038"/>
      <c r="AF265" s="1038"/>
      <c r="AG265" s="1038"/>
      <c r="AH265" s="1038"/>
      <c r="AI265" s="1038"/>
      <c r="AJ265" s="1038"/>
      <c r="AK265" s="1038"/>
      <c r="AL265" s="1038"/>
      <c r="AM265" s="1038"/>
      <c r="AN265" s="1038"/>
      <c r="AO265" s="1038"/>
      <c r="AP265" s="1038"/>
      <c r="AQ265" s="1038"/>
      <c r="AR265" s="1038"/>
      <c r="AS265" s="1038"/>
      <c r="AT265" s="1038"/>
      <c r="AU265" s="1038"/>
      <c r="AV265" s="1038"/>
      <c r="AW265" s="1038"/>
      <c r="AX265" s="1038"/>
      <c r="AY265" s="1038"/>
      <c r="AZ265" s="1038"/>
      <c r="BA265" s="1038"/>
      <c r="BB265" s="1038"/>
      <c r="BC265" s="1038"/>
      <c r="BD265" s="1038"/>
      <c r="BE265" s="1038"/>
    </row>
    <row r="266" spans="1:57" x14ac:dyDescent="0.25">
      <c r="A266" s="1287"/>
      <c r="B266" s="1427">
        <v>6.07</v>
      </c>
      <c r="C266" s="1506">
        <v>363698274.95211822</v>
      </c>
      <c r="D266" s="1286">
        <v>360099398.93435419</v>
      </c>
      <c r="E266" s="1308">
        <v>2.8854296868855989E-2</v>
      </c>
      <c r="F266" s="1343">
        <v>2.4694653464152099E-2</v>
      </c>
      <c r="G266" s="1287"/>
      <c r="H266" s="1287"/>
      <c r="I266" s="1287"/>
      <c r="J266" s="1287"/>
      <c r="K266" s="1287"/>
      <c r="L266" s="1287"/>
      <c r="M266" s="1287"/>
      <c r="N266" s="1287"/>
      <c r="O266" s="1287"/>
      <c r="P266" s="1287"/>
      <c r="Q266" s="1287"/>
      <c r="R266" s="1287"/>
      <c r="S266" s="1287"/>
      <c r="T266" s="1287"/>
      <c r="U266" s="1287"/>
      <c r="V266" s="1287"/>
      <c r="W266" s="1287"/>
      <c r="X266" s="1287"/>
      <c r="Y266" s="1287"/>
      <c r="Z266" s="1287"/>
      <c r="AA266" s="1287"/>
      <c r="AB266" s="1287"/>
      <c r="AC266" s="1287"/>
      <c r="AD266" s="1038"/>
      <c r="AE266" s="1038"/>
      <c r="AF266" s="1038"/>
      <c r="AG266" s="1038"/>
      <c r="AH266" s="1038"/>
      <c r="AI266" s="1038"/>
      <c r="AJ266" s="1038"/>
      <c r="AK266" s="1038"/>
      <c r="AL266" s="1038"/>
      <c r="AM266" s="1038"/>
      <c r="AN266" s="1038"/>
      <c r="AO266" s="1038"/>
      <c r="AP266" s="1038"/>
      <c r="AQ266" s="1038"/>
      <c r="AR266" s="1038"/>
      <c r="AS266" s="1038"/>
      <c r="AT266" s="1038"/>
      <c r="AU266" s="1038"/>
      <c r="AV266" s="1038"/>
      <c r="AW266" s="1038"/>
      <c r="AX266" s="1038"/>
      <c r="AY266" s="1038"/>
      <c r="AZ266" s="1038"/>
      <c r="BA266" s="1038"/>
      <c r="BB266" s="1038"/>
      <c r="BC266" s="1038"/>
      <c r="BD266" s="1038"/>
      <c r="BE266" s="1038"/>
    </row>
    <row r="267" spans="1:57" x14ac:dyDescent="0.25">
      <c r="A267" s="1287"/>
      <c r="B267" s="1427">
        <v>6.92</v>
      </c>
      <c r="C267" s="1506">
        <v>406462974.30423987</v>
      </c>
      <c r="D267" s="1286">
        <v>402513834.69650584</v>
      </c>
      <c r="E267" s="1308">
        <v>2.9340485774483328E-2</v>
      </c>
      <c r="F267" s="1343">
        <v>2.4877747063982492E-2</v>
      </c>
      <c r="G267" s="1287"/>
      <c r="H267" s="1287"/>
      <c r="I267" s="1287"/>
      <c r="J267" s="1287"/>
      <c r="K267" s="1287"/>
      <c r="L267" s="1287"/>
      <c r="M267" s="1287"/>
      <c r="N267" s="1287"/>
      <c r="O267" s="1287"/>
      <c r="P267" s="1287"/>
      <c r="Q267" s="1287"/>
      <c r="R267" s="1287"/>
      <c r="S267" s="1287"/>
      <c r="T267" s="1287"/>
      <c r="U267" s="1287"/>
      <c r="V267" s="1287"/>
      <c r="W267" s="1287"/>
      <c r="X267" s="1287"/>
      <c r="Y267" s="1287"/>
      <c r="Z267" s="1287"/>
      <c r="AA267" s="1287"/>
      <c r="AB267" s="1287"/>
      <c r="AC267" s="1287"/>
      <c r="AD267" s="1038"/>
      <c r="AE267" s="1038"/>
      <c r="AF267" s="1038"/>
      <c r="AG267" s="1038"/>
      <c r="AH267" s="1038"/>
      <c r="AI267" s="1038"/>
      <c r="AJ267" s="1038"/>
      <c r="AK267" s="1038"/>
      <c r="AL267" s="1038"/>
      <c r="AM267" s="1038"/>
      <c r="AN267" s="1038"/>
      <c r="AO267" s="1038"/>
      <c r="AP267" s="1038"/>
      <c r="AQ267" s="1038"/>
      <c r="AR267" s="1038"/>
      <c r="AS267" s="1038"/>
      <c r="AT267" s="1038"/>
      <c r="AU267" s="1038"/>
      <c r="AV267" s="1038"/>
      <c r="AW267" s="1038"/>
      <c r="AX267" s="1038"/>
      <c r="AY267" s="1038"/>
      <c r="AZ267" s="1038"/>
      <c r="BA267" s="1038"/>
      <c r="BB267" s="1038"/>
      <c r="BC267" s="1038"/>
      <c r="BD267" s="1038"/>
      <c r="BE267" s="1038"/>
    </row>
    <row r="268" spans="1:57" x14ac:dyDescent="0.25">
      <c r="A268" s="1287"/>
      <c r="B268" s="1427">
        <v>7.89</v>
      </c>
      <c r="C268" s="1506">
        <v>450852304.33460402</v>
      </c>
      <c r="D268" s="1286">
        <v>448744393.51919061</v>
      </c>
      <c r="E268" s="1308">
        <v>2.9512122136720723E-2</v>
      </c>
      <c r="F268" s="1343">
        <v>2.5013237004048072E-2</v>
      </c>
      <c r="G268" s="1287"/>
      <c r="H268" s="1287"/>
      <c r="I268" s="1287"/>
      <c r="J268" s="1287"/>
      <c r="K268" s="1287"/>
      <c r="L268" s="1287"/>
      <c r="M268" s="1287"/>
      <c r="N268" s="1287"/>
      <c r="O268" s="1287"/>
      <c r="P268" s="1287"/>
      <c r="Q268" s="1287"/>
      <c r="R268" s="1287"/>
      <c r="S268" s="1287"/>
      <c r="T268" s="1287"/>
      <c r="U268" s="1287"/>
      <c r="V268" s="1287"/>
      <c r="W268" s="1287"/>
      <c r="X268" s="1287"/>
      <c r="Y268" s="1287"/>
      <c r="Z268" s="1287"/>
      <c r="AA268" s="1287"/>
      <c r="AB268" s="1287"/>
      <c r="AC268" s="1287"/>
      <c r="AD268" s="1038"/>
      <c r="AE268" s="1038"/>
      <c r="AF268" s="1038"/>
      <c r="AG268" s="1038"/>
      <c r="AH268" s="1038"/>
      <c r="AI268" s="1038"/>
      <c r="AJ268" s="1038"/>
      <c r="AK268" s="1038"/>
      <c r="AL268" s="1038"/>
      <c r="AM268" s="1038"/>
      <c r="AN268" s="1038"/>
      <c r="AO268" s="1038"/>
      <c r="AP268" s="1038"/>
      <c r="AQ268" s="1038"/>
      <c r="AR268" s="1038"/>
      <c r="AS268" s="1038"/>
      <c r="AT268" s="1038"/>
      <c r="AU268" s="1038"/>
      <c r="AV268" s="1038"/>
      <c r="AW268" s="1038"/>
      <c r="AX268" s="1038"/>
      <c r="AY268" s="1038"/>
      <c r="AZ268" s="1038"/>
      <c r="BA268" s="1038"/>
      <c r="BB268" s="1038"/>
      <c r="BC268" s="1038"/>
      <c r="BD268" s="1038"/>
      <c r="BE268" s="1038"/>
    </row>
    <row r="269" spans="1:57" ht="13.8" thickBot="1" x14ac:dyDescent="0.3">
      <c r="A269" s="1287"/>
      <c r="B269" s="1430">
        <v>9</v>
      </c>
      <c r="C269" s="1516">
        <v>476324394.82961422</v>
      </c>
      <c r="D269" s="1309">
        <v>474812241.05296791</v>
      </c>
      <c r="E269" s="1310">
        <v>3.0054253945978136E-2</v>
      </c>
      <c r="F269" s="1344">
        <v>2.4788687720501128E-2</v>
      </c>
      <c r="G269" s="1287"/>
      <c r="H269" s="1287"/>
      <c r="I269" s="1287"/>
      <c r="J269" s="1287"/>
      <c r="K269" s="1287"/>
      <c r="L269" s="1287"/>
      <c r="M269" s="1287"/>
      <c r="N269" s="1287"/>
      <c r="O269" s="1287"/>
      <c r="P269" s="1287"/>
      <c r="Q269" s="1287"/>
      <c r="R269" s="1287"/>
      <c r="S269" s="1287"/>
      <c r="T269" s="1287"/>
      <c r="U269" s="1287"/>
      <c r="V269" s="1287"/>
      <c r="W269" s="1287"/>
      <c r="X269" s="1287"/>
      <c r="Y269" s="1287"/>
      <c r="Z269" s="1287"/>
      <c r="AA269" s="1287"/>
      <c r="AB269" s="1287"/>
      <c r="AC269" s="1287"/>
      <c r="AD269" s="1038"/>
      <c r="AE269" s="1038"/>
      <c r="AF269" s="1038"/>
      <c r="AG269" s="1038"/>
      <c r="AH269" s="1038"/>
      <c r="AI269" s="1038"/>
      <c r="AJ269" s="1038"/>
      <c r="AK269" s="1038"/>
      <c r="AL269" s="1038"/>
      <c r="AM269" s="1038"/>
      <c r="AN269" s="1038"/>
      <c r="AO269" s="1038"/>
      <c r="AP269" s="1038"/>
      <c r="AQ269" s="1038"/>
      <c r="AR269" s="1038"/>
      <c r="AS269" s="1038"/>
      <c r="AT269" s="1038"/>
      <c r="AU269" s="1038"/>
      <c r="AV269" s="1038"/>
      <c r="AW269" s="1038"/>
      <c r="AX269" s="1038"/>
      <c r="AY269" s="1038"/>
      <c r="AZ269" s="1038"/>
      <c r="BA269" s="1038"/>
      <c r="BB269" s="1038"/>
      <c r="BC269" s="1038"/>
      <c r="BD269" s="1038"/>
      <c r="BE269" s="1038"/>
    </row>
    <row r="270" spans="1:57" ht="13.8" thickTop="1" x14ac:dyDescent="0.25">
      <c r="A270" s="1287"/>
      <c r="B270" s="1345" t="s">
        <v>1312</v>
      </c>
      <c r="C270" s="1506" t="e">
        <f ca="1">FORECAST($C$55,OFFSET(C247:C269,MATCH($C$55,$B$73:$B$95,1)-1,0,2), OFFSET($B$73:$B$95,MATCH($C$55,$B$73:$B$95,1)-1,0,2))</f>
        <v>#REF!</v>
      </c>
      <c r="D270" s="1286" t="e">
        <f ca="1">FORECAST($C$55,OFFSET(D247:D269,MATCH($C$55,$B$73:$B$95,1)-1,0,2), OFFSET($B$73:$B$95,MATCH($C$55,$B$73:$B$95,1)-1,0,2))</f>
        <v>#REF!</v>
      </c>
      <c r="E270" s="1308" t="e">
        <f ca="1">FORECAST($C$55,OFFSET(E247:E269,MATCH($C$55,$B$73:$B$95,1)-1,0,2), OFFSET($B$73:$B$95,MATCH($C$55,$B$73:$B$95,1)-1,0,2))</f>
        <v>#REF!</v>
      </c>
      <c r="F270" s="1343" t="e">
        <f ca="1">FORECAST($C$55,OFFSET(F247:F269,MATCH($C$55,$B$73:$B$95,1)-1,0,2), OFFSET($B$73:$B$95,MATCH($C$55,$B$73:$B$95,1)-1,0,2))</f>
        <v>#REF!</v>
      </c>
      <c r="G270" s="1287"/>
      <c r="H270" s="1287"/>
      <c r="I270" s="1287"/>
      <c r="J270" s="1287"/>
      <c r="K270" s="1287"/>
      <c r="L270" s="1287"/>
      <c r="M270" s="1287"/>
      <c r="N270" s="1287"/>
      <c r="O270" s="1287"/>
      <c r="P270" s="1287"/>
      <c r="Q270" s="1287"/>
      <c r="R270" s="1287"/>
      <c r="S270" s="1287"/>
      <c r="T270" s="1287"/>
      <c r="U270" s="1287"/>
      <c r="V270" s="1287"/>
      <c r="W270" s="1287"/>
      <c r="X270" s="1287"/>
      <c r="Y270" s="1287"/>
      <c r="Z270" s="1287"/>
      <c r="AA270" s="1287"/>
      <c r="AB270" s="1287"/>
      <c r="AC270" s="1287"/>
      <c r="AD270" s="1038"/>
      <c r="AE270" s="1038"/>
      <c r="AF270" s="1038"/>
      <c r="AG270" s="1038"/>
      <c r="AH270" s="1038"/>
      <c r="AI270" s="1038"/>
      <c r="AJ270" s="1038"/>
      <c r="AK270" s="1038"/>
      <c r="AL270" s="1038"/>
      <c r="AM270" s="1038"/>
      <c r="AN270" s="1038"/>
      <c r="AO270" s="1038"/>
      <c r="AP270" s="1038"/>
      <c r="AQ270" s="1038"/>
      <c r="AR270" s="1038"/>
      <c r="AS270" s="1038"/>
      <c r="AT270" s="1038"/>
      <c r="AU270" s="1038"/>
      <c r="AV270" s="1038"/>
      <c r="AW270" s="1038"/>
      <c r="AX270" s="1038"/>
      <c r="AY270" s="1038"/>
      <c r="AZ270" s="1038"/>
      <c r="BA270" s="1038"/>
      <c r="BB270" s="1038"/>
      <c r="BC270" s="1038"/>
      <c r="BD270" s="1038"/>
      <c r="BE270" s="1038"/>
    </row>
    <row r="271" spans="1:57" x14ac:dyDescent="0.25">
      <c r="A271" s="1287"/>
      <c r="B271" s="1346"/>
      <c r="C271" s="1512"/>
      <c r="D271" s="1407"/>
      <c r="E271" s="1407"/>
      <c r="F271" s="1403"/>
      <c r="G271" s="1287"/>
      <c r="H271" s="1287"/>
      <c r="I271" s="1287"/>
      <c r="J271" s="1287"/>
      <c r="K271" s="1287"/>
      <c r="L271" s="1287"/>
      <c r="M271" s="1287"/>
      <c r="N271" s="1287"/>
      <c r="O271" s="1287"/>
      <c r="P271" s="1287"/>
      <c r="Q271" s="1287"/>
      <c r="R271" s="1287"/>
      <c r="S271" s="1287"/>
      <c r="T271" s="1287"/>
      <c r="U271" s="1287"/>
      <c r="V271" s="1287"/>
      <c r="W271" s="1287"/>
      <c r="X271" s="1287"/>
      <c r="Y271" s="1287"/>
      <c r="Z271" s="1287"/>
      <c r="AA271" s="1287"/>
      <c r="AB271" s="1287"/>
      <c r="AC271" s="1287"/>
      <c r="AD271" s="1038"/>
      <c r="AE271" s="1038"/>
      <c r="AF271" s="1038"/>
      <c r="AG271" s="1038"/>
      <c r="AH271" s="1038"/>
      <c r="AI271" s="1038"/>
      <c r="AJ271" s="1038"/>
      <c r="AK271" s="1038"/>
      <c r="AL271" s="1038"/>
      <c r="AM271" s="1038"/>
      <c r="AN271" s="1038"/>
      <c r="AO271" s="1038"/>
      <c r="AP271" s="1038"/>
      <c r="AQ271" s="1038"/>
      <c r="AR271" s="1038"/>
      <c r="AS271" s="1038"/>
      <c r="AT271" s="1038"/>
      <c r="AU271" s="1038"/>
      <c r="AV271" s="1038"/>
      <c r="AW271" s="1038"/>
      <c r="AX271" s="1038"/>
      <c r="AY271" s="1038"/>
      <c r="AZ271" s="1038"/>
      <c r="BA271" s="1038"/>
      <c r="BB271" s="1038"/>
      <c r="BC271" s="1038"/>
      <c r="BD271" s="1038"/>
      <c r="BE271" s="1038"/>
    </row>
    <row r="272" spans="1:57" x14ac:dyDescent="0.25">
      <c r="A272" s="1287"/>
      <c r="B272" s="1295" t="s">
        <v>1295</v>
      </c>
      <c r="C272" s="1505">
        <f>VLOOKUP(2008,Tbl_PlantCostIndexes,2,FALSE)/VLOOKUP(2011,Tbl_PlantCostIndexes,2,FALSE)</f>
        <v>0.98241420522451761</v>
      </c>
      <c r="D272" s="1407"/>
      <c r="E272" s="1407"/>
      <c r="F272" s="1403"/>
      <c r="G272" s="1287"/>
      <c r="H272" s="1287"/>
      <c r="I272" s="1287"/>
      <c r="J272" s="1287"/>
      <c r="K272" s="1287"/>
      <c r="L272" s="1287"/>
      <c r="M272" s="1287"/>
      <c r="N272" s="1287"/>
      <c r="O272" s="1287"/>
      <c r="P272" s="1287"/>
      <c r="Q272" s="1287"/>
      <c r="R272" s="1287"/>
      <c r="S272" s="1287"/>
      <c r="T272" s="1287"/>
      <c r="U272" s="1287"/>
      <c r="V272" s="1287"/>
      <c r="W272" s="1287"/>
      <c r="X272" s="1287"/>
      <c r="Y272" s="1287"/>
      <c r="Z272" s="1287"/>
      <c r="AA272" s="1287"/>
      <c r="AB272" s="1287"/>
      <c r="AC272" s="1287"/>
      <c r="AD272" s="1038"/>
      <c r="AE272" s="1038"/>
      <c r="AF272" s="1038"/>
      <c r="AG272" s="1038"/>
      <c r="AH272" s="1038"/>
      <c r="AI272" s="1038"/>
      <c r="AJ272" s="1038"/>
      <c r="AK272" s="1038"/>
      <c r="AL272" s="1038"/>
      <c r="AM272" s="1038"/>
      <c r="AN272" s="1038"/>
      <c r="AO272" s="1038"/>
      <c r="AP272" s="1038"/>
      <c r="AQ272" s="1038"/>
      <c r="AR272" s="1038"/>
      <c r="AS272" s="1038"/>
      <c r="AT272" s="1038"/>
      <c r="AU272" s="1038"/>
      <c r="AV272" s="1038"/>
      <c r="AW272" s="1038"/>
      <c r="AX272" s="1038"/>
      <c r="AY272" s="1038"/>
      <c r="AZ272" s="1038"/>
      <c r="BA272" s="1038"/>
      <c r="BB272" s="1038"/>
      <c r="BC272" s="1038"/>
      <c r="BD272" s="1038"/>
      <c r="BE272" s="1038"/>
    </row>
    <row r="273" spans="1:57" x14ac:dyDescent="0.25">
      <c r="A273" s="1287"/>
      <c r="B273" s="1295" t="s">
        <v>1296</v>
      </c>
      <c r="C273" s="1505">
        <f>VLOOKUP(2011,DeflatorTable,2,FALSE)/VLOOKUP(2008,DeflatorTable,2,FALSE)</f>
        <v>1.0395933172707774</v>
      </c>
      <c r="D273" s="1407"/>
      <c r="E273" s="1407"/>
      <c r="F273" s="1403"/>
      <c r="G273" s="1287"/>
      <c r="H273" s="1287"/>
      <c r="I273" s="1287"/>
      <c r="J273" s="1287"/>
      <c r="K273" s="1287"/>
      <c r="L273" s="1287"/>
      <c r="M273" s="1287"/>
      <c r="N273" s="1287"/>
      <c r="O273" s="1287"/>
      <c r="P273" s="1287"/>
      <c r="Q273" s="1287"/>
      <c r="R273" s="1287"/>
      <c r="S273" s="1287"/>
      <c r="T273" s="1287"/>
      <c r="U273" s="1287"/>
      <c r="V273" s="1287"/>
      <c r="W273" s="1287"/>
      <c r="X273" s="1287"/>
      <c r="Y273" s="1287"/>
      <c r="Z273" s="1287"/>
      <c r="AA273" s="1287"/>
      <c r="AB273" s="1287"/>
      <c r="AC273" s="1287"/>
      <c r="AD273" s="1038"/>
      <c r="AE273" s="1038"/>
      <c r="AF273" s="1038"/>
      <c r="AG273" s="1038"/>
      <c r="AH273" s="1038"/>
      <c r="AI273" s="1038"/>
      <c r="AJ273" s="1038"/>
      <c r="AK273" s="1038"/>
      <c r="AL273" s="1038"/>
      <c r="AM273" s="1038"/>
      <c r="AN273" s="1038"/>
      <c r="AO273" s="1038"/>
      <c r="AP273" s="1038"/>
      <c r="AQ273" s="1038"/>
      <c r="AR273" s="1038"/>
      <c r="AS273" s="1038"/>
      <c r="AT273" s="1038"/>
      <c r="AU273" s="1038"/>
      <c r="AV273" s="1038"/>
      <c r="AW273" s="1038"/>
      <c r="AX273" s="1038"/>
      <c r="AY273" s="1038"/>
      <c r="AZ273" s="1038"/>
      <c r="BA273" s="1038"/>
      <c r="BB273" s="1038"/>
      <c r="BC273" s="1038"/>
      <c r="BD273" s="1038"/>
      <c r="BE273" s="1038"/>
    </row>
    <row r="274" spans="1:57" x14ac:dyDescent="0.25">
      <c r="A274" s="1287"/>
      <c r="B274" s="1347"/>
      <c r="C274" s="1517"/>
      <c r="D274" s="1407"/>
      <c r="E274" s="1407"/>
      <c r="F274" s="1403"/>
      <c r="G274" s="1287"/>
      <c r="H274" s="1287"/>
      <c r="I274" s="1287"/>
      <c r="J274" s="1287"/>
      <c r="K274" s="1287"/>
      <c r="L274" s="1287"/>
      <c r="M274" s="1287"/>
      <c r="N274" s="1287"/>
      <c r="O274" s="1287"/>
      <c r="P274" s="1287"/>
      <c r="Q274" s="1287"/>
      <c r="R274" s="1287"/>
      <c r="S274" s="1287"/>
      <c r="T274" s="1287"/>
      <c r="U274" s="1287"/>
      <c r="V274" s="1287"/>
      <c r="W274" s="1287"/>
      <c r="X274" s="1287"/>
      <c r="Y274" s="1287"/>
      <c r="Z274" s="1287"/>
      <c r="AA274" s="1287"/>
      <c r="AB274" s="1287"/>
      <c r="AC274" s="1287"/>
      <c r="AD274" s="1038"/>
      <c r="AE274" s="1038"/>
      <c r="AF274" s="1038"/>
      <c r="AG274" s="1038"/>
      <c r="AH274" s="1038"/>
      <c r="AI274" s="1038"/>
      <c r="AJ274" s="1038"/>
      <c r="AK274" s="1038"/>
      <c r="AL274" s="1038"/>
      <c r="AM274" s="1038"/>
      <c r="AN274" s="1038"/>
      <c r="AO274" s="1038"/>
      <c r="AP274" s="1038"/>
      <c r="AQ274" s="1038"/>
      <c r="AR274" s="1038"/>
      <c r="AS274" s="1038"/>
      <c r="AT274" s="1038"/>
      <c r="AU274" s="1038"/>
      <c r="AV274" s="1038"/>
      <c r="AW274" s="1038"/>
      <c r="AX274" s="1038"/>
      <c r="AY274" s="1038"/>
      <c r="AZ274" s="1038"/>
      <c r="BA274" s="1038"/>
      <c r="BB274" s="1038"/>
      <c r="BC274" s="1038"/>
      <c r="BD274" s="1038"/>
      <c r="BE274" s="1038"/>
    </row>
    <row r="275" spans="1:57" ht="13.8" thickBot="1" x14ac:dyDescent="0.3">
      <c r="A275" s="1287"/>
      <c r="B275" s="1348" t="s">
        <v>1313</v>
      </c>
      <c r="C275" s="1515" t="e">
        <f ca="1">+C270*$C$272*$C$273</f>
        <v>#REF!</v>
      </c>
      <c r="D275" s="1341" t="e">
        <f ca="1">+D270*$C$272*$C$273</f>
        <v>#REF!</v>
      </c>
      <c r="E275" s="1425"/>
      <c r="F275" s="1406"/>
      <c r="G275" s="1287"/>
      <c r="H275" s="1287"/>
      <c r="I275" s="1287"/>
      <c r="J275" s="1287"/>
      <c r="K275" s="1287"/>
      <c r="L275" s="1287"/>
      <c r="M275" s="1287"/>
      <c r="N275" s="1287"/>
      <c r="O275" s="1287"/>
      <c r="P275" s="1287"/>
      <c r="Q275" s="1287"/>
      <c r="R275" s="1287"/>
      <c r="S275" s="1287"/>
      <c r="T275" s="1287"/>
      <c r="U275" s="1287"/>
      <c r="V275" s="1287"/>
      <c r="W275" s="1287"/>
      <c r="X275" s="1287"/>
      <c r="Y275" s="1287"/>
      <c r="Z275" s="1287"/>
      <c r="AA275" s="1287"/>
      <c r="AB275" s="1287"/>
      <c r="AC275" s="1287"/>
      <c r="AD275" s="1038"/>
      <c r="AE275" s="1038"/>
      <c r="AF275" s="1038"/>
      <c r="AG275" s="1038"/>
      <c r="AH275" s="1038"/>
      <c r="AI275" s="1038"/>
      <c r="AJ275" s="1038"/>
      <c r="AK275" s="1038"/>
      <c r="AL275" s="1038"/>
      <c r="AM275" s="1038"/>
      <c r="AN275" s="1038"/>
      <c r="AO275" s="1038"/>
      <c r="AP275" s="1038"/>
      <c r="AQ275" s="1038"/>
      <c r="AR275" s="1038"/>
      <c r="AS275" s="1038"/>
      <c r="AT275" s="1038"/>
      <c r="AU275" s="1038"/>
      <c r="AV275" s="1038"/>
      <c r="AW275" s="1038"/>
      <c r="AX275" s="1038"/>
      <c r="AY275" s="1038"/>
      <c r="AZ275" s="1038"/>
      <c r="BA275" s="1038"/>
      <c r="BB275" s="1038"/>
      <c r="BC275" s="1038"/>
      <c r="BD275" s="1038"/>
      <c r="BE275" s="1038"/>
    </row>
    <row r="276" spans="1:57" x14ac:dyDescent="0.25">
      <c r="A276" s="1287"/>
      <c r="B276" s="1287"/>
      <c r="C276" s="1496"/>
      <c r="D276" s="1287"/>
      <c r="E276" s="1287"/>
      <c r="F276" s="1287"/>
      <c r="G276" s="1287"/>
      <c r="H276" s="1287"/>
      <c r="I276" s="1287"/>
      <c r="J276" s="1287"/>
      <c r="K276" s="1287"/>
      <c r="L276" s="1287"/>
      <c r="M276" s="1287"/>
      <c r="N276" s="1287"/>
      <c r="O276" s="1287"/>
      <c r="P276" s="1287"/>
      <c r="Q276" s="1287"/>
      <c r="R276" s="1287"/>
      <c r="S276" s="1287"/>
      <c r="T276" s="1287"/>
      <c r="U276" s="1287"/>
      <c r="V276" s="1287"/>
      <c r="W276" s="1287"/>
      <c r="X276" s="1287"/>
      <c r="Y276" s="1287"/>
      <c r="Z276" s="1287"/>
      <c r="AA276" s="1287"/>
      <c r="AB276" s="1287"/>
      <c r="AC276" s="1287"/>
      <c r="AD276" s="1038"/>
      <c r="AE276" s="1038"/>
      <c r="AF276" s="1038"/>
      <c r="AG276" s="1038"/>
      <c r="AH276" s="1038"/>
      <c r="AI276" s="1038"/>
      <c r="AJ276" s="1038"/>
      <c r="AK276" s="1038"/>
      <c r="AL276" s="1038"/>
      <c r="AM276" s="1038"/>
      <c r="AN276" s="1038"/>
      <c r="AO276" s="1038"/>
      <c r="AP276" s="1038"/>
      <c r="AQ276" s="1038"/>
      <c r="AR276" s="1038"/>
      <c r="AS276" s="1038"/>
      <c r="AT276" s="1038"/>
      <c r="AU276" s="1038"/>
      <c r="AV276" s="1038"/>
      <c r="AW276" s="1038"/>
      <c r="AX276" s="1038"/>
      <c r="AY276" s="1038"/>
      <c r="AZ276" s="1038"/>
      <c r="BA276" s="1038"/>
      <c r="BB276" s="1038"/>
      <c r="BC276" s="1038"/>
      <c r="BD276" s="1038"/>
      <c r="BE276" s="1038"/>
    </row>
    <row r="277" spans="1:57" x14ac:dyDescent="0.25">
      <c r="A277" s="1287"/>
      <c r="B277" s="1287"/>
      <c r="C277" s="1496"/>
      <c r="D277" s="1287"/>
      <c r="E277" s="1287"/>
      <c r="F277" s="1287"/>
      <c r="G277" s="1287"/>
      <c r="H277" s="1287"/>
      <c r="I277" s="1287"/>
      <c r="J277" s="1287"/>
      <c r="K277" s="1287"/>
      <c r="L277" s="1407"/>
      <c r="M277" s="1407"/>
      <c r="N277" s="1287"/>
      <c r="O277" s="1287"/>
      <c r="P277" s="1287"/>
      <c r="Q277" s="1287"/>
      <c r="R277" s="1287"/>
      <c r="S277" s="1287"/>
      <c r="T277" s="1287"/>
      <c r="U277" s="1287"/>
      <c r="V277" s="1287"/>
      <c r="W277" s="1287"/>
      <c r="X277" s="1287"/>
      <c r="Y277" s="1287"/>
      <c r="Z277" s="1287"/>
      <c r="AA277" s="1287"/>
      <c r="AB277" s="1287"/>
      <c r="AC277" s="1287"/>
      <c r="AD277" s="1038"/>
      <c r="AE277" s="1038"/>
      <c r="AF277" s="1038"/>
      <c r="AG277" s="1038"/>
      <c r="AH277" s="1038"/>
      <c r="AI277" s="1038"/>
      <c r="AJ277" s="1038"/>
      <c r="AK277" s="1038"/>
      <c r="AL277" s="1038"/>
      <c r="AM277" s="1038"/>
      <c r="AN277" s="1038"/>
      <c r="AO277" s="1038"/>
      <c r="AP277" s="1038"/>
      <c r="AQ277" s="1038"/>
      <c r="AR277" s="1038"/>
      <c r="AS277" s="1038"/>
      <c r="AT277" s="1038"/>
      <c r="AU277" s="1038"/>
      <c r="AV277" s="1038"/>
      <c r="AW277" s="1038"/>
      <c r="AX277" s="1038"/>
      <c r="AY277" s="1038"/>
      <c r="AZ277" s="1038"/>
      <c r="BA277" s="1038"/>
      <c r="BB277" s="1038"/>
      <c r="BC277" s="1038"/>
      <c r="BD277" s="1038"/>
      <c r="BE277" s="1038"/>
    </row>
    <row r="278" spans="1:57" x14ac:dyDescent="0.25">
      <c r="A278" s="1287"/>
      <c r="B278" s="1287"/>
      <c r="C278" s="1496"/>
      <c r="D278" s="1287"/>
      <c r="E278" s="1287"/>
      <c r="F278" s="1287"/>
      <c r="G278" s="1287"/>
      <c r="H278" s="1287"/>
      <c r="I278" s="1287"/>
      <c r="J278" s="1287"/>
      <c r="K278" s="1287"/>
      <c r="L278" s="1407"/>
      <c r="M278" s="1407"/>
      <c r="N278" s="1287"/>
      <c r="O278" s="1287"/>
      <c r="P278" s="1287"/>
      <c r="Q278" s="1287"/>
      <c r="R278" s="1287"/>
      <c r="S278" s="1287"/>
      <c r="T278" s="1287"/>
      <c r="U278" s="1287"/>
      <c r="V278" s="1287"/>
      <c r="W278" s="1287"/>
      <c r="X278" s="1287"/>
      <c r="Y278" s="1287"/>
      <c r="Z278" s="1287"/>
      <c r="AA278" s="1287"/>
      <c r="AB278" s="1287"/>
      <c r="AC278" s="1287"/>
      <c r="AD278" s="1038"/>
      <c r="AE278" s="1038"/>
      <c r="AF278" s="1038"/>
      <c r="AG278" s="1038"/>
      <c r="AH278" s="1038"/>
      <c r="AI278" s="1038"/>
      <c r="AJ278" s="1038"/>
      <c r="AK278" s="1038"/>
      <c r="AL278" s="1038"/>
      <c r="AM278" s="1038"/>
      <c r="AN278" s="1038"/>
      <c r="AO278" s="1038"/>
      <c r="AP278" s="1038"/>
      <c r="AQ278" s="1038"/>
      <c r="AR278" s="1038"/>
      <c r="AS278" s="1038"/>
      <c r="AT278" s="1038"/>
      <c r="AU278" s="1038"/>
      <c r="AV278" s="1038"/>
      <c r="AW278" s="1038"/>
      <c r="AX278" s="1038"/>
      <c r="AY278" s="1038"/>
      <c r="AZ278" s="1038"/>
      <c r="BA278" s="1038"/>
      <c r="BB278" s="1038"/>
      <c r="BC278" s="1038"/>
      <c r="BD278" s="1038"/>
      <c r="BE278" s="1038"/>
    </row>
    <row r="279" spans="1:57" x14ac:dyDescent="0.25">
      <c r="A279" s="1287"/>
      <c r="B279" s="1287"/>
      <c r="C279" s="1496"/>
      <c r="D279" s="1287"/>
      <c r="E279" s="1287"/>
      <c r="F279" s="1287"/>
      <c r="G279" s="1287"/>
      <c r="H279" s="1287"/>
      <c r="I279" s="1287"/>
      <c r="J279" s="1287"/>
      <c r="K279" s="1287"/>
      <c r="L279" s="1407"/>
      <c r="M279" s="1407"/>
      <c r="N279" s="1287"/>
      <c r="O279" s="1287"/>
      <c r="P279" s="1287"/>
      <c r="Q279" s="1287"/>
      <c r="R279" s="1287"/>
      <c r="S279" s="1287"/>
      <c r="T279" s="1287"/>
      <c r="U279" s="1287"/>
      <c r="V279" s="1287"/>
      <c r="W279" s="1287"/>
      <c r="X279" s="1287"/>
      <c r="Y279" s="1287"/>
      <c r="Z279" s="1287"/>
      <c r="AA279" s="1287"/>
      <c r="AB279" s="1287"/>
      <c r="AC279" s="1287"/>
      <c r="AD279" s="1038"/>
      <c r="AE279" s="1038"/>
      <c r="AF279" s="1038"/>
      <c r="AG279" s="1038"/>
      <c r="AH279" s="1038"/>
      <c r="AI279" s="1038"/>
      <c r="AJ279" s="1038"/>
      <c r="AK279" s="1038"/>
      <c r="AL279" s="1038"/>
      <c r="AM279" s="1038"/>
      <c r="AN279" s="1038"/>
      <c r="AO279" s="1038"/>
      <c r="AP279" s="1038"/>
      <c r="AQ279" s="1038"/>
      <c r="AR279" s="1038"/>
      <c r="AS279" s="1038"/>
      <c r="AT279" s="1038"/>
      <c r="AU279" s="1038"/>
      <c r="AV279" s="1038"/>
      <c r="AW279" s="1038"/>
      <c r="AX279" s="1038"/>
      <c r="AY279" s="1038"/>
      <c r="AZ279" s="1038"/>
      <c r="BA279" s="1038"/>
      <c r="BB279" s="1038"/>
      <c r="BC279" s="1038"/>
      <c r="BD279" s="1038"/>
      <c r="BE279" s="1038"/>
    </row>
    <row r="280" spans="1:57" x14ac:dyDescent="0.25">
      <c r="A280" s="1287"/>
      <c r="B280" s="1287"/>
      <c r="C280" s="1496"/>
      <c r="D280" s="1287"/>
      <c r="E280" s="1287"/>
      <c r="F280" s="1287"/>
      <c r="G280" s="1287"/>
      <c r="H280" s="1287"/>
      <c r="I280" s="1287"/>
      <c r="J280" s="1287"/>
      <c r="K280" s="1287"/>
      <c r="L280" s="1408"/>
      <c r="M280" s="1287"/>
      <c r="N280" s="1287"/>
      <c r="O280" s="1287"/>
      <c r="P280" s="1287"/>
      <c r="Q280" s="1287"/>
      <c r="R280" s="1287"/>
      <c r="S280" s="1287"/>
      <c r="T280" s="1287"/>
      <c r="U280" s="1287"/>
      <c r="V280" s="1287"/>
      <c r="W280" s="1287"/>
      <c r="X280" s="1287"/>
      <c r="Y280" s="1287"/>
      <c r="Z280" s="1287"/>
      <c r="AA280" s="1287"/>
      <c r="AB280" s="1287"/>
      <c r="AC280" s="1287"/>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row>
    <row r="281" spans="1:57" x14ac:dyDescent="0.25">
      <c r="A281" s="1287"/>
      <c r="B281" s="1287"/>
      <c r="C281" s="1496"/>
      <c r="D281" s="1287"/>
      <c r="E281" s="1287"/>
      <c r="F281" s="1287"/>
      <c r="G281" s="1287"/>
      <c r="H281" s="1287"/>
      <c r="I281" s="1287"/>
      <c r="J281" s="1287"/>
      <c r="K281" s="1287"/>
      <c r="L281" s="1408"/>
      <c r="M281" s="1287"/>
      <c r="N281" s="1287"/>
      <c r="O281" s="1287"/>
      <c r="P281" s="1287"/>
      <c r="Q281" s="1287"/>
      <c r="R281" s="1287"/>
      <c r="S281" s="1287"/>
      <c r="T281" s="1287"/>
      <c r="U281" s="1287"/>
      <c r="V281" s="1287"/>
      <c r="W281" s="1287"/>
      <c r="X281" s="1287"/>
      <c r="Y281" s="1287"/>
      <c r="Z281" s="1287"/>
      <c r="AA281" s="1287"/>
      <c r="AB281" s="1287"/>
      <c r="AC281" s="1287"/>
      <c r="AD281" s="1038"/>
      <c r="AE281" s="1038"/>
      <c r="AF281" s="1038"/>
      <c r="AG281" s="1038"/>
      <c r="AH281" s="1038"/>
      <c r="AI281" s="1038"/>
      <c r="AJ281" s="1038"/>
      <c r="AK281" s="1038"/>
      <c r="AL281" s="1038"/>
      <c r="AM281" s="1038"/>
      <c r="AN281" s="1038"/>
      <c r="AO281" s="1038"/>
      <c r="AP281" s="1038"/>
      <c r="AQ281" s="1038"/>
      <c r="AR281" s="1038"/>
      <c r="AS281" s="1038"/>
      <c r="AT281" s="1038"/>
      <c r="AU281" s="1038"/>
      <c r="AV281" s="1038"/>
      <c r="AW281" s="1038"/>
      <c r="AX281" s="1038"/>
      <c r="AY281" s="1038"/>
      <c r="AZ281" s="1038"/>
      <c r="BA281" s="1038"/>
      <c r="BB281" s="1038"/>
      <c r="BC281" s="1038"/>
      <c r="BD281" s="1038"/>
      <c r="BE281" s="1038"/>
    </row>
    <row r="282" spans="1:57" x14ac:dyDescent="0.25">
      <c r="A282" s="1287"/>
      <c r="B282" s="1287"/>
      <c r="C282" s="1496"/>
      <c r="D282" s="1287"/>
      <c r="E282" s="1287"/>
      <c r="F282" s="1287"/>
      <c r="G282" s="1287"/>
      <c r="H282" s="1287"/>
      <c r="I282" s="1287"/>
      <c r="J282" s="1287"/>
      <c r="K282" s="1287"/>
      <c r="L282" s="1408"/>
      <c r="M282" s="1287"/>
      <c r="N282" s="1287"/>
      <c r="O282" s="1287"/>
      <c r="P282" s="1287"/>
      <c r="Q282" s="1287"/>
      <c r="R282" s="1287"/>
      <c r="S282" s="1287"/>
      <c r="T282" s="1287"/>
      <c r="U282" s="1287"/>
      <c r="V282" s="1287"/>
      <c r="W282" s="1287"/>
      <c r="X282" s="1287"/>
      <c r="Y282" s="1287"/>
      <c r="Z282" s="1287"/>
      <c r="AA282" s="1287"/>
      <c r="AB282" s="1287"/>
      <c r="AC282" s="1287"/>
      <c r="AD282" s="1038"/>
      <c r="AE282" s="1038"/>
      <c r="AF282" s="1038"/>
      <c r="AG282" s="1038"/>
      <c r="AH282" s="1038"/>
      <c r="AI282" s="1038"/>
      <c r="AJ282" s="1038"/>
      <c r="AK282" s="1038"/>
      <c r="AL282" s="1038"/>
      <c r="AM282" s="1038"/>
      <c r="AN282" s="1038"/>
      <c r="AO282" s="1038"/>
      <c r="AP282" s="1038"/>
      <c r="AQ282" s="1038"/>
      <c r="AR282" s="1038"/>
      <c r="AS282" s="1038"/>
      <c r="AT282" s="1038"/>
      <c r="AU282" s="1038"/>
      <c r="AV282" s="1038"/>
      <c r="AW282" s="1038"/>
      <c r="AX282" s="1038"/>
      <c r="AY282" s="1038"/>
      <c r="AZ282" s="1038"/>
      <c r="BA282" s="1038"/>
      <c r="BB282" s="1038"/>
      <c r="BC282" s="1038"/>
      <c r="BD282" s="1038"/>
      <c r="BE282" s="1038"/>
    </row>
    <row r="283" spans="1:57" x14ac:dyDescent="0.25">
      <c r="A283" s="1287"/>
      <c r="B283" s="1287"/>
      <c r="C283" s="1496"/>
      <c r="D283" s="1287"/>
      <c r="E283" s="1287"/>
      <c r="F283" s="1287"/>
      <c r="G283" s="1287"/>
      <c r="H283" s="1287"/>
      <c r="I283" s="1287"/>
      <c r="J283" s="1287"/>
      <c r="K283" s="1287"/>
      <c r="L283" s="1408"/>
      <c r="M283" s="1287"/>
      <c r="N283" s="1287"/>
      <c r="O283" s="1287"/>
      <c r="P283" s="1287"/>
      <c r="Q283" s="1287"/>
      <c r="R283" s="1287"/>
      <c r="S283" s="1287"/>
      <c r="T283" s="1287"/>
      <c r="U283" s="1287"/>
      <c r="V283" s="1287"/>
      <c r="W283" s="1287"/>
      <c r="X283" s="1287"/>
      <c r="Y283" s="1287"/>
      <c r="Z283" s="1287"/>
      <c r="AA283" s="1287"/>
      <c r="AB283" s="1287"/>
      <c r="AC283" s="1287"/>
      <c r="AD283" s="1038"/>
      <c r="AE283" s="1038"/>
      <c r="AF283" s="1038"/>
      <c r="AG283" s="1038"/>
      <c r="AH283" s="1038"/>
      <c r="AI283" s="1038"/>
      <c r="AJ283" s="1038"/>
      <c r="AK283" s="1038"/>
      <c r="AL283" s="1038"/>
      <c r="AM283" s="1038"/>
      <c r="AN283" s="1038"/>
      <c r="AO283" s="1038"/>
      <c r="AP283" s="1038"/>
      <c r="AQ283" s="1038"/>
      <c r="AR283" s="1038"/>
      <c r="AS283" s="1038"/>
      <c r="AT283" s="1038"/>
      <c r="AU283" s="1038"/>
      <c r="AV283" s="1038"/>
      <c r="AW283" s="1038"/>
      <c r="AX283" s="1038"/>
      <c r="AY283" s="1038"/>
      <c r="AZ283" s="1038"/>
      <c r="BA283" s="1038"/>
      <c r="BB283" s="1038"/>
      <c r="BC283" s="1038"/>
      <c r="BD283" s="1038"/>
      <c r="BE283" s="1038"/>
    </row>
    <row r="284" spans="1:57" x14ac:dyDescent="0.25">
      <c r="A284" s="1287"/>
      <c r="B284" s="1287"/>
      <c r="C284" s="1496"/>
      <c r="D284" s="1287"/>
      <c r="E284" s="1287"/>
      <c r="F284" s="1287"/>
      <c r="G284" s="1287"/>
      <c r="H284" s="1287"/>
      <c r="I284" s="1287"/>
      <c r="J284" s="1287"/>
      <c r="K284" s="1287"/>
      <c r="L284" s="1408"/>
      <c r="M284" s="1287"/>
      <c r="N284" s="1287"/>
      <c r="O284" s="1287"/>
      <c r="P284" s="1287"/>
      <c r="Q284" s="1287"/>
      <c r="R284" s="1287"/>
      <c r="S284" s="1287"/>
      <c r="T284" s="1287"/>
      <c r="U284" s="1287"/>
      <c r="V284" s="1287"/>
      <c r="W284" s="1287"/>
      <c r="X284" s="1287"/>
      <c r="Y284" s="1287"/>
      <c r="Z284" s="1287"/>
      <c r="AA284" s="1287"/>
      <c r="AB284" s="1287"/>
      <c r="AC284" s="1287"/>
      <c r="AD284" s="1038"/>
      <c r="AE284" s="1038"/>
      <c r="AF284" s="1038"/>
      <c r="AG284" s="1038"/>
      <c r="AH284" s="1038"/>
      <c r="AI284" s="1038"/>
      <c r="AJ284" s="1038"/>
      <c r="AK284" s="1038"/>
      <c r="AL284" s="1038"/>
      <c r="AM284" s="1038"/>
      <c r="AN284" s="1038"/>
      <c r="AO284" s="1038"/>
      <c r="AP284" s="1038"/>
      <c r="AQ284" s="1038"/>
      <c r="AR284" s="1038"/>
      <c r="AS284" s="1038"/>
      <c r="AT284" s="1038"/>
      <c r="AU284" s="1038"/>
      <c r="AV284" s="1038"/>
      <c r="AW284" s="1038"/>
      <c r="AX284" s="1038"/>
      <c r="AY284" s="1038"/>
      <c r="AZ284" s="1038"/>
      <c r="BA284" s="1038"/>
      <c r="BB284" s="1038"/>
      <c r="BC284" s="1038"/>
      <c r="BD284" s="1038"/>
      <c r="BE284" s="1038"/>
    </row>
    <row r="285" spans="1:57" x14ac:dyDescent="0.25">
      <c r="A285" s="1287"/>
      <c r="B285" s="1287"/>
      <c r="C285" s="1496"/>
      <c r="D285" s="1287"/>
      <c r="E285" s="1287"/>
      <c r="F285" s="1287"/>
      <c r="G285" s="1287"/>
      <c r="H285" s="1287"/>
      <c r="I285" s="1287"/>
      <c r="J285" s="1287"/>
      <c r="K285" s="1287"/>
      <c r="L285" s="1408"/>
      <c r="M285" s="1287"/>
      <c r="N285" s="1287"/>
      <c r="O285" s="1287"/>
      <c r="P285" s="1287"/>
      <c r="Q285" s="1287"/>
      <c r="R285" s="1287"/>
      <c r="S285" s="1287"/>
      <c r="T285" s="1287"/>
      <c r="U285" s="1287"/>
      <c r="V285" s="1287"/>
      <c r="W285" s="1287"/>
      <c r="X285" s="1287"/>
      <c r="Y285" s="1287"/>
      <c r="Z285" s="1287"/>
      <c r="AA285" s="1287"/>
      <c r="AB285" s="1287"/>
      <c r="AC285" s="1287"/>
      <c r="AD285" s="1038"/>
      <c r="AE285" s="1038"/>
      <c r="AF285" s="1038"/>
      <c r="AG285" s="1038"/>
      <c r="AH285" s="1038"/>
      <c r="AI285" s="1038"/>
      <c r="AJ285" s="1038"/>
      <c r="AK285" s="1038"/>
      <c r="AL285" s="1038"/>
      <c r="AM285" s="1038"/>
      <c r="AN285" s="1038"/>
      <c r="AO285" s="1038"/>
      <c r="AP285" s="1038"/>
      <c r="AQ285" s="1038"/>
      <c r="AR285" s="1038"/>
      <c r="AS285" s="1038"/>
      <c r="AT285" s="1038"/>
      <c r="AU285" s="1038"/>
      <c r="AV285" s="1038"/>
      <c r="AW285" s="1038"/>
      <c r="AX285" s="1038"/>
      <c r="AY285" s="1038"/>
      <c r="AZ285" s="1038"/>
      <c r="BA285" s="1038"/>
      <c r="BB285" s="1038"/>
      <c r="BC285" s="1038"/>
      <c r="BD285" s="1038"/>
      <c r="BE285" s="1038"/>
    </row>
    <row r="286" spans="1:57" x14ac:dyDescent="0.25">
      <c r="A286" s="1287"/>
      <c r="B286" s="1287"/>
      <c r="C286" s="1496"/>
      <c r="D286" s="1287"/>
      <c r="E286" s="1287"/>
      <c r="F286" s="1287"/>
      <c r="G286" s="1287"/>
      <c r="H286" s="1287"/>
      <c r="I286" s="1287"/>
      <c r="J286" s="1287"/>
      <c r="K286" s="1287"/>
      <c r="L286" s="1408"/>
      <c r="M286" s="1287"/>
      <c r="N286" s="1287"/>
      <c r="O286" s="1287"/>
      <c r="P286" s="1287"/>
      <c r="Q286" s="1287"/>
      <c r="R286" s="1287"/>
      <c r="S286" s="1287"/>
      <c r="T286" s="1287"/>
      <c r="U286" s="1287"/>
      <c r="V286" s="1287"/>
      <c r="W286" s="1287"/>
      <c r="X286" s="1287"/>
      <c r="Y286" s="1287"/>
      <c r="Z286" s="1287"/>
      <c r="AA286" s="1287"/>
      <c r="AB286" s="1287"/>
      <c r="AC286" s="1287"/>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row>
    <row r="287" spans="1:57" x14ac:dyDescent="0.25">
      <c r="A287" s="1287"/>
      <c r="B287" s="1287"/>
      <c r="C287" s="1496"/>
      <c r="D287" s="1287"/>
      <c r="E287" s="1287"/>
      <c r="F287" s="1287"/>
      <c r="G287" s="1287"/>
      <c r="H287" s="1287"/>
      <c r="I287" s="1287"/>
      <c r="J287" s="1287"/>
      <c r="K287" s="1287"/>
      <c r="L287" s="1408"/>
      <c r="M287" s="1287"/>
      <c r="N287" s="1287"/>
      <c r="O287" s="1287"/>
      <c r="P287" s="1287"/>
      <c r="Q287" s="1287"/>
      <c r="R287" s="1287"/>
      <c r="S287" s="1287"/>
      <c r="T287" s="1287"/>
      <c r="U287" s="1287"/>
      <c r="V287" s="1287"/>
      <c r="W287" s="1287"/>
      <c r="X287" s="1287"/>
      <c r="Y287" s="1287"/>
      <c r="Z287" s="1287"/>
      <c r="AA287" s="1287"/>
      <c r="AB287" s="1287"/>
      <c r="AC287" s="1287"/>
      <c r="AD287" s="1038"/>
      <c r="AE287" s="1038"/>
      <c r="AF287" s="1038"/>
      <c r="AG287" s="1038"/>
      <c r="AH287" s="1038"/>
      <c r="AI287" s="1038"/>
      <c r="AJ287" s="1038"/>
      <c r="AK287" s="1038"/>
      <c r="AL287" s="1038"/>
      <c r="AM287" s="1038"/>
      <c r="AN287" s="1038"/>
      <c r="AO287" s="1038"/>
      <c r="AP287" s="1038"/>
      <c r="AQ287" s="1038"/>
      <c r="AR287" s="1038"/>
      <c r="AS287" s="1038"/>
      <c r="AT287" s="1038"/>
      <c r="AU287" s="1038"/>
      <c r="AV287" s="1038"/>
      <c r="AW287" s="1038"/>
      <c r="AX287" s="1038"/>
      <c r="AY287" s="1038"/>
      <c r="AZ287" s="1038"/>
      <c r="BA287" s="1038"/>
      <c r="BB287" s="1038"/>
      <c r="BC287" s="1038"/>
      <c r="BD287" s="1038"/>
      <c r="BE287" s="1038"/>
    </row>
    <row r="288" spans="1:57" x14ac:dyDescent="0.25">
      <c r="A288" s="1287"/>
      <c r="B288" s="1313"/>
      <c r="C288" s="1518"/>
      <c r="D288" s="1313"/>
      <c r="E288" s="1313"/>
      <c r="F288" s="1313"/>
      <c r="G288" s="1287"/>
      <c r="H288" s="1287"/>
      <c r="I288" s="1287"/>
      <c r="J288" s="1287"/>
      <c r="K288" s="1287"/>
      <c r="L288" s="1408"/>
      <c r="M288" s="1287"/>
      <c r="N288" s="1287"/>
      <c r="O288" s="1287"/>
      <c r="P288" s="1287"/>
      <c r="Q288" s="1287"/>
      <c r="R288" s="1287"/>
      <c r="S288" s="1287"/>
      <c r="T288" s="1287"/>
      <c r="U288" s="1287"/>
      <c r="V288" s="1287"/>
      <c r="W288" s="1287"/>
      <c r="X288" s="1287"/>
      <c r="Y288" s="1287"/>
      <c r="Z288" s="1287"/>
      <c r="AA288" s="1287"/>
      <c r="AB288" s="1287"/>
      <c r="AC288" s="1287"/>
      <c r="AD288" s="1038"/>
      <c r="AE288" s="1038"/>
      <c r="AF288" s="1038"/>
      <c r="AG288" s="1038"/>
      <c r="AH288" s="1038"/>
      <c r="AI288" s="1038"/>
      <c r="AJ288" s="1038"/>
      <c r="AK288" s="1038"/>
      <c r="AL288" s="1038"/>
      <c r="AM288" s="1038"/>
      <c r="AN288" s="1038"/>
      <c r="AO288" s="1038"/>
      <c r="AP288" s="1038"/>
      <c r="AQ288" s="1038"/>
      <c r="AR288" s="1038"/>
      <c r="AS288" s="1038"/>
      <c r="AT288" s="1038"/>
      <c r="AU288" s="1038"/>
      <c r="AV288" s="1038"/>
      <c r="AW288" s="1038"/>
      <c r="AX288" s="1038"/>
      <c r="AY288" s="1038"/>
      <c r="AZ288" s="1038"/>
      <c r="BA288" s="1038"/>
      <c r="BB288" s="1038"/>
      <c r="BC288" s="1038"/>
      <c r="BD288" s="1038"/>
      <c r="BE288" s="1038"/>
    </row>
    <row r="289" spans="1:57" x14ac:dyDescent="0.25">
      <c r="A289" s="1287"/>
      <c r="B289" s="1313"/>
      <c r="C289" s="1518"/>
      <c r="D289" s="1313"/>
      <c r="E289" s="1313"/>
      <c r="F289" s="1313"/>
      <c r="G289" s="1287"/>
      <c r="H289" s="1287"/>
      <c r="I289" s="1287"/>
      <c r="J289" s="1287"/>
      <c r="K289" s="1287"/>
      <c r="L289" s="1408"/>
      <c r="M289" s="1287"/>
      <c r="N289" s="1287"/>
      <c r="O289" s="1287"/>
      <c r="P289" s="1287"/>
      <c r="Q289" s="1287"/>
      <c r="R289" s="1287"/>
      <c r="S289" s="1287"/>
      <c r="T289" s="1287"/>
      <c r="U289" s="1287"/>
      <c r="V289" s="1287"/>
      <c r="W289" s="1287"/>
      <c r="X289" s="1287"/>
      <c r="Y289" s="1287"/>
      <c r="Z289" s="1287"/>
      <c r="AA289" s="1287"/>
      <c r="AB289" s="1287"/>
      <c r="AC289" s="1287"/>
      <c r="AD289" s="1038"/>
      <c r="AE289" s="1038"/>
      <c r="AF289" s="1038"/>
      <c r="AG289" s="1038"/>
      <c r="AH289" s="1038"/>
      <c r="AI289" s="1038"/>
      <c r="AJ289" s="1038"/>
      <c r="AK289" s="1038"/>
      <c r="AL289" s="1038"/>
      <c r="AM289" s="1038"/>
      <c r="AN289" s="1038"/>
      <c r="AO289" s="1038"/>
      <c r="AP289" s="1038"/>
      <c r="AQ289" s="1038"/>
      <c r="AR289" s="1038"/>
      <c r="AS289" s="1038"/>
      <c r="AT289" s="1038"/>
      <c r="AU289" s="1038"/>
      <c r="AV289" s="1038"/>
      <c r="AW289" s="1038"/>
      <c r="AX289" s="1038"/>
      <c r="AY289" s="1038"/>
      <c r="AZ289" s="1038"/>
      <c r="BA289" s="1038"/>
      <c r="BB289" s="1038"/>
      <c r="BC289" s="1038"/>
      <c r="BD289" s="1038"/>
      <c r="BE289" s="1038"/>
    </row>
    <row r="290" spans="1:57" x14ac:dyDescent="0.25">
      <c r="A290" s="1287"/>
      <c r="B290" s="1287"/>
      <c r="C290" s="1287"/>
      <c r="D290" s="1287"/>
      <c r="E290" s="1287"/>
      <c r="F290" s="1287"/>
      <c r="G290" s="1287"/>
      <c r="H290" s="1287"/>
      <c r="I290" s="1287"/>
      <c r="J290" s="1287"/>
      <c r="K290" s="1287"/>
      <c r="L290" s="1408"/>
      <c r="M290" s="1287"/>
      <c r="N290" s="1287"/>
      <c r="O290" s="1287"/>
      <c r="P290" s="1287"/>
      <c r="Q290" s="1287"/>
      <c r="R290" s="1287"/>
      <c r="S290" s="1287"/>
      <c r="T290" s="1287"/>
      <c r="U290" s="1287"/>
      <c r="V290" s="1287"/>
      <c r="W290" s="1287"/>
      <c r="X290" s="1287"/>
      <c r="Y290" s="1287"/>
      <c r="Z290" s="1287"/>
      <c r="AA290" s="1287"/>
      <c r="AB290" s="1287"/>
      <c r="AC290" s="1287"/>
      <c r="AD290" s="1038"/>
      <c r="AE290" s="1038"/>
      <c r="AF290" s="1038"/>
      <c r="AG290" s="1038"/>
      <c r="AH290" s="1038"/>
      <c r="AI290" s="1038"/>
      <c r="AJ290" s="1038"/>
      <c r="AK290" s="1038"/>
      <c r="AL290" s="1038"/>
      <c r="AM290" s="1038"/>
      <c r="AN290" s="1038"/>
      <c r="AO290" s="1038"/>
      <c r="AP290" s="1038"/>
      <c r="AQ290" s="1038"/>
      <c r="AR290" s="1038"/>
      <c r="AS290" s="1038"/>
      <c r="AT290" s="1038"/>
      <c r="AU290" s="1038"/>
      <c r="AV290" s="1038"/>
      <c r="AW290" s="1038"/>
      <c r="AX290" s="1038"/>
      <c r="AY290" s="1038"/>
      <c r="AZ290" s="1038"/>
      <c r="BA290" s="1038"/>
      <c r="BB290" s="1038"/>
      <c r="BC290" s="1038"/>
      <c r="BD290" s="1038"/>
      <c r="BE290" s="1038"/>
    </row>
    <row r="291" spans="1:57" x14ac:dyDescent="0.25">
      <c r="A291" s="1287"/>
      <c r="B291" s="1287"/>
      <c r="C291" s="1287"/>
      <c r="D291" s="1287"/>
      <c r="E291" s="1287"/>
      <c r="F291" s="1287"/>
      <c r="G291" s="1287"/>
      <c r="H291" s="1287"/>
      <c r="I291" s="1287"/>
      <c r="J291" s="1287"/>
      <c r="K291" s="1287"/>
      <c r="L291" s="1287"/>
      <c r="M291" s="1287"/>
      <c r="N291" s="1287"/>
      <c r="O291" s="1287"/>
      <c r="P291" s="1287"/>
      <c r="Q291" s="1287"/>
      <c r="R291" s="1287"/>
      <c r="S291" s="1287"/>
      <c r="T291" s="1287"/>
      <c r="U291" s="1287"/>
      <c r="V291" s="1287"/>
      <c r="W291" s="1287"/>
      <c r="X291" s="1287"/>
      <c r="Y291" s="1287"/>
      <c r="Z291" s="1287"/>
      <c r="AA291" s="1287"/>
      <c r="AB291" s="1287"/>
      <c r="AC291" s="1287"/>
      <c r="AD291" s="1038"/>
      <c r="AE291" s="1038"/>
      <c r="AF291" s="1038"/>
      <c r="AG291" s="1038"/>
      <c r="AH291" s="1038"/>
      <c r="AI291" s="1038"/>
      <c r="AJ291" s="1038"/>
      <c r="AK291" s="1038"/>
      <c r="AL291" s="1038"/>
      <c r="AM291" s="1038"/>
      <c r="AN291" s="1038"/>
      <c r="AO291" s="1038"/>
      <c r="AP291" s="1038"/>
      <c r="AQ291" s="1038"/>
      <c r="AR291" s="1038"/>
      <c r="AS291" s="1038"/>
      <c r="AT291" s="1038"/>
      <c r="AU291" s="1038"/>
      <c r="AV291" s="1038"/>
      <c r="AW291" s="1038"/>
      <c r="AX291" s="1038"/>
      <c r="AY291" s="1038"/>
      <c r="AZ291" s="1038"/>
      <c r="BA291" s="1038"/>
      <c r="BB291" s="1038"/>
      <c r="BC291" s="1038"/>
      <c r="BD291" s="1038"/>
      <c r="BE291" s="1038"/>
    </row>
    <row r="292" spans="1:57" x14ac:dyDescent="0.25">
      <c r="A292" s="1287"/>
      <c r="B292" s="1287"/>
      <c r="C292" s="1287"/>
      <c r="D292" s="1287"/>
      <c r="E292" s="1287"/>
      <c r="F292" s="1287"/>
      <c r="G292" s="1287"/>
      <c r="H292" s="1287"/>
      <c r="I292" s="1287"/>
      <c r="J292" s="1287"/>
      <c r="K292" s="1287"/>
      <c r="L292" s="1287"/>
      <c r="M292" s="1287"/>
      <c r="N292" s="1287"/>
      <c r="O292" s="1287"/>
      <c r="P292" s="1287"/>
      <c r="Q292" s="1287"/>
      <c r="R292" s="1287"/>
      <c r="S292" s="1287"/>
      <c r="T292" s="1287"/>
      <c r="U292" s="1287"/>
      <c r="V292" s="1287"/>
      <c r="W292" s="1287"/>
      <c r="X292" s="1287"/>
      <c r="Y292" s="1287"/>
      <c r="Z292" s="1287"/>
      <c r="AA292" s="1287"/>
      <c r="AB292" s="1287"/>
      <c r="AC292" s="1287"/>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row>
    <row r="293" spans="1:57" x14ac:dyDescent="0.25">
      <c r="A293" s="1287"/>
      <c r="B293" s="1287"/>
      <c r="C293" s="1287"/>
      <c r="D293" s="1287"/>
      <c r="E293" s="1287"/>
      <c r="F293" s="1287"/>
      <c r="G293" s="1287"/>
      <c r="H293" s="1287"/>
      <c r="I293" s="1287"/>
      <c r="J293" s="1287"/>
      <c r="K293" s="1287"/>
      <c r="L293" s="1287"/>
      <c r="M293" s="1287"/>
      <c r="N293" s="1287"/>
      <c r="O293" s="1287"/>
      <c r="P293" s="1287"/>
      <c r="Q293" s="1287"/>
      <c r="R293" s="1287"/>
      <c r="S293" s="1287"/>
      <c r="T293" s="1287"/>
      <c r="U293" s="1287"/>
      <c r="V293" s="1287"/>
      <c r="W293" s="1287"/>
      <c r="X293" s="1287"/>
      <c r="Y293" s="1287"/>
      <c r="Z293" s="1287"/>
      <c r="AA293" s="1287"/>
      <c r="AB293" s="1287"/>
      <c r="AC293" s="1287"/>
      <c r="AD293" s="1038"/>
      <c r="AE293" s="1038"/>
      <c r="AF293" s="1038"/>
      <c r="AG293" s="1038"/>
      <c r="AH293" s="1038"/>
      <c r="AI293" s="1038"/>
      <c r="AJ293" s="1038"/>
      <c r="AK293" s="1038"/>
      <c r="AL293" s="1038"/>
      <c r="AM293" s="1038"/>
      <c r="AN293" s="1038"/>
      <c r="AO293" s="1038"/>
      <c r="AP293" s="1038"/>
      <c r="AQ293" s="1038"/>
      <c r="AR293" s="1038"/>
      <c r="AS293" s="1038"/>
      <c r="AT293" s="1038"/>
      <c r="AU293" s="1038"/>
      <c r="AV293" s="1038"/>
      <c r="AW293" s="1038"/>
      <c r="AX293" s="1038"/>
      <c r="AY293" s="1038"/>
      <c r="AZ293" s="1038"/>
      <c r="BA293" s="1038"/>
      <c r="BB293" s="1038"/>
      <c r="BC293" s="1038"/>
      <c r="BD293" s="1038"/>
      <c r="BE293" s="1038"/>
    </row>
  </sheetData>
  <mergeCells count="38">
    <mergeCell ref="B4:J4"/>
    <mergeCell ref="B5:J5"/>
    <mergeCell ref="H21:I21"/>
    <mergeCell ref="H22:I22"/>
    <mergeCell ref="D26:F26"/>
    <mergeCell ref="H20:K20"/>
    <mergeCell ref="H23:I23"/>
    <mergeCell ref="D21:F21"/>
    <mergeCell ref="D25:F25"/>
    <mergeCell ref="H24:I24"/>
    <mergeCell ref="H25:I25"/>
    <mergeCell ref="H26:I26"/>
    <mergeCell ref="E30:F30"/>
    <mergeCell ref="E40:F40"/>
    <mergeCell ref="E38:F38"/>
    <mergeCell ref="E37:F37"/>
    <mergeCell ref="E36:F36"/>
    <mergeCell ref="E33:F33"/>
    <mergeCell ref="H27:I27"/>
    <mergeCell ref="H30:J30"/>
    <mergeCell ref="H34:J34"/>
    <mergeCell ref="H36:I36"/>
    <mergeCell ref="H31:I31"/>
    <mergeCell ref="H35:I35"/>
    <mergeCell ref="H28:I28"/>
    <mergeCell ref="H37:I37"/>
    <mergeCell ref="H38:I38"/>
    <mergeCell ref="H43:J43"/>
    <mergeCell ref="H44:J44"/>
    <mergeCell ref="H45:J45"/>
    <mergeCell ref="H41:I41"/>
    <mergeCell ref="B69:C69"/>
    <mergeCell ref="E39:F39"/>
    <mergeCell ref="E42:F42"/>
    <mergeCell ref="E43:F43"/>
    <mergeCell ref="E45:F45"/>
    <mergeCell ref="E41:F41"/>
    <mergeCell ref="E44:F44"/>
  </mergeCells>
  <phoneticPr fontId="3" type="noConversion"/>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605" r:id="rId4" name="Check Box 310">
              <controlPr defaultSize="0" autoFill="0" autoLine="0" autoPict="0" macro="[0]!CheckBox310_Click" altText="H2A default">
                <anchor moveWithCells="1">
                  <from>
                    <xdr:col>3</xdr:col>
                    <xdr:colOff>182880</xdr:colOff>
                    <xdr:row>30</xdr:row>
                    <xdr:rowOff>175260</xdr:rowOff>
                  </from>
                  <to>
                    <xdr:col>3</xdr:col>
                    <xdr:colOff>1097280</xdr:colOff>
                    <xdr:row>32</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E18" sqref="E18"/>
    </sheetView>
  </sheetViews>
  <sheetFormatPr defaultRowHeight="13.2" x14ac:dyDescent="0.25"/>
  <cols>
    <col min="2" max="2" width="28.6640625" customWidth="1"/>
    <col min="3" max="3" width="25.33203125" customWidth="1"/>
    <col min="4" max="4" width="22.6640625" customWidth="1"/>
    <col min="5" max="5" width="22.33203125" customWidth="1"/>
    <col min="6" max="6" width="20.33203125" customWidth="1"/>
    <col min="7" max="7" width="18.5546875" customWidth="1"/>
    <col min="8" max="8" width="15.6640625" customWidth="1"/>
    <col min="9" max="9" width="16.33203125" customWidth="1"/>
  </cols>
  <sheetData>
    <row r="1" spans="2:9" ht="13.8" thickBot="1" x14ac:dyDescent="0.3"/>
    <row r="2" spans="2:9" ht="16.2" thickTop="1" x14ac:dyDescent="0.3">
      <c r="B2" s="642" t="s">
        <v>1049</v>
      </c>
      <c r="C2" s="643"/>
    </row>
    <row r="3" spans="2:9" x14ac:dyDescent="0.25">
      <c r="B3" s="644" t="s">
        <v>78</v>
      </c>
      <c r="C3" s="602"/>
    </row>
    <row r="4" spans="2:9" x14ac:dyDescent="0.25">
      <c r="B4" s="644" t="s">
        <v>906</v>
      </c>
      <c r="C4" s="602"/>
    </row>
    <row r="5" spans="2:9" x14ac:dyDescent="0.25">
      <c r="B5" s="644" t="s">
        <v>391</v>
      </c>
      <c r="C5" s="602"/>
    </row>
    <row r="6" spans="2:9" x14ac:dyDescent="0.25">
      <c r="B6" s="644" t="s">
        <v>1050</v>
      </c>
      <c r="C6" s="602"/>
    </row>
    <row r="7" spans="2:9" x14ac:dyDescent="0.25">
      <c r="B7" s="644" t="s">
        <v>399</v>
      </c>
      <c r="C7" s="602"/>
    </row>
    <row r="8" spans="2:9" x14ac:dyDescent="0.25">
      <c r="B8" s="644" t="s">
        <v>525</v>
      </c>
      <c r="C8" s="602"/>
    </row>
    <row r="9" spans="2:9" x14ac:dyDescent="0.25">
      <c r="B9" s="644" t="s">
        <v>1051</v>
      </c>
      <c r="C9" s="602"/>
    </row>
    <row r="10" spans="2:9" ht="13.8" thickBot="1" x14ac:dyDescent="0.3">
      <c r="B10" s="645" t="s">
        <v>1052</v>
      </c>
      <c r="C10" s="646"/>
    </row>
    <row r="11" spans="2:9" ht="13.8" thickTop="1" x14ac:dyDescent="0.25"/>
    <row r="12" spans="2:9" ht="24.6" x14ac:dyDescent="0.4">
      <c r="B12" s="411" t="s">
        <v>388</v>
      </c>
      <c r="C12" s="133"/>
      <c r="D12" s="133"/>
      <c r="E12" s="51"/>
      <c r="F12" s="51"/>
      <c r="G12" s="38"/>
      <c r="H12" s="39"/>
      <c r="I12" s="132"/>
    </row>
    <row r="13" spans="2:9" x14ac:dyDescent="0.25">
      <c r="D13" s="133"/>
      <c r="E13" s="134"/>
      <c r="F13" s="51"/>
      <c r="G13" s="38"/>
      <c r="H13" s="39"/>
      <c r="I13" s="132"/>
    </row>
    <row r="14" spans="2:9" ht="21.6" thickBot="1" x14ac:dyDescent="0.55000000000000004">
      <c r="B14" s="310" t="s">
        <v>389</v>
      </c>
      <c r="D14" s="133"/>
      <c r="E14" s="51"/>
      <c r="F14" s="51"/>
      <c r="G14" s="38"/>
      <c r="H14" s="39"/>
      <c r="I14" s="132"/>
    </row>
    <row r="15" spans="2:9" ht="15.6" thickBot="1" x14ac:dyDescent="0.3">
      <c r="B15" s="826" t="s">
        <v>1077</v>
      </c>
      <c r="C15" s="827" t="e">
        <f ca="1">total_cap/(ProcEqpCap+IF(CO2_Capture_Efficiency&gt;0,CCSEqpCap,0))</f>
        <v>#REF!</v>
      </c>
      <c r="D15" s="133"/>
      <c r="E15" s="51"/>
      <c r="F15" s="51"/>
      <c r="G15" s="38"/>
      <c r="H15" s="39"/>
      <c r="I15" s="132"/>
    </row>
    <row r="16" spans="2:9" ht="13.8" thickBot="1" x14ac:dyDescent="0.3">
      <c r="B16" s="51"/>
      <c r="C16" s="51"/>
      <c r="D16" s="51"/>
      <c r="E16" s="51"/>
      <c r="F16" s="51"/>
      <c r="G16" s="38"/>
      <c r="H16" s="39"/>
      <c r="I16" s="132"/>
    </row>
    <row r="17" spans="2:9" ht="16.8" thickTop="1" thickBot="1" x14ac:dyDescent="0.35">
      <c r="B17" s="47" t="s">
        <v>78</v>
      </c>
      <c r="C17" s="147"/>
      <c r="D17" s="148"/>
      <c r="E17" s="51"/>
      <c r="F17" s="1628" t="str">
        <f>IF(CO2_inUse = "Carbon Sequestration","Approximate Carbon Sequestration Costs*","Carbon Sequestration is not included in this case")</f>
        <v>Carbon Sequestration is not included in this case</v>
      </c>
      <c r="G17" s="1629"/>
      <c r="H17" s="1630"/>
      <c r="I17" s="132"/>
    </row>
    <row r="18" spans="2:9" ht="55.8" thickTop="1" x14ac:dyDescent="0.25">
      <c r="B18" s="150" t="s">
        <v>79</v>
      </c>
      <c r="C18" s="54" t="s">
        <v>80</v>
      </c>
      <c r="D18" s="410" t="s">
        <v>81</v>
      </c>
      <c r="E18" s="51"/>
      <c r="F18" s="1483" t="s">
        <v>79</v>
      </c>
      <c r="G18" s="1484" t="s">
        <v>1</v>
      </c>
      <c r="H18" s="1485" t="s">
        <v>2</v>
      </c>
      <c r="I18" s="132"/>
    </row>
    <row r="19" spans="2:9" ht="13.8" x14ac:dyDescent="0.25">
      <c r="B19" s="540" t="s">
        <v>82</v>
      </c>
      <c r="C19" s="700">
        <f ca="1">'Cash Flow Analysis'!D119</f>
        <v>0.23612199359753452</v>
      </c>
      <c r="D19" s="151">
        <f ca="1">'Cash Flow Analysis'!C119</f>
        <v>0.14638304632615939</v>
      </c>
      <c r="E19" s="51"/>
      <c r="F19" s="1486" t="s">
        <v>82</v>
      </c>
      <c r="G19" s="1487" t="str">
        <f>IF(CO2_inUse = "Carbon Sequestration",ROUND((Det_CO2_seq)*CO2_cap_charge_rate/output_kgyear,2),"")</f>
        <v/>
      </c>
      <c r="H19" s="1488" t="str">
        <f>IF(CO2_inUse = "Carbon Sequestration",CO2_capptonneCO2,"")</f>
        <v/>
      </c>
      <c r="I19" s="132"/>
    </row>
    <row r="20" spans="2:9" ht="13.8" x14ac:dyDescent="0.25">
      <c r="B20" s="540" t="s">
        <v>83</v>
      </c>
      <c r="C20" s="232">
        <f ca="1">'Cash Flow Analysis'!D120</f>
        <v>6.4102250076355245E-3</v>
      </c>
      <c r="D20" s="152">
        <f ca="1">'Cash Flow Analysis'!C120</f>
        <v>3.9739977202344536E-3</v>
      </c>
      <c r="E20" s="51"/>
      <c r="F20" s="1486" t="s">
        <v>3</v>
      </c>
      <c r="G20" s="1487" t="str">
        <f>IF(CO2_inUse = "Carbon Sequestration",ROUND(Det_CO2_OandMcost/output_kgyear,2),"")</f>
        <v/>
      </c>
      <c r="H20" s="1488" t="str">
        <f>IF(CO2_inUse = "Carbon Sequestration",CO2_OandMptonneCO2,"")</f>
        <v/>
      </c>
      <c r="I20" s="132"/>
    </row>
    <row r="21" spans="2:9" ht="13.8" x14ac:dyDescent="0.25">
      <c r="B21" s="540" t="s">
        <v>84</v>
      </c>
      <c r="C21" s="232">
        <f ca="1">'Cash Flow Analysis'!D121</f>
        <v>0.16870131664336133</v>
      </c>
      <c r="D21" s="152">
        <f ca="1">'Cash Flow Analysis'!C121</f>
        <v>0.10458582139358617</v>
      </c>
      <c r="E21" s="51"/>
      <c r="F21" s="1486" t="s">
        <v>4</v>
      </c>
      <c r="G21" s="1487" t="str">
        <f>IF(CO2_inUse = "Carbon Sequestration",ROUND(CO2_eCostpY/output_kgyear,2),"")</f>
        <v/>
      </c>
      <c r="H21" s="1488" t="str">
        <f>IF(CO2_inUse = "Carbon Sequestration",CO2_energyptonneCO2,"")</f>
        <v/>
      </c>
      <c r="I21" s="132"/>
    </row>
    <row r="22" spans="2:9" ht="14.4" thickBot="1" x14ac:dyDescent="0.3">
      <c r="B22" s="540" t="s">
        <v>986</v>
      </c>
      <c r="C22" s="232">
        <f ca="1">'Cash Flow Analysis'!D122</f>
        <v>1.185954497005723</v>
      </c>
      <c r="D22" s="152">
        <f ca="1">'Cash Flow Analysis'!C122</f>
        <v>0.73522855465895276</v>
      </c>
      <c r="E22" s="51"/>
      <c r="F22" s="1489" t="s">
        <v>57</v>
      </c>
      <c r="G22" s="1490">
        <f>SUM(G19:G21)</f>
        <v>0</v>
      </c>
      <c r="H22" s="1491">
        <f>SUM(H19:H21)</f>
        <v>0</v>
      </c>
      <c r="I22" s="132"/>
    </row>
    <row r="23" spans="2:9" ht="27" customHeight="1" thickTop="1" x14ac:dyDescent="0.25">
      <c r="B23" s="540" t="s">
        <v>85</v>
      </c>
      <c r="C23" s="232">
        <f ca="1">'Cash Flow Analysis'!D123</f>
        <v>0</v>
      </c>
      <c r="D23" s="152">
        <f ca="1">'Cash Flow Analysis'!C123</f>
        <v>0</v>
      </c>
      <c r="E23" s="51"/>
      <c r="F23" s="1631" t="s">
        <v>5</v>
      </c>
      <c r="G23" s="1631"/>
      <c r="H23" s="1631"/>
      <c r="I23" s="132"/>
    </row>
    <row r="24" spans="2:9" x14ac:dyDescent="0.25">
      <c r="B24" s="540" t="s">
        <v>86</v>
      </c>
      <c r="C24" s="232">
        <f ca="1">'Cash Flow Analysis'!D124</f>
        <v>0</v>
      </c>
      <c r="D24" s="152">
        <f ca="1">'Cash Flow Analysis'!C124</f>
        <v>0</v>
      </c>
      <c r="E24" s="51"/>
      <c r="F24" s="51"/>
      <c r="I24" s="132"/>
    </row>
    <row r="25" spans="2:9" ht="26.4" x14ac:dyDescent="0.25">
      <c r="B25" s="541" t="s">
        <v>87</v>
      </c>
      <c r="C25" s="232">
        <f ca="1">'Cash Flow Analysis'!D125</f>
        <v>1.5853911629231623E-2</v>
      </c>
      <c r="D25" s="152">
        <f ca="1">'Cash Flow Analysis'!C125</f>
        <v>9.8285799010672161E-3</v>
      </c>
      <c r="E25" s="51"/>
      <c r="F25" s="51"/>
      <c r="I25" s="132"/>
    </row>
    <row r="26" spans="2:9" ht="13.8" thickBot="1" x14ac:dyDescent="0.3">
      <c r="B26" s="542" t="s">
        <v>57</v>
      </c>
      <c r="C26" s="701">
        <f ca="1">SUM(C19:C25)</f>
        <v>1.613041943883486</v>
      </c>
      <c r="D26" s="483"/>
      <c r="E26" s="51"/>
      <c r="F26" s="51"/>
      <c r="I26" s="132"/>
    </row>
    <row r="27" spans="2:9" ht="13.8" thickTop="1" x14ac:dyDescent="0.25">
      <c r="B27" s="51"/>
      <c r="C27" s="51"/>
      <c r="D27" s="141"/>
      <c r="E27" s="51"/>
      <c r="F27" s="51"/>
      <c r="I27" s="132"/>
    </row>
    <row r="28" spans="2:9" ht="21" x14ac:dyDescent="0.5">
      <c r="B28" s="310" t="s">
        <v>390</v>
      </c>
      <c r="C28" s="51"/>
      <c r="D28" s="39"/>
      <c r="E28" s="51"/>
      <c r="F28" s="51"/>
      <c r="G28" s="51"/>
      <c r="H28" s="51"/>
      <c r="I28" s="132"/>
    </row>
    <row r="29" spans="2:9" ht="13.8" thickBot="1" x14ac:dyDescent="0.3">
      <c r="I29" s="132"/>
    </row>
    <row r="30" spans="2:9" ht="16.8" thickTop="1" thickBot="1" x14ac:dyDescent="0.35">
      <c r="B30" s="1632" t="s">
        <v>906</v>
      </c>
      <c r="C30" s="1633"/>
      <c r="D30" s="524"/>
      <c r="E30" s="524"/>
      <c r="F30" s="524"/>
      <c r="G30" s="525"/>
      <c r="H30" s="525"/>
      <c r="I30" s="529"/>
    </row>
    <row r="31" spans="2:9" ht="42" thickBot="1" x14ac:dyDescent="0.3">
      <c r="B31" s="530" t="s">
        <v>247</v>
      </c>
      <c r="C31" s="531" t="s">
        <v>910</v>
      </c>
      <c r="D31" s="531" t="s">
        <v>905</v>
      </c>
      <c r="E31" s="532" t="s">
        <v>697</v>
      </c>
      <c r="F31" s="532" t="s">
        <v>263</v>
      </c>
      <c r="G31" s="532" t="s">
        <v>904</v>
      </c>
      <c r="H31" s="532" t="s">
        <v>921</v>
      </c>
      <c r="I31" s="533" t="s">
        <v>1173</v>
      </c>
    </row>
    <row r="32" spans="2:9" x14ac:dyDescent="0.25">
      <c r="B32" s="619" t="str">
        <f>IF('Cash Flow Analysis'!$B$131=0,"",'Cash Flow Analysis'!$B$131)</f>
        <v>Industrial Natural Gas</v>
      </c>
      <c r="C32" s="620">
        <f ca="1">IF($B$32="","",$E$32*$F$32*$H$32)</f>
        <v>0.15381830686499998</v>
      </c>
      <c r="D32" s="620">
        <f ca="1">IF($B32="","",$C32*1000*MJ_to_kWh)</f>
        <v>42.727307462499994</v>
      </c>
      <c r="E32" s="621">
        <f ca="1">IF($B$32&lt;&gt;"",VLOOKUP($B$32,MASTER_PROPERTY_TABLE,MATCH("H2A LHV (GJ/ H2A usage input unit)",key_MPTable,0),FALSE),"")</f>
        <v>1.0549999999999999</v>
      </c>
      <c r="F32" s="621">
        <f ca="1">IF('Cash Flow Analysis'!$B$133="","",'Cash Flow Analysis'!$B$133)</f>
        <v>0.145799343</v>
      </c>
      <c r="G32" s="622" t="str">
        <f ca="1">IF($B$32&lt;&gt;"",VLOOKUP($B$32,MASTER_PROPERTY_TABLE,MATCH("H2A Usage Input Unit/ kg H2",key_MPTable,0),FALSE),"")</f>
        <v>mmBtu</v>
      </c>
      <c r="H32" s="622">
        <f ca="1">IF($B32="","",IF(VLOOKUP($B32,MASTER_PROPERTY_TABLE,MATCH("Unit System",key_MPTable,0),FALSE)="English",mmBTU_to_GJ,1))</f>
        <v>1</v>
      </c>
      <c r="I32" s="1004">
        <f ca="1">+'Cash Flow Analysis'!$B$233</f>
        <v>6.4590497496557608</v>
      </c>
    </row>
    <row r="33" spans="2:9" x14ac:dyDescent="0.25">
      <c r="B33" s="573" t="str">
        <f>IF('Cash Flow Analysis'!$C$131=0,"",'Cash Flow Analysis'!$C$131)</f>
        <v>Commercial Electricity</v>
      </c>
      <c r="C33" s="623">
        <f ca="1">IF($B$33="","",$E$33*$F$33*$H$33)</f>
        <v>8.1647999999999981E-3</v>
      </c>
      <c r="D33" s="623">
        <f ca="1">IF($B33="","",$C33*1000*MJ_to_kWh)</f>
        <v>2.2679999999999993</v>
      </c>
      <c r="E33" s="577">
        <f ca="1">IF($B$33&lt;&gt;"",VLOOKUP($B$33,MASTER_PROPERTY_TABLE,MATCH("H2A LHV (GJ/ H2A usage input unit)",key_MPTable,0),FALSE),"")</f>
        <v>3.5999999999999995E-3</v>
      </c>
      <c r="F33" s="577">
        <f ca="1">IF('Cash Flow Analysis'!$C$133="","",'Cash Flow Analysis'!$C$133)</f>
        <v>2.2679999999999998</v>
      </c>
      <c r="G33" s="624" t="str">
        <f ca="1">IF($B$33&lt;&gt;"",VLOOKUP($B$33,MASTER_PROPERTY_TABLE,MATCH("H2A Usage Input Unit/ kg H2",key_MPTable,0),FALSE),"")</f>
        <v>kWh</v>
      </c>
      <c r="H33" s="624">
        <f ca="1">IF($B$33="","",IF(VLOOKUP($B$33,MASTER_PROPERTY_TABLE,MATCH("Unit System",key_MPTable,0),FALSE)="English",mmBTU_to_GJ,1))</f>
        <v>1</v>
      </c>
      <c r="I33" s="1005">
        <f ca="1">+'Cash Flow Analysis'!$C$233</f>
        <v>0.11762011576045292</v>
      </c>
    </row>
    <row r="34" spans="2:9" x14ac:dyDescent="0.25">
      <c r="B34" s="573" t="str">
        <f>IF('Cash Flow Analysis'!$D$131=0,"",'Cash Flow Analysis'!$D$131)</f>
        <v/>
      </c>
      <c r="C34" s="623" t="str">
        <f>IF($B$34="","",$E$34*$F$34*$H$34)</f>
        <v/>
      </c>
      <c r="D34" s="623" t="str">
        <f>IF($B34="","",$C34*1000*MJ_to_kWh)</f>
        <v/>
      </c>
      <c r="E34" s="577" t="str">
        <f>IF($B$34&lt;&gt;"",VLOOKUP($B$34,MASTER_PROPERTY_TABLE,MATCH("H2A LHV (GJ/ H2A usage input unit)",key_MPTable,0),FALSE),"")</f>
        <v/>
      </c>
      <c r="F34" s="577" t="str">
        <f>IF('Cash Flow Analysis'!$D$133="","",'Cash Flow Analysis'!$D$133)</f>
        <v/>
      </c>
      <c r="G34" s="624" t="str">
        <f>IF($B$34&lt;&gt;"",VLOOKUP($B$34,MASTER_PROPERTY_TABLE,MATCH("H2A Usage Input Unit/ kg H2",key_MPTable,0),FALSE),"")</f>
        <v/>
      </c>
      <c r="H34" s="624" t="str">
        <f>IF($B$34="","",IF(VLOOKUP($B$34,MASTER_PROPERTY_TABLE,MATCH("Unit System",key_MPTable,0),FALSE)="English",mmBTU_to_GJ,1))</f>
        <v/>
      </c>
      <c r="I34" s="1005" t="str">
        <f>+'Cash Flow Analysis'!$D$233</f>
        <v/>
      </c>
    </row>
    <row r="35" spans="2:9" ht="13.8" thickBot="1" x14ac:dyDescent="0.3">
      <c r="B35" s="626" t="str">
        <f>IF('Cash Flow Analysis'!$E$131=0,"",'Cash Flow Analysis'!$E$131)</f>
        <v/>
      </c>
      <c r="C35" s="627" t="str">
        <f>IF($B$35="","",$E$35*$F$35*$H$35)</f>
        <v/>
      </c>
      <c r="D35" s="627" t="str">
        <f>IF($B35="","",$C35*1000*MJ_to_kWh)</f>
        <v/>
      </c>
      <c r="E35" s="628" t="str">
        <f>IF($B$35&lt;&gt;"",VLOOKUP($B$35,MASTER_PROPERTY_TABLE,MATCH("H2A LHV (GJ/ H2A usage input unit)",key_MPTable,0),FALSE),"")</f>
        <v/>
      </c>
      <c r="F35" s="628" t="str">
        <f>IF('Cash Flow Analysis'!$E$133="","",'Cash Flow Analysis'!$E$133)</f>
        <v/>
      </c>
      <c r="G35" s="629" t="str">
        <f>IF($B$35&lt;&gt;"",VLOOKUP($B$35,MASTER_PROPERTY_TABLE,MATCH("H2A Usage Input Unit/ kg H2",key_MPTable,0),FALSE),"")</f>
        <v/>
      </c>
      <c r="H35" s="629" t="str">
        <f>IF($B$35="","",IF(VLOOKUP($B$35,MASTER_PROPERTY_TABLE,MATCH("Unit System",key_MPTable,0),FALSE)="English",mmBTU_to_GJ,1))</f>
        <v/>
      </c>
      <c r="I35" s="1006" t="str">
        <f>+'Cash Flow Analysis'!$E$233</f>
        <v/>
      </c>
    </row>
    <row r="36" spans="2:9" ht="13.8" x14ac:dyDescent="0.25">
      <c r="B36" s="630" t="s">
        <v>270</v>
      </c>
      <c r="C36" s="631"/>
      <c r="D36" s="631"/>
      <c r="E36" s="537"/>
      <c r="F36" s="537"/>
      <c r="G36" s="538"/>
      <c r="H36" s="538"/>
      <c r="I36" s="1007"/>
    </row>
    <row r="37" spans="2:9" x14ac:dyDescent="0.25">
      <c r="B37" s="573" t="str">
        <f>IF('Cash Flow Analysis'!$F$131=0,"",'Cash Flow Analysis'!$F$131)</f>
        <v/>
      </c>
      <c r="C37" s="623" t="str">
        <f>IF($B$37="","",$E$37*$F$37*$H$37)</f>
        <v/>
      </c>
      <c r="D37" s="623" t="str">
        <f>IF($B37="","",$C37*1000*MJ_to_kWh)</f>
        <v/>
      </c>
      <c r="E37" s="577" t="str">
        <f>IF($B37&lt;&gt;"",VLOOKUP($B37,MASTER_PROPERTY_TABLE,MATCH("H2A LHV (GJ/ H2A usage input unit)",key_MPTable,0),FALSE),"")</f>
        <v/>
      </c>
      <c r="F37" s="577" t="str">
        <f>IF('Cash Flow Analysis'!$F$133="","",'Cash Flow Analysis'!$F$133)</f>
        <v/>
      </c>
      <c r="G37" s="624" t="str">
        <f>IF($B$37&lt;&gt;"",VLOOKUP($B$37,MASTER_PROPERTY_TABLE,MATCH("H2A Usage Input Unit/ kg H2",key_MPTable,0),FALSE),"")</f>
        <v/>
      </c>
      <c r="H37" s="624" t="str">
        <f>IF($B$37="","",IF(VLOOKUP($B$37,MASTER_PROPERTY_TABLE,MATCH("Unit System",key_MPTable,0),FALSE)="English",mmBTU_to_GJ,1))</f>
        <v/>
      </c>
      <c r="I37" s="1005" t="str">
        <f>+'Cash Flow Analysis'!$F$233</f>
        <v/>
      </c>
    </row>
    <row r="38" spans="2:9" x14ac:dyDescent="0.25">
      <c r="B38" s="573" t="str">
        <f>IF('Cash Flow Analysis'!$G$131=0,"",'Cash Flow Analysis'!$G$131)</f>
        <v/>
      </c>
      <c r="C38" s="623" t="str">
        <f>IF($B$38="","",$E$38*$F$38*$H$38)</f>
        <v/>
      </c>
      <c r="D38" s="623" t="str">
        <f>IF($B38="","",$C38*1000*MJ_to_kWh)</f>
        <v/>
      </c>
      <c r="E38" s="577" t="str">
        <f>IF($B38&lt;&gt;"",VLOOKUP($B38,MASTER_PROPERTY_TABLE,MATCH("H2A LHV (GJ/ H2A usage input unit)",key_MPTable,0),FALSE),"")</f>
        <v/>
      </c>
      <c r="F38" s="577" t="str">
        <f>IF('Cash Flow Analysis'!$G$133="","",'Cash Flow Analysis'!$G$133)</f>
        <v/>
      </c>
      <c r="G38" s="624" t="str">
        <f>IF($B$38&lt;&gt;"",VLOOKUP($B$38,MASTER_PROPERTY_TABLE,MATCH("H2A Usage Input Unit/ kg H2",key_MPTable,0),FALSE),"")</f>
        <v/>
      </c>
      <c r="H38" s="624" t="str">
        <f>IF($B$38="","",IF(VLOOKUP($B$38,MASTER_PROPERTY_TABLE,MATCH("Unit System",key_MPTable,0),FALSE)="English",mmBTU_to_GJ,1))</f>
        <v/>
      </c>
      <c r="I38" s="1005" t="str">
        <f>+'Cash Flow Analysis'!$G$233</f>
        <v/>
      </c>
    </row>
    <row r="39" spans="2:9" x14ac:dyDescent="0.25">
      <c r="B39" s="573" t="str">
        <f>IF('Cash Flow Analysis'!$H$131=0,"",'Cash Flow Analysis'!$H$131)</f>
        <v/>
      </c>
      <c r="C39" s="623" t="str">
        <f>IF($B$39="","",$E$39*$F$39*$H$39)</f>
        <v/>
      </c>
      <c r="D39" s="623" t="str">
        <f>IF($B39="","",$C39*1000*MJ_to_kWh)</f>
        <v/>
      </c>
      <c r="E39" s="577" t="str">
        <f>IF($B39&lt;&gt;"",VLOOKUP($B39,MASTER_PROPERTY_TABLE,MATCH("H2A LHV (GJ/ H2A usage input unit)",key_MPTable,0),FALSE),"")</f>
        <v/>
      </c>
      <c r="F39" s="577" t="str">
        <f>IF('Cash Flow Analysis'!$H$133="","",'Cash Flow Analysis'!$H$133)</f>
        <v/>
      </c>
      <c r="G39" s="624" t="str">
        <f>IF($B$39&lt;&gt;"",VLOOKUP($B$39,MASTER_PROPERTY_TABLE,MATCH("H2A Usage Input Unit/ kg H2",key_MPTable,0),FALSE),"")</f>
        <v/>
      </c>
      <c r="H39" s="624" t="str">
        <f>IF($B$39="","",IF(VLOOKUP($B$39,MASTER_PROPERTY_TABLE,MATCH("Unit System",key_MPTable,0),FALSE)="English",mmBTU_to_GJ,1))</f>
        <v/>
      </c>
      <c r="I39" s="1005" t="str">
        <f>+'Cash Flow Analysis'!$H$233</f>
        <v/>
      </c>
    </row>
    <row r="40" spans="2:9" ht="13.8" thickBot="1" x14ac:dyDescent="0.3">
      <c r="B40" s="626" t="str">
        <f>IF('Cash Flow Analysis'!$I$131=0,"",'Cash Flow Analysis'!$I$131)</f>
        <v/>
      </c>
      <c r="C40" s="627" t="str">
        <f>IF($B$40="","",$E$40*$F$40*$H$40)</f>
        <v/>
      </c>
      <c r="D40" s="627" t="str">
        <f>IF($B40="","",$C40*1000*MJ_to_kWh)</f>
        <v/>
      </c>
      <c r="E40" s="628" t="str">
        <f>IF($B40&lt;&gt;"",VLOOKUP($B40,MASTER_PROPERTY_TABLE,MATCH("H2A LHV (GJ/ H2A usage input unit)",key_MPTable,0),FALSE),"")</f>
        <v/>
      </c>
      <c r="F40" s="628" t="str">
        <f>IF('Cash Flow Analysis'!$I$133="","",'Cash Flow Analysis'!$I$133)</f>
        <v/>
      </c>
      <c r="G40" s="629" t="str">
        <f>IF($B$40&lt;&gt;"",VLOOKUP($B$40,MASTER_PROPERTY_TABLE,MATCH("H2A Usage Input Unit/ kg H2",key_MPTable,0),FALSE),"")</f>
        <v/>
      </c>
      <c r="H40" s="629" t="str">
        <f>IF($B$40="","",IF(VLOOKUP($B$40,MASTER_PROPERTY_TABLE,MATCH("Unit System",key_MPTable,0),FALSE)="English",mmBTU_to_GJ,1))</f>
        <v/>
      </c>
      <c r="I40" s="1006" t="str">
        <f>+'Cash Flow Analysis'!$I$233</f>
        <v/>
      </c>
    </row>
    <row r="41" spans="2:9" ht="13.8" x14ac:dyDescent="0.25">
      <c r="B41" s="630" t="s">
        <v>397</v>
      </c>
      <c r="C41" s="631"/>
      <c r="D41" s="631"/>
      <c r="E41" s="537"/>
      <c r="F41" s="537"/>
      <c r="G41" s="538"/>
      <c r="H41" s="538"/>
      <c r="I41" s="539"/>
    </row>
    <row r="42" spans="2:9" ht="13.8" thickBot="1" x14ac:dyDescent="0.3">
      <c r="B42" s="526" t="str">
        <f>IF('Cash Flow Analysis'!$J$131=0,"",'Cash Flow Analysis'!$J$131)</f>
        <v/>
      </c>
      <c r="C42" s="595" t="str">
        <f>IF($B$42="","",$E$42*$F$42*$H$42)</f>
        <v/>
      </c>
      <c r="D42" s="595" t="str">
        <f>IF($B42="","",$C42*1000*MJ_to_kWh)</f>
        <v/>
      </c>
      <c r="E42" s="536" t="str">
        <f>IF($B42&lt;&gt;"",VLOOKUP($B42,MASTER_PROPERTY_TABLE,MATCH("H2A LHV (GJ/ H2A usage input unit)",key_MPTable,0),FALSE),"")</f>
        <v/>
      </c>
      <c r="F42" s="536">
        <f>CO2_CashFlow_eUse</f>
        <v>0</v>
      </c>
      <c r="G42" s="534" t="str">
        <f>IF($B$42&lt;&gt;"",VLOOKUP($B$42,MASTER_PROPERTY_TABLE,MATCH("H2A Usage Input Unit/ kg H2",key_MPTable,0),FALSE),"")</f>
        <v/>
      </c>
      <c r="H42" s="534" t="str">
        <f>IF($B42="","",IF(VLOOKUP($B42,MASTER_PROPERTY_TABLE,MATCH("Unit System",key_MPTable,0),FALSE)="English",mmBTU_to_GJ,1))</f>
        <v/>
      </c>
      <c r="I42" s="535"/>
    </row>
    <row r="43" spans="2:9" ht="42.6" thickTop="1" thickBot="1" x14ac:dyDescent="0.3">
      <c r="B43" s="614"/>
      <c r="C43" s="615" t="s">
        <v>911</v>
      </c>
      <c r="D43" s="616" t="s">
        <v>983</v>
      </c>
      <c r="E43" s="617" t="s">
        <v>697</v>
      </c>
      <c r="F43" s="615" t="s">
        <v>903</v>
      </c>
      <c r="G43" s="617" t="s">
        <v>904</v>
      </c>
      <c r="H43" s="617" t="s">
        <v>921</v>
      </c>
      <c r="I43" s="618"/>
    </row>
    <row r="44" spans="2:9" x14ac:dyDescent="0.25">
      <c r="B44" s="527" t="s">
        <v>912</v>
      </c>
      <c r="C44" s="595">
        <f>kgH2_to_GJ</f>
        <v>0.12021163829516093</v>
      </c>
      <c r="D44" s="595">
        <f>IF($B44="","",$C44*1000*MJ_to_kWh)</f>
        <v>33.392121748655818</v>
      </c>
      <c r="E44" s="536">
        <f>kgH2_to_GJ</f>
        <v>0.12021163829516093</v>
      </c>
      <c r="F44" s="536">
        <v>1</v>
      </c>
      <c r="G44" s="534" t="s">
        <v>267</v>
      </c>
      <c r="H44" s="534">
        <v>1</v>
      </c>
      <c r="I44" s="535"/>
    </row>
    <row r="45" spans="2:9" ht="13.8" thickBot="1" x14ac:dyDescent="0.3">
      <c r="B45" s="527"/>
      <c r="C45" s="596"/>
      <c r="D45" s="596"/>
      <c r="E45" s="536"/>
      <c r="F45" s="536"/>
      <c r="G45" s="534"/>
      <c r="H45" s="534"/>
      <c r="I45" s="535"/>
    </row>
    <row r="46" spans="2:9" ht="13.8" x14ac:dyDescent="0.25">
      <c r="B46" s="630" t="s">
        <v>907</v>
      </c>
      <c r="C46" s="631"/>
      <c r="D46" s="631"/>
      <c r="E46" s="537"/>
      <c r="F46" s="537"/>
      <c r="G46" s="538"/>
      <c r="H46" s="538"/>
      <c r="I46" s="539"/>
    </row>
    <row r="47" spans="2:9" x14ac:dyDescent="0.25">
      <c r="B47" s="573" t="str">
        <f>IF('Cash Flow Analysis'!$K$131=0,"",'Cash Flow Analysis'!$K$131)</f>
        <v/>
      </c>
      <c r="C47" s="623" t="str">
        <f>IF($B$47="","",$E$47*$F$47*$H$47)</f>
        <v/>
      </c>
      <c r="D47" s="623" t="str">
        <f>IF($B47="","",$C47*1000*MJ_to_kWh)</f>
        <v/>
      </c>
      <c r="E47" s="577" t="str">
        <f>IF($B47&lt;&gt;"",VLOOKUP($B47,MASTER_PROPERTY_TABLE,MATCH("H2A LHV (GJ/ H2A usage input unit)",key_MPTable,0),FALSE),"")</f>
        <v/>
      </c>
      <c r="F47" s="577" t="str">
        <f>IF('Cash Flow Analysis'!$K$133="","",'Cash Flow Analysis'!$K$133)</f>
        <v/>
      </c>
      <c r="G47" s="624" t="str">
        <f>IF($B$47&lt;&gt;"",VLOOKUP($B$47,MASTER_PROPERTY_TABLE,MATCH("H2A Usage Input Unit/ kg H2",key_MPTable,0),FALSE),"")</f>
        <v/>
      </c>
      <c r="H47" s="624" t="str">
        <f>IF($B$47="","",IF(VLOOKUP($B$47,MASTER_PROPERTY_TABLE,MATCH("Unit System",key_MPTable,0),FALSE)="English",mmBTU_to_GJ,1))</f>
        <v/>
      </c>
      <c r="I47" s="625" t="str">
        <f>+'Cash Flow Analysis'!$K$233</f>
        <v/>
      </c>
    </row>
    <row r="48" spans="2:9" x14ac:dyDescent="0.25">
      <c r="B48" s="573" t="str">
        <f>IF('Cash Flow Analysis'!$L$131=0,"",'Cash Flow Analysis'!$L$131)</f>
        <v/>
      </c>
      <c r="C48" s="623" t="str">
        <f>IF($B$48="","",$E$48*$F$48*$H$48)</f>
        <v/>
      </c>
      <c r="D48" s="623" t="str">
        <f>IF($B48="","",$C48*1000*MJ_to_kWh)</f>
        <v/>
      </c>
      <c r="E48" s="577" t="str">
        <f>IF($B48&lt;&gt;"",VLOOKUP($B48,MASTER_PROPERTY_TABLE,MATCH("H2A LHV (GJ/ H2A usage input unit)",key_MPTable,0),FALSE),"")</f>
        <v/>
      </c>
      <c r="F48" s="577" t="str">
        <f>IF('Cash Flow Analysis'!$L$133="","",'Cash Flow Analysis'!$L$133)</f>
        <v/>
      </c>
      <c r="G48" s="624" t="str">
        <f>IF($B$48&lt;&gt;"",VLOOKUP($B$48,MASTER_PROPERTY_TABLE,MATCH("H2A Usage Input Unit/ kg H2",key_MPTable,0),FALSE),"")</f>
        <v/>
      </c>
      <c r="H48" s="624" t="str">
        <f>IF($B$48="","",IF(VLOOKUP($B$48,MASTER_PROPERTY_TABLE,MATCH("Unit System",key_MPTable,0),FALSE)="English",mmBTU_to_GJ,1))</f>
        <v/>
      </c>
      <c r="I48" s="625" t="str">
        <f>+'Cash Flow Analysis'!$L$233</f>
        <v/>
      </c>
    </row>
    <row r="49" spans="2:9" x14ac:dyDescent="0.25">
      <c r="B49" s="573" t="str">
        <f>IF('Cash Flow Analysis'!$M$131=0,"",'Cash Flow Analysis'!$M$131)</f>
        <v/>
      </c>
      <c r="C49" s="623" t="str">
        <f>IF($B$49="","",$E$49*$F$49*$H$49)</f>
        <v/>
      </c>
      <c r="D49" s="623" t="str">
        <f>IF($B49="","",$C49*1000*MJ_to_kWh)</f>
        <v/>
      </c>
      <c r="E49" s="577" t="str">
        <f>IF($B49&lt;&gt;"",VLOOKUP($B49,MASTER_PROPERTY_TABLE,MATCH("H2A LHV (GJ/ H2A usage input unit)",key_MPTable,0),FALSE),"")</f>
        <v/>
      </c>
      <c r="F49" s="577" t="str">
        <f>IF('Cash Flow Analysis'!$M$133="","",'Cash Flow Analysis'!$M$133)</f>
        <v/>
      </c>
      <c r="G49" s="624" t="str">
        <f>IF($B$49&lt;&gt;"",VLOOKUP($B$49,MASTER_PROPERTY_TABLE,MATCH("H2A Usage Input Unit/ kg H2",key_MPTable,0),FALSE),"")</f>
        <v/>
      </c>
      <c r="H49" s="624" t="str">
        <f>IF($B$49="","",IF(VLOOKUP($B$49,MASTER_PROPERTY_TABLE,MATCH("Unit System",key_MPTable,0),FALSE)="English",mmBTU_to_GJ,1))</f>
        <v/>
      </c>
      <c r="I49" s="625" t="str">
        <f>+'Cash Flow Analysis'!$M$233</f>
        <v/>
      </c>
    </row>
    <row r="50" spans="2:9" ht="13.8" thickBot="1" x14ac:dyDescent="0.3">
      <c r="B50" s="574" t="str">
        <f>IF('Cash Flow Analysis'!$N$131=0,"",'Cash Flow Analysis'!$N$131)</f>
        <v/>
      </c>
      <c r="C50" s="632" t="str">
        <f>IF($B$50="","",$E$50*$F$50*$H$50)</f>
        <v/>
      </c>
      <c r="D50" s="632" t="str">
        <f>IF($B50="","",$C50*1000*MJ_to_kWh)</f>
        <v/>
      </c>
      <c r="E50" s="588" t="str">
        <f>IF($B50&lt;&gt;"",VLOOKUP($B50,MASTER_PROPERTY_TABLE,MATCH("H2A LHV (GJ/ H2A usage input unit)",key_MPTable,0),FALSE),"")</f>
        <v/>
      </c>
      <c r="F50" s="588" t="str">
        <f>IF('Cash Flow Analysis'!$N$133="","",'Cash Flow Analysis'!$N$133)</f>
        <v/>
      </c>
      <c r="G50" s="633" t="str">
        <f>IF($B$50&lt;&gt;"",VLOOKUP($B$50,MASTER_PROPERTY_TABLE,MATCH("H2A Usage Input Unit/ kg H2",key_MPTable,0),FALSE),"")</f>
        <v/>
      </c>
      <c r="H50" s="633" t="str">
        <f>IF($B$50="","",IF(VLOOKUP($B$50,MASTER_PROPERTY_TABLE,MATCH("Unit System",key_MPTable,0),FALSE)="English",mmBTU_to_GJ,1))</f>
        <v/>
      </c>
      <c r="I50" s="634" t="str">
        <f>+'Cash Flow Analysis'!$N$233</f>
        <v/>
      </c>
    </row>
    <row r="51" spans="2:9" ht="14.4" thickTop="1" thickBot="1" x14ac:dyDescent="0.3"/>
    <row r="52" spans="2:9" ht="16.2" thickBot="1" x14ac:dyDescent="0.35">
      <c r="B52" s="1634" t="s">
        <v>391</v>
      </c>
      <c r="C52" s="1635"/>
      <c r="D52" s="306">
        <f ca="1">(C56+C57)/(C53+C54+C55)</f>
        <v>0.74212453768619069</v>
      </c>
      <c r="F52" s="28"/>
    </row>
    <row r="53" spans="2:9" ht="26.4" x14ac:dyDescent="0.25">
      <c r="B53" s="484" t="s">
        <v>586</v>
      </c>
      <c r="C53" s="485">
        <f ca="1">SUM(C32:C35)</f>
        <v>0.16198310686499998</v>
      </c>
      <c r="D53" s="486"/>
    </row>
    <row r="54" spans="2:9" x14ac:dyDescent="0.25">
      <c r="B54" s="487" t="s">
        <v>587</v>
      </c>
      <c r="C54" s="488">
        <f>SUM(C37:C40)</f>
        <v>0</v>
      </c>
      <c r="D54" s="489"/>
    </row>
    <row r="55" spans="2:9" ht="26.4" x14ac:dyDescent="0.25">
      <c r="B55" s="487" t="s">
        <v>392</v>
      </c>
      <c r="C55" s="488">
        <f>IF(C42="",0,C42)</f>
        <v>0</v>
      </c>
      <c r="D55" s="489"/>
    </row>
    <row r="56" spans="2:9" x14ac:dyDescent="0.25">
      <c r="B56" s="487" t="s">
        <v>588</v>
      </c>
      <c r="C56" s="488">
        <f>C44</f>
        <v>0.12021163829516093</v>
      </c>
      <c r="D56" s="489"/>
    </row>
    <row r="57" spans="2:9" ht="27" thickBot="1" x14ac:dyDescent="0.3">
      <c r="B57" s="490" t="s">
        <v>589</v>
      </c>
      <c r="C57" s="491">
        <f>SUM(C47:C50)</f>
        <v>0</v>
      </c>
      <c r="D57" s="492"/>
    </row>
    <row r="58" spans="2:9" ht="13.8" thickBot="1" x14ac:dyDescent="0.3"/>
    <row r="59" spans="2:9" ht="16.8" thickTop="1" thickBot="1" x14ac:dyDescent="0.35">
      <c r="B59" s="1632" t="s">
        <v>393</v>
      </c>
      <c r="C59" s="1633"/>
      <c r="D59" s="524"/>
      <c r="E59" s="543"/>
    </row>
    <row r="60" spans="2:9" x14ac:dyDescent="0.25">
      <c r="B60" s="527" t="s">
        <v>247</v>
      </c>
      <c r="C60" s="493" t="s">
        <v>394</v>
      </c>
      <c r="D60" s="493" t="s">
        <v>395</v>
      </c>
      <c r="E60" s="544" t="s">
        <v>396</v>
      </c>
    </row>
    <row r="61" spans="2:9" x14ac:dyDescent="0.25">
      <c r="B61" s="526" t="str">
        <f>B32</f>
        <v>Industrial Natural Gas</v>
      </c>
      <c r="C61" s="591">
        <f ca="1">IF($B61="","",$C32/1000000*VLOOKUP($B61,Tbl_Emissions,3,FALSE))</f>
        <v>0.16796959109657997</v>
      </c>
      <c r="D61" s="591">
        <f ca="1">IF($B61="","",$C32/1000000*VLOOKUP($B61,Tbl_Emissions,4,FALSE))</f>
        <v>0.16796959109657997</v>
      </c>
      <c r="E61" s="592">
        <f ca="1">IF($B61="","",$C32/1000000*VLOOKUP($B61,Tbl_Emissions,5,FALSE))</f>
        <v>6.1096631486777997E-4</v>
      </c>
    </row>
    <row r="62" spans="2:9" x14ac:dyDescent="0.25">
      <c r="B62" s="526" t="str">
        <f>B33</f>
        <v>Commercial Electricity</v>
      </c>
      <c r="C62" s="591">
        <f ca="1">IF($B62="","",$C33/1000000*VLOOKUP($B62,Tbl_Emissions,3,FALSE))</f>
        <v>1.4074482239999997E-2</v>
      </c>
      <c r="D62" s="591">
        <f ca="1">IF($B62="","",$C33/1000000*VLOOKUP($B62,Tbl_Emissions,4,FALSE))</f>
        <v>1.0568517119999997E-2</v>
      </c>
      <c r="E62" s="592">
        <f ca="1">IF($B62="","",$C33/1000000*VLOOKUP($B62,Tbl_Emissions,5,FALSE))</f>
        <v>1.2745252799999996E-4</v>
      </c>
    </row>
    <row r="63" spans="2:9" x14ac:dyDescent="0.25">
      <c r="B63" s="526" t="str">
        <f>B34</f>
        <v/>
      </c>
      <c r="C63" s="591" t="str">
        <f>IF($B63="","",$C34/1000000*VLOOKUP($B63,Tbl_Emissions,3,FALSE))</f>
        <v/>
      </c>
      <c r="D63" s="591" t="str">
        <f>IF($B63="","",$C34/1000000*VLOOKUP($B63,Tbl_Emissions,4,FALSE))</f>
        <v/>
      </c>
      <c r="E63" s="592" t="str">
        <f>IF($B63="","",$C34/1000000*VLOOKUP($B63,Tbl_Emissions,5,FALSE))</f>
        <v/>
      </c>
    </row>
    <row r="64" spans="2:9" x14ac:dyDescent="0.25">
      <c r="B64" s="526" t="str">
        <f>B35</f>
        <v/>
      </c>
      <c r="C64" s="591" t="str">
        <f>IF($B64="","",$C35/1000000*VLOOKUP($B64,Tbl_Emissions,3,FALSE))</f>
        <v/>
      </c>
      <c r="D64" s="591" t="str">
        <f>IF($B64="","",$C35/1000000*VLOOKUP($B64,Tbl_Emissions,4,FALSE))</f>
        <v/>
      </c>
      <c r="E64" s="592" t="str">
        <f>IF($B64="","",$C35/1000000*VLOOKUP($B64,Tbl_Emissions,5,FALSE))</f>
        <v/>
      </c>
    </row>
    <row r="65" spans="2:7" x14ac:dyDescent="0.25">
      <c r="B65" s="527" t="s">
        <v>270</v>
      </c>
      <c r="C65" s="635"/>
      <c r="D65" s="635"/>
      <c r="E65" s="636"/>
    </row>
    <row r="66" spans="2:7" x14ac:dyDescent="0.25">
      <c r="B66" s="526" t="str">
        <f>B37</f>
        <v/>
      </c>
      <c r="C66" s="591" t="str">
        <f>IF($B66="","",$C37/1000000*VLOOKUP($B66,Tbl_Emissions,3,FALSE))</f>
        <v/>
      </c>
      <c r="D66" s="591" t="str">
        <f>IF($B66="","",$C37/1000000*VLOOKUP($B66,Tbl_Emissions,4,FALSE))</f>
        <v/>
      </c>
      <c r="E66" s="592" t="str">
        <f>IF($B66="","",$C37/1000000*VLOOKUP($B66,Tbl_Emissions,5,FALSE))</f>
        <v/>
      </c>
    </row>
    <row r="67" spans="2:7" x14ac:dyDescent="0.25">
      <c r="B67" s="526" t="str">
        <f>B38</f>
        <v/>
      </c>
      <c r="C67" s="591" t="str">
        <f>IF($B67="","",$C38/1000000*VLOOKUP($B67,Tbl_Emissions,3,FALSE))</f>
        <v/>
      </c>
      <c r="D67" s="591" t="str">
        <f>IF($B67="","",$C38/1000000*VLOOKUP($B67,Tbl_Emissions,4,FALSE))</f>
        <v/>
      </c>
      <c r="E67" s="592" t="str">
        <f>IF($B67="","",$C38/1000000*VLOOKUP($B67,Tbl_Emissions,5,FALSE))</f>
        <v/>
      </c>
    </row>
    <row r="68" spans="2:7" x14ac:dyDescent="0.25">
      <c r="B68" s="526" t="str">
        <f>B39</f>
        <v/>
      </c>
      <c r="C68" s="591" t="str">
        <f>IF($B68="","",$C39/1000000*VLOOKUP($B68,Tbl_Emissions,3,FALSE))</f>
        <v/>
      </c>
      <c r="D68" s="591" t="str">
        <f>IF($B68="","",$C39/1000000*VLOOKUP($B68,Tbl_Emissions,4,FALSE))</f>
        <v/>
      </c>
      <c r="E68" s="592" t="str">
        <f>IF($B68="","",$C39/1000000*VLOOKUP($B68,Tbl_Emissions,5,FALSE))</f>
        <v/>
      </c>
    </row>
    <row r="69" spans="2:7" x14ac:dyDescent="0.25">
      <c r="B69" s="526" t="str">
        <f>B40</f>
        <v/>
      </c>
      <c r="C69" s="591" t="str">
        <f>IF($B69="","",$C40/1000000*VLOOKUP($B69,Tbl_Emissions,3,FALSE))</f>
        <v/>
      </c>
      <c r="D69" s="591" t="str">
        <f>IF($B69="","",$C40/1000000*VLOOKUP($B69,Tbl_Emissions,4,FALSE))</f>
        <v/>
      </c>
      <c r="E69" s="592" t="str">
        <f>IF($B69="","",$C40/1000000*VLOOKUP($B69,Tbl_Emissions,5,FALSE))</f>
        <v/>
      </c>
    </row>
    <row r="70" spans="2:7" x14ac:dyDescent="0.25">
      <c r="B70" s="637" t="s">
        <v>397</v>
      </c>
      <c r="C70" s="635"/>
      <c r="D70" s="635"/>
      <c r="E70" s="636"/>
    </row>
    <row r="71" spans="2:7" ht="13.8" thickBot="1" x14ac:dyDescent="0.3">
      <c r="B71" s="528" t="str">
        <f>B42</f>
        <v/>
      </c>
      <c r="C71" s="593" t="str">
        <f>IF($B71="","",$C42/1000000*VLOOKUP($B71,Tbl_Emissions,3,FALSE))</f>
        <v/>
      </c>
      <c r="D71" s="593" t="str">
        <f>IF($B71="","",$C42/1000000*VLOOKUP($B71,Tbl_Emissions,4,FALSE))</f>
        <v/>
      </c>
      <c r="E71" s="594" t="str">
        <f>IF($B71="","",$C42/1000000*VLOOKUP($B71,Tbl_Emissions,5,FALSE))</f>
        <v/>
      </c>
    </row>
    <row r="72" spans="2:7" ht="13.8" thickTop="1" x14ac:dyDescent="0.25"/>
    <row r="74" spans="2:7" ht="21" x14ac:dyDescent="0.5">
      <c r="B74" s="310" t="s">
        <v>398</v>
      </c>
    </row>
    <row r="75" spans="2:7" ht="13.8" thickBot="1" x14ac:dyDescent="0.3"/>
    <row r="76" spans="2:7" ht="16.8" thickTop="1" thickBot="1" x14ac:dyDescent="0.35">
      <c r="B76" s="597" t="s">
        <v>399</v>
      </c>
      <c r="C76" s="598"/>
      <c r="D76" s="599" t="s">
        <v>400</v>
      </c>
      <c r="E76" s="600" t="s">
        <v>401</v>
      </c>
      <c r="F76" s="600" t="s">
        <v>402</v>
      </c>
      <c r="G76" s="601" t="s">
        <v>403</v>
      </c>
    </row>
    <row r="77" spans="2:7" x14ac:dyDescent="0.25">
      <c r="B77" s="1638" t="s">
        <v>529</v>
      </c>
      <c r="C77" s="1639"/>
      <c r="D77" s="603">
        <f ca="1">C121</f>
        <v>1.9138664897860425</v>
      </c>
      <c r="E77" s="607">
        <f ca="1">D121</f>
        <v>3.0067027326510027E-2</v>
      </c>
      <c r="F77" s="607">
        <f ca="1">E121</f>
        <v>1.4718787407903955E-4</v>
      </c>
      <c r="G77" s="608">
        <f ca="1">F121</f>
        <v>2.7094041594243468</v>
      </c>
    </row>
    <row r="78" spans="2:7" x14ac:dyDescent="0.25">
      <c r="B78" s="1636" t="s">
        <v>528</v>
      </c>
      <c r="C78" s="1637"/>
      <c r="D78" s="604">
        <f ca="1">D89</f>
        <v>8.6623300401302146</v>
      </c>
      <c r="E78" s="609">
        <f ca="1">E89</f>
        <v>0</v>
      </c>
      <c r="F78" s="609">
        <f ca="1">F89</f>
        <v>0</v>
      </c>
      <c r="G78" s="610">
        <f ca="1">G89</f>
        <v>8.6623300401302146</v>
      </c>
    </row>
    <row r="79" spans="2:7" x14ac:dyDescent="0.25">
      <c r="B79" s="1636"/>
      <c r="C79" s="1637"/>
      <c r="D79" s="605"/>
      <c r="E79" s="455"/>
      <c r="F79" s="455"/>
      <c r="G79" s="611"/>
    </row>
    <row r="80" spans="2:7" ht="13.8" thickBot="1" x14ac:dyDescent="0.3">
      <c r="B80" s="1640" t="s">
        <v>530</v>
      </c>
      <c r="C80" s="1641"/>
      <c r="D80" s="606">
        <f ca="1">SUM(D77:D79)</f>
        <v>10.576196529916256</v>
      </c>
      <c r="E80" s="612">
        <f ca="1">SUM(E77:E79)</f>
        <v>3.0067027326510027E-2</v>
      </c>
      <c r="F80" s="612">
        <f ca="1">SUM(F77:F79)</f>
        <v>1.4718787407903955E-4</v>
      </c>
      <c r="G80" s="613">
        <f ca="1">SUM(G77:G79)</f>
        <v>11.371734199554561</v>
      </c>
    </row>
    <row r="81" spans="2:7" ht="14.4" thickTop="1" thickBot="1" x14ac:dyDescent="0.3"/>
    <row r="82" spans="2:7" ht="16.8" thickTop="1" thickBot="1" x14ac:dyDescent="0.35">
      <c r="B82" s="408" t="s">
        <v>525</v>
      </c>
      <c r="C82" s="409"/>
      <c r="D82" s="561" t="s">
        <v>400</v>
      </c>
      <c r="E82" s="562" t="s">
        <v>401</v>
      </c>
      <c r="F82" s="562" t="s">
        <v>402</v>
      </c>
      <c r="G82" s="563" t="s">
        <v>403</v>
      </c>
    </row>
    <row r="83" spans="2:7" x14ac:dyDescent="0.25">
      <c r="B83" s="1638" t="s">
        <v>234</v>
      </c>
      <c r="C83" s="1639"/>
      <c r="D83" s="564">
        <f ca="1">SUM(C95:C105)</f>
        <v>8.6623300401302146</v>
      </c>
      <c r="E83" s="564">
        <f ca="1">SUM(D95:D105)</f>
        <v>0</v>
      </c>
      <c r="F83" s="564">
        <f ca="1">SUM(E95:E105)</f>
        <v>0</v>
      </c>
      <c r="G83" s="565">
        <f ca="1">SUM(F95:F105)</f>
        <v>8.6623300401302146</v>
      </c>
    </row>
    <row r="84" spans="2:7" x14ac:dyDescent="0.25">
      <c r="B84" s="1636" t="s">
        <v>235</v>
      </c>
      <c r="C84" s="1637"/>
      <c r="D84" s="566">
        <f ca="1">ROUND(D83*output_kgyear/1000,-2)</f>
        <v>4100</v>
      </c>
      <c r="E84" s="566">
        <f ca="1">ROUND(E83*output_kgyear/1000,-2)</f>
        <v>0</v>
      </c>
      <c r="F84" s="566">
        <f ca="1">ROUND(F83*output_kgyear/1000,-2)</f>
        <v>0</v>
      </c>
      <c r="G84" s="567">
        <f ca="1">ROUND(G83*output_kgyear/1000,-2)</f>
        <v>4100</v>
      </c>
    </row>
    <row r="85" spans="2:7" x14ac:dyDescent="0.25">
      <c r="B85" s="1636" t="s">
        <v>236</v>
      </c>
      <c r="C85" s="1637"/>
      <c r="D85" s="568">
        <f ca="1">SUM(C95:C98)</f>
        <v>8.6623300401302146</v>
      </c>
      <c r="E85" s="568">
        <f ca="1">SUM(D95:D98)</f>
        <v>0</v>
      </c>
      <c r="F85" s="568">
        <f ca="1">SUM(E95:E98)</f>
        <v>0</v>
      </c>
      <c r="G85" s="569">
        <f ca="1">SUM(F95:F98)</f>
        <v>8.6623300401302146</v>
      </c>
    </row>
    <row r="86" spans="2:7" x14ac:dyDescent="0.25">
      <c r="B86" s="1636" t="s">
        <v>237</v>
      </c>
      <c r="C86" s="1637"/>
      <c r="D86" s="566">
        <f ca="1">ROUND(D85*output_kgyear/1000,-2)</f>
        <v>4100</v>
      </c>
      <c r="E86" s="566">
        <f ca="1">ROUND(E85*output_kgyear/1000,-2)</f>
        <v>0</v>
      </c>
      <c r="F86" s="566">
        <f ca="1">ROUND(F85*output_kgyear/1000,-2)</f>
        <v>0</v>
      </c>
      <c r="G86" s="567">
        <f ca="1">ROUND(G85*output_kgyear/1000,-2)</f>
        <v>4100</v>
      </c>
    </row>
    <row r="87" spans="2:7" x14ac:dyDescent="0.25">
      <c r="B87" s="676" t="s">
        <v>239</v>
      </c>
      <c r="C87" s="677"/>
      <c r="D87" s="696">
        <f>IF(CO2_CashFlow_eUse&gt;0,D85*CO2_Capture_Efficiency,0)</f>
        <v>0</v>
      </c>
      <c r="E87" s="566"/>
      <c r="F87" s="566"/>
      <c r="G87" s="697"/>
    </row>
    <row r="88" spans="2:7" x14ac:dyDescent="0.25">
      <c r="B88" s="1636" t="s">
        <v>240</v>
      </c>
      <c r="C88" s="1637"/>
      <c r="D88" s="566">
        <f ca="1">ROUND(D87*output_kgyear/1000,-2)</f>
        <v>0</v>
      </c>
      <c r="E88" s="566"/>
      <c r="F88" s="566"/>
      <c r="G88" s="567"/>
    </row>
    <row r="89" spans="2:7" x14ac:dyDescent="0.25">
      <c r="B89" s="1636" t="s">
        <v>238</v>
      </c>
      <c r="C89" s="1637"/>
      <c r="D89" s="696">
        <f ca="1">D83-D87</f>
        <v>8.6623300401302146</v>
      </c>
      <c r="E89" s="566">
        <f ca="1">E83-E87</f>
        <v>0</v>
      </c>
      <c r="F89" s="566">
        <f ca="1">F83-F87</f>
        <v>0</v>
      </c>
      <c r="G89" s="697">
        <f ca="1">D89*GHG_CO2_factor + E89*GHG_CH4_factor + F89*GHG_N2O_factor</f>
        <v>8.6623300401302146</v>
      </c>
    </row>
    <row r="90" spans="2:7" ht="13.8" thickBot="1" x14ac:dyDescent="0.3">
      <c r="B90" s="1640" t="s">
        <v>1041</v>
      </c>
      <c r="C90" s="1641"/>
      <c r="D90" s="570">
        <f ca="1">ROUND(D89*output_kgyear/1000,-2)</f>
        <v>4100</v>
      </c>
      <c r="E90" s="570">
        <f ca="1">ROUND(E89*output_kgyear/1000,-2)</f>
        <v>0</v>
      </c>
      <c r="F90" s="570">
        <f ca="1">ROUND(F89*output_kgyear/1000,-2)</f>
        <v>0</v>
      </c>
      <c r="G90" s="571">
        <f ca="1">ROUND(G89*output_kgyear/1000,-2)</f>
        <v>4100</v>
      </c>
    </row>
    <row r="91" spans="2:7" ht="13.8" thickTop="1" x14ac:dyDescent="0.25">
      <c r="B91" t="s">
        <v>241</v>
      </c>
    </row>
    <row r="92" spans="2:7" ht="13.8" thickBot="1" x14ac:dyDescent="0.3"/>
    <row r="93" spans="2:7" ht="16.8" thickTop="1" thickBot="1" x14ac:dyDescent="0.35">
      <c r="B93" s="1632" t="s">
        <v>526</v>
      </c>
      <c r="C93" s="1633"/>
      <c r="D93" s="524"/>
      <c r="E93" s="524"/>
      <c r="F93" s="543"/>
    </row>
    <row r="94" spans="2:7" x14ac:dyDescent="0.25">
      <c r="B94" s="572" t="s">
        <v>247</v>
      </c>
      <c r="C94" s="575" t="s">
        <v>400</v>
      </c>
      <c r="D94" s="575" t="s">
        <v>401</v>
      </c>
      <c r="E94" s="575" t="s">
        <v>402</v>
      </c>
      <c r="F94" s="576" t="s">
        <v>403</v>
      </c>
    </row>
    <row r="95" spans="2:7" x14ac:dyDescent="0.25">
      <c r="B95" s="573" t="str">
        <f>B32</f>
        <v>Industrial Natural Gas</v>
      </c>
      <c r="C95" s="577">
        <f ca="1">IF($B95="","",VLOOKUP($B95,MASTER_PROPERTY_TABLE,MATCH("CO2 Emissions Factor (kg CO2 produced/GJ feed)",key_MPTable,0),FALSE)*$E32*$F32)</f>
        <v>8.6623300401302146</v>
      </c>
      <c r="D95" s="582">
        <f ca="1">IF($B95="","",VLOOKUP($B95,MASTER_PROPERTY_TABLE,MATCH("CH4 Emissions Factor (kg CH4 produced/GJ or mmBtu feed)",key_MPTable,0),FALSE)*$E32*$F32)</f>
        <v>0</v>
      </c>
      <c r="E95" s="582">
        <f ca="1">IF($B95="","",VLOOKUP($B95,MASTER_PROPERTY_TABLE,MATCH("N2O Emissions Factor (kg N2O produced/GJ or mmBtu feed)",key_MPTable,0),FALSE)*$E32*$F32)</f>
        <v>0</v>
      </c>
      <c r="F95" s="585">
        <f ca="1">IF($B95="","",$C95*GHG_CO2_factor+$D95*GHG_CH4_factor+$E95*GHG_N2O_factor)</f>
        <v>8.6623300401302146</v>
      </c>
    </row>
    <row r="96" spans="2:7" x14ac:dyDescent="0.25">
      <c r="B96" s="573" t="str">
        <f>B33</f>
        <v>Commercial Electricity</v>
      </c>
      <c r="C96" s="577">
        <f ca="1">IF($B96="","",VLOOKUP($B96,MASTER_PROPERTY_TABLE,MATCH("CO2 Emissions Factor (kg CO2 produced/GJ feed)",key_MPTable,0),FALSE)*$E33*$F33)</f>
        <v>0</v>
      </c>
      <c r="D96" s="582">
        <f ca="1">IF($B96="","",VLOOKUP($B96,MASTER_PROPERTY_TABLE,MATCH("CH4 Emissions Factor (kg CH4 produced/GJ or mmBtu feed)",key_MPTable,0),FALSE)*$E33*$F33)</f>
        <v>0</v>
      </c>
      <c r="E96" s="582">
        <f ca="1">IF($B96="","",VLOOKUP($B96,MASTER_PROPERTY_TABLE,MATCH("N2O Emissions Factor (kg N2O produced/GJ or mmBtu feed)",key_MPTable,0),FALSE)*$E33*$F33)</f>
        <v>0</v>
      </c>
      <c r="F96" s="585">
        <f ca="1">IF($B96="","",$C96*GHG_CO2_factor+$D96*GHG_CH4_factor+$E96*GHG_N2O_factor)</f>
        <v>0</v>
      </c>
    </row>
    <row r="97" spans="2:6" x14ac:dyDescent="0.25">
      <c r="B97" s="573" t="str">
        <f>B34</f>
        <v/>
      </c>
      <c r="C97" s="577" t="str">
        <f>IF($B97="","",VLOOKUP($B97,MASTER_PROPERTY_TABLE,MATCH("CO2 Emissions Factor (kg CO2 produced/GJ feed)",key_MPTable,0),FALSE)*$E34*$F34)</f>
        <v/>
      </c>
      <c r="D97" s="582" t="str">
        <f>IF($B97="","",VLOOKUP($B97,MASTER_PROPERTY_TABLE,MATCH("CH4 Emissions Factor (kg CH4 produced/GJ or mmBtu feed)",key_MPTable,0),FALSE)*$E34*$F34)</f>
        <v/>
      </c>
      <c r="E97" s="582" t="str">
        <f>IF($B97="","",VLOOKUP($B97,MASTER_PROPERTY_TABLE,MATCH("N2O Emissions Factor (kg N2O produced/GJ or mmBtu feed)",key_MPTable,0),FALSE)*$E34*$F34)</f>
        <v/>
      </c>
      <c r="F97" s="585" t="str">
        <f>IF($B97="","",$C97*GHG_CO2_factor+$D97*GHG_CH4_factor+$E97*GHG_N2O_factor)</f>
        <v/>
      </c>
    </row>
    <row r="98" spans="2:6" x14ac:dyDescent="0.25">
      <c r="B98" s="573" t="str">
        <f>B35</f>
        <v/>
      </c>
      <c r="C98" s="577" t="str">
        <f>IF($B98="","",VLOOKUP($B98,MASTER_PROPERTY_TABLE,MATCH("CO2 Emissions Factor (kg CO2 produced/GJ feed)",key_MPTable,0),FALSE)*$E35*$F35)</f>
        <v/>
      </c>
      <c r="D98" s="582" t="str">
        <f>IF($B98="","",VLOOKUP($B98,MASTER_PROPERTY_TABLE,MATCH("CH4 Emissions Factor (kg CH4 produced/GJ or mmBtu feed)",key_MPTable,0),FALSE)*$E35*$F35)</f>
        <v/>
      </c>
      <c r="E98" s="582" t="str">
        <f>IF($B98="","",VLOOKUP($B98,MASTER_PROPERTY_TABLE,MATCH("N2O Emissions Factor (kg N2O produced/GJ or mmBtu feed)",key_MPTable,0),FALSE)*$E35*$F35)</f>
        <v/>
      </c>
      <c r="F98" s="585" t="str">
        <f>IF($B98="","",$C98*GHG_CO2_factor+$D98*GHG_CH4_factor+$E98*GHG_N2O_factor)</f>
        <v/>
      </c>
    </row>
    <row r="99" spans="2:6" x14ac:dyDescent="0.25">
      <c r="B99" s="638" t="s">
        <v>270</v>
      </c>
      <c r="C99" s="639"/>
      <c r="D99" s="640"/>
      <c r="E99" s="640"/>
      <c r="F99" s="641"/>
    </row>
    <row r="100" spans="2:6" x14ac:dyDescent="0.25">
      <c r="B100" s="573" t="str">
        <f>B37</f>
        <v/>
      </c>
      <c r="C100" s="577" t="str">
        <f>IF($B100="","",VLOOKUP($B100,MASTER_PROPERTY_TABLE,MATCH("CO2 Emissions Factor (kg CO2 produced/GJ feed)",key_MPTable,0),FALSE)*$E37*$F37)</f>
        <v/>
      </c>
      <c r="D100" s="582" t="str">
        <f>IF($B100="","",VLOOKUP($B100,MASTER_PROPERTY_TABLE,MATCH("CH4 Emissions Factor (kg CH4 produced/GJ or mmBtu feed)",key_MPTable,0),FALSE)*$E37*$F37)</f>
        <v/>
      </c>
      <c r="E100" s="582" t="str">
        <f>IF($B100="","",VLOOKUP($B100,MASTER_PROPERTY_TABLE,MATCH("N2O Emissions Factor (kg N2O produced/GJ or mmBtu feed)",key_MPTable,0),FALSE)*$E37*$F37)</f>
        <v/>
      </c>
      <c r="F100" s="585" t="str">
        <f>IF($B100="","",$C100*GHG_CO2_factor+$D100*GHG_CH4_factor+$E100*GHG_N2O_factor)</f>
        <v/>
      </c>
    </row>
    <row r="101" spans="2:6" x14ac:dyDescent="0.25">
      <c r="B101" s="573" t="str">
        <f>B38</f>
        <v/>
      </c>
      <c r="C101" s="577" t="str">
        <f>IF($B101="","",VLOOKUP($B101,MASTER_PROPERTY_TABLE,MATCH("CO2 Emissions Factor (kg CO2 produced/GJ feed)",key_MPTable,0),FALSE)*$E38*$F38)</f>
        <v/>
      </c>
      <c r="D101" s="582" t="str">
        <f>IF($B101="","",VLOOKUP($B101,MASTER_PROPERTY_TABLE,MATCH("CH4 Emissions Factor (kg CH4 produced/GJ or mmBtu feed)",key_MPTable,0),FALSE)*$E38*$F38)</f>
        <v/>
      </c>
      <c r="E101" s="582" t="str">
        <f>IF($B101="","",VLOOKUP($B101,MASTER_PROPERTY_TABLE,MATCH("N2O Emissions Factor (kg N2O produced/GJ or mmBtu feed)",key_MPTable,0),FALSE)*$E38*$F38)</f>
        <v/>
      </c>
      <c r="F101" s="585" t="str">
        <f>IF($B101="","",$C101*GHG_CO2_factor+$D101*GHG_CH4_factor+$E101*GHG_N2O_factor)</f>
        <v/>
      </c>
    </row>
    <row r="102" spans="2:6" x14ac:dyDescent="0.25">
      <c r="B102" s="573" t="str">
        <f>B39</f>
        <v/>
      </c>
      <c r="C102" s="577" t="str">
        <f>IF($B102="","",VLOOKUP($B102,MASTER_PROPERTY_TABLE,MATCH("CO2 Emissions Factor (kg CO2 produced/GJ feed)",key_MPTable,0),FALSE)*$E39*$F39)</f>
        <v/>
      </c>
      <c r="D102" s="582" t="str">
        <f>IF($B102="","",VLOOKUP($B102,MASTER_PROPERTY_TABLE,MATCH("CH4 Emissions Factor (kg CH4 produced/GJ or mmBtu feed)",key_MPTable,0),FALSE)*$E39*$F39)</f>
        <v/>
      </c>
      <c r="E102" s="582" t="str">
        <f>IF($B102="","",VLOOKUP($B102,MASTER_PROPERTY_TABLE,MATCH("N2O Emissions Factor (kg N2O produced/GJ or mmBtu feed)",key_MPTable,0),FALSE)*$E39*$F39)</f>
        <v/>
      </c>
      <c r="F102" s="585" t="str">
        <f>IF($B102="","",$C102*GHG_CO2_factor+$D102*GHG_CH4_factor+$E102*GHG_N2O_factor)</f>
        <v/>
      </c>
    </row>
    <row r="103" spans="2:6" x14ac:dyDescent="0.25">
      <c r="B103" s="573" t="str">
        <f>B40</f>
        <v/>
      </c>
      <c r="C103" s="577" t="str">
        <f>IF($B103="","",VLOOKUP($B103,MASTER_PROPERTY_TABLE,MATCH("CO2 Emissions Factor (kg CO2 produced/GJ feed)",key_MPTable,0),FALSE)*$E40*$F40)</f>
        <v/>
      </c>
      <c r="D103" s="582" t="str">
        <f>IF($B103="","",VLOOKUP($B103,MASTER_PROPERTY_TABLE,MATCH("CH4 Emissions Factor (kg CH4 produced/GJ or mmBtu feed)",key_MPTable,0),FALSE)*$E40*$F40)</f>
        <v/>
      </c>
      <c r="E103" s="582" t="str">
        <f>IF($B103="","",VLOOKUP($B103,MASTER_PROPERTY_TABLE,MATCH("N2O Emissions Factor (kg N2O produced/GJ or mmBtu feed)",key_MPTable,0),FALSE)*$E40*$F40)</f>
        <v/>
      </c>
      <c r="F103" s="585" t="str">
        <f>IF($B103="","",$C103*GHG_CO2_factor+$D103*GHG_CH4_factor+$E103*GHG_N2O_factor)</f>
        <v/>
      </c>
    </row>
    <row r="104" spans="2:6" x14ac:dyDescent="0.25">
      <c r="B104" s="638" t="s">
        <v>397</v>
      </c>
      <c r="C104" s="639"/>
      <c r="D104" s="640"/>
      <c r="E104" s="640"/>
      <c r="F104" s="641"/>
    </row>
    <row r="105" spans="2:6" ht="13.8" thickBot="1" x14ac:dyDescent="0.3">
      <c r="B105" s="574" t="str">
        <f>B42</f>
        <v/>
      </c>
      <c r="C105" s="588" t="str">
        <f>IF($B105="","",VLOOKUP($B105,MASTER_PROPERTY_TABLE,MATCH("CO2 Emissions Factor (kg CO2 produced/GJ feed)",key_MPTable,0),FALSE)*$E42*$F42)</f>
        <v/>
      </c>
      <c r="D105" s="589" t="str">
        <f>IF($B105="","",VLOOKUP($B105,MASTER_PROPERTY_TABLE,MATCH("CH4 Emissions Factor (kg CH4 produced/GJ or mmBtu feed)",key_MPTable,0),FALSE)*$E42*$F42)</f>
        <v/>
      </c>
      <c r="E105" s="589" t="str">
        <f>IF($B105="","",VLOOKUP($B105,MASTER_PROPERTY_TABLE,MATCH("N2O Emissions Factor (kg N2O produced/GJ or mmBtu feed)",key_MPTable,0),FALSE)*$E42*$F42)</f>
        <v/>
      </c>
      <c r="F105" s="590" t="str">
        <f>IF($B105="","",$C105*GHG_CO2_factor+$D105*GHG_CH4_factor+$E105*GHG_N2O_factor)</f>
        <v/>
      </c>
    </row>
    <row r="106" spans="2:6" ht="13.8" thickTop="1" x14ac:dyDescent="0.25"/>
    <row r="107" spans="2:6" ht="13.8" thickBot="1" x14ac:dyDescent="0.3"/>
    <row r="108" spans="2:6" ht="16.8" thickTop="1" thickBot="1" x14ac:dyDescent="0.35">
      <c r="B108" s="1632" t="s">
        <v>1248</v>
      </c>
      <c r="C108" s="1633"/>
      <c r="D108" s="524"/>
      <c r="E108" s="524"/>
      <c r="F108" s="543"/>
    </row>
    <row r="109" spans="2:6" x14ac:dyDescent="0.25">
      <c r="B109" s="572" t="s">
        <v>247</v>
      </c>
      <c r="C109" s="575" t="s">
        <v>400</v>
      </c>
      <c r="D109" s="575" t="s">
        <v>401</v>
      </c>
      <c r="E109" s="575" t="s">
        <v>402</v>
      </c>
      <c r="F109" s="576" t="s">
        <v>403</v>
      </c>
    </row>
    <row r="110" spans="2:6" x14ac:dyDescent="0.25">
      <c r="B110" s="573" t="str">
        <f>B32</f>
        <v>Industrial Natural Gas</v>
      </c>
      <c r="C110" s="577">
        <f ca="1">IF($B110="","",$C32*VLOOKUP($B110,Tbl_Emissions,6,FALSE))</f>
        <v>0.88302783058604273</v>
      </c>
      <c r="D110" s="582">
        <f ca="1">IF($B110="","",$C32*VLOOKUP($B110,Tbl_Emissions,7,FALSE))</f>
        <v>2.8398243450030027E-2</v>
      </c>
      <c r="E110" s="582">
        <f ca="1">IF($B110="","",$C32*VLOOKUP($B110,Tbl_Emissions,8,FALSE))</f>
        <v>1.3244371494303955E-4</v>
      </c>
      <c r="F110" s="585">
        <f ca="1">IF($B110="","",$C110*GHG_CO2_factor+$D110*GHG_CH4_factor+$E110*GHG_N2O_factor)</f>
        <v>1.6324521438898192</v>
      </c>
    </row>
    <row r="111" spans="2:6" x14ac:dyDescent="0.25">
      <c r="B111" s="573" t="str">
        <f>B33</f>
        <v>Commercial Electricity</v>
      </c>
      <c r="C111" s="577">
        <f ca="1">IF($B111="","",$C33*VLOOKUP($B111,Tbl_Emissions,6,FALSE))</f>
        <v>1.0308386591999996</v>
      </c>
      <c r="D111" s="582">
        <f ca="1">IF($B111="","",$C33*VLOOKUP($B111,Tbl_Emissions,7,FALSE))</f>
        <v>1.6687838764799995E-3</v>
      </c>
      <c r="E111" s="582">
        <f ca="1">IF($B111="","",$C33*VLOOKUP($B111,Tbl_Emissions,8,FALSE))</f>
        <v>1.4744159135999998E-5</v>
      </c>
      <c r="F111" s="585">
        <f ca="1">IF($B111="","",$C111*GHG_CO2_factor+$D111*GHG_CH4_factor+$E111*GHG_N2O_factor)</f>
        <v>1.0769520155345276</v>
      </c>
    </row>
    <row r="112" spans="2:6" x14ac:dyDescent="0.25">
      <c r="B112" s="573" t="str">
        <f>B34</f>
        <v/>
      </c>
      <c r="C112" s="577" t="str">
        <f>IF($B112="","",$C34*VLOOKUP($B112,Tbl_Emissions,6,FALSE))</f>
        <v/>
      </c>
      <c r="D112" s="582" t="str">
        <f>IF($B112="","",$C34*VLOOKUP($B112,Tbl_Emissions,7,FALSE))</f>
        <v/>
      </c>
      <c r="E112" s="582" t="str">
        <f>IF($B112="","",$C34*VLOOKUP($B112,Tbl_Emissions,8,FALSE))</f>
        <v/>
      </c>
      <c r="F112" s="585" t="str">
        <f>IF($B112="","",$C112*GHG_CO2_factor+$D112*GHG_CH4_factor+$E112*GHG_N2O_factor)</f>
        <v/>
      </c>
    </row>
    <row r="113" spans="2:6" x14ac:dyDescent="0.25">
      <c r="B113" s="573" t="str">
        <f>B35</f>
        <v/>
      </c>
      <c r="C113" s="577" t="str">
        <f>IF($B113="","",$C35*VLOOKUP($B113,Tbl_Emissions,6,FALSE))</f>
        <v/>
      </c>
      <c r="D113" s="582" t="str">
        <f>IF($B113="","",$C35*VLOOKUP($B113,Tbl_Emissions,7,FALSE))</f>
        <v/>
      </c>
      <c r="E113" s="582" t="str">
        <f>IF($B113="","",$C35*VLOOKUP($B113,Tbl_Emissions,8,FALSE))</f>
        <v/>
      </c>
      <c r="F113" s="585" t="str">
        <f>IF($B113="","",$C113*GHG_CO2_factor+$D113*GHG_CH4_factor+$E113*GHG_N2O_factor)</f>
        <v/>
      </c>
    </row>
    <row r="114" spans="2:6" x14ac:dyDescent="0.25">
      <c r="B114" s="638" t="s">
        <v>270</v>
      </c>
      <c r="C114" s="639"/>
      <c r="D114" s="640"/>
      <c r="E114" s="640"/>
      <c r="F114" s="641"/>
    </row>
    <row r="115" spans="2:6" x14ac:dyDescent="0.25">
      <c r="B115" s="573" t="str">
        <f>B37</f>
        <v/>
      </c>
      <c r="C115" s="577" t="str">
        <f>IF($B115="","",$C37*VLOOKUP($B115,Tbl_Emissions,6,FALSE))</f>
        <v/>
      </c>
      <c r="D115" s="582" t="str">
        <f>IF($B115="","",$C37*VLOOKUP($B115,Tbl_Emissions,7,FALSE))</f>
        <v/>
      </c>
      <c r="E115" s="582" t="str">
        <f>IF($B115="","",$C37*VLOOKUP($B115,Tbl_Emissions,8,FALSE))</f>
        <v/>
      </c>
      <c r="F115" s="585" t="str">
        <f>IF($B115="","",$C115*GHG_CO2_factor+$D115*GHG_CH4_factor+$E115*GHG_N2O_factor)</f>
        <v/>
      </c>
    </row>
    <row r="116" spans="2:6" x14ac:dyDescent="0.25">
      <c r="B116" s="573" t="str">
        <f>B38</f>
        <v/>
      </c>
      <c r="C116" s="577" t="str">
        <f>IF($B116="","",$C38*VLOOKUP($B116,Tbl_Emissions,6,FALSE))</f>
        <v/>
      </c>
      <c r="D116" s="582" t="str">
        <f>IF($B116="","",$C38*VLOOKUP($B116,Tbl_Emissions,7,FALSE))</f>
        <v/>
      </c>
      <c r="E116" s="582" t="str">
        <f>IF($B116="","",$C38*VLOOKUP($B116,Tbl_Emissions,8,FALSE))</f>
        <v/>
      </c>
      <c r="F116" s="585" t="str">
        <f>IF($B116="","",$C116*GHG_CO2_factor+$D116*GHG_CH4_factor+$E116*GHG_N2O_factor)</f>
        <v/>
      </c>
    </row>
    <row r="117" spans="2:6" x14ac:dyDescent="0.25">
      <c r="B117" s="573" t="str">
        <f>B39</f>
        <v/>
      </c>
      <c r="C117" s="577" t="str">
        <f>IF($B117="","",$C39*VLOOKUP($B117,Tbl_Emissions,6,FALSE))</f>
        <v/>
      </c>
      <c r="D117" s="582" t="str">
        <f>IF($B117="","",$C39*VLOOKUP($B117,Tbl_Emissions,7,FALSE))</f>
        <v/>
      </c>
      <c r="E117" s="582" t="str">
        <f>IF($B117="","",$C39*VLOOKUP($B117,Tbl_Emissions,8,FALSE))</f>
        <v/>
      </c>
      <c r="F117" s="585" t="str">
        <f>IF($B117="","",$C117*GHG_CO2_factor+$D117*GHG_CH4_factor+$E117*GHG_N2O_factor)</f>
        <v/>
      </c>
    </row>
    <row r="118" spans="2:6" x14ac:dyDescent="0.25">
      <c r="B118" s="573" t="str">
        <f>B40</f>
        <v/>
      </c>
      <c r="C118" s="577" t="str">
        <f>IF($B118="","",$C40*VLOOKUP($B118,Tbl_Emissions,6,FALSE))</f>
        <v/>
      </c>
      <c r="D118" s="582" t="str">
        <f>IF($B118="","",$C40*VLOOKUP($B118,Tbl_Emissions,7,FALSE))</f>
        <v/>
      </c>
      <c r="E118" s="582" t="str">
        <f>IF($B118="","",$C40*VLOOKUP($B118,Tbl_Emissions,8,FALSE))</f>
        <v/>
      </c>
      <c r="F118" s="585" t="str">
        <f>IF($B118="","",$C118*GHG_CO2_factor+$D118*GHG_CH4_factor+$E118*GHG_N2O_factor)</f>
        <v/>
      </c>
    </row>
    <row r="119" spans="2:6" x14ac:dyDescent="0.25">
      <c r="B119" s="638" t="s">
        <v>397</v>
      </c>
      <c r="C119" s="639"/>
      <c r="D119" s="640"/>
      <c r="E119" s="640"/>
      <c r="F119" s="641"/>
    </row>
    <row r="120" spans="2:6" ht="13.8" thickBot="1" x14ac:dyDescent="0.3">
      <c r="B120" s="578" t="str">
        <f>B42</f>
        <v/>
      </c>
      <c r="C120" s="580" t="str">
        <f>IF($B120="","",$C42*VLOOKUP($B120,Tbl_Emissions,6,FALSE))</f>
        <v/>
      </c>
      <c r="D120" s="583" t="str">
        <f>IF($B120="","",$C42*VLOOKUP($B120,Tbl_Emissions,7,FALSE))</f>
        <v/>
      </c>
      <c r="E120" s="583" t="str">
        <f>IF($B120="","",$C42*VLOOKUP($B120,Tbl_Emissions,8,FALSE))</f>
        <v/>
      </c>
      <c r="F120" s="586" t="str">
        <f>IF($B120="","",$C120*GHG_CO2_factor+$D120*GHG_CH4_factor+$E120*GHG_N2O_factor)</f>
        <v/>
      </c>
    </row>
    <row r="121" spans="2:6" ht="13.8" thickBot="1" x14ac:dyDescent="0.3">
      <c r="B121" s="579" t="s">
        <v>531</v>
      </c>
      <c r="C121" s="581">
        <f ca="1">SUM(C110:C120)</f>
        <v>1.9138664897860425</v>
      </c>
      <c r="D121" s="584">
        <f ca="1">SUM(D110:D120)</f>
        <v>3.0067027326510027E-2</v>
      </c>
      <c r="E121" s="584">
        <f ca="1">SUM(E110:E120)</f>
        <v>1.4718787407903955E-4</v>
      </c>
      <c r="F121" s="587">
        <f ca="1">SUM(F110:F120)</f>
        <v>2.7094041594243468</v>
      </c>
    </row>
    <row r="122" spans="2:6" ht="13.8" thickTop="1" x14ac:dyDescent="0.25"/>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3"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heetViews>
  <sheetFormatPr defaultRowHeight="13.2" x14ac:dyDescent="0.25"/>
  <cols>
    <col min="1" max="1" width="7.33203125" customWidth="1"/>
    <col min="2" max="2" width="35.5546875" customWidth="1"/>
    <col min="3" max="3" width="18.6640625" customWidth="1"/>
    <col min="4" max="6" width="20.6640625" customWidth="1"/>
    <col min="7" max="8" width="16.33203125" customWidth="1"/>
    <col min="9" max="9" width="16" bestFit="1" customWidth="1"/>
    <col min="10" max="15" width="12.33203125" customWidth="1"/>
    <col min="16" max="16" width="17.44140625" bestFit="1" customWidth="1"/>
    <col min="17" max="22" width="12.33203125" customWidth="1"/>
    <col min="23" max="23" width="18.44140625" customWidth="1"/>
    <col min="24" max="24" width="12.33203125" customWidth="1"/>
  </cols>
  <sheetData>
    <row r="1" spans="1:73" x14ac:dyDescent="0.25">
      <c r="A1" s="879"/>
      <c r="B1" s="879"/>
      <c r="C1" s="880"/>
      <c r="D1" s="879"/>
      <c r="E1" s="879"/>
      <c r="F1" s="880"/>
      <c r="G1" s="880"/>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c r="AI1" s="879"/>
      <c r="AJ1" s="879"/>
      <c r="AK1" s="879"/>
      <c r="AL1" s="879"/>
      <c r="AM1" s="879"/>
      <c r="AN1" s="879"/>
      <c r="AO1" s="879"/>
      <c r="AP1" s="879"/>
      <c r="AQ1" s="879"/>
      <c r="AR1" s="879"/>
      <c r="AS1" s="879"/>
      <c r="AT1" s="879"/>
      <c r="AU1" s="879"/>
      <c r="AV1" s="879"/>
      <c r="AW1" s="879"/>
      <c r="AX1" s="879"/>
      <c r="AY1" s="879"/>
      <c r="AZ1" s="879"/>
      <c r="BA1" s="879"/>
      <c r="BB1" s="879"/>
      <c r="BC1" s="879"/>
      <c r="BD1" s="879"/>
      <c r="BE1" s="879"/>
      <c r="BF1" s="879"/>
      <c r="BG1" s="879"/>
      <c r="BH1" s="879"/>
      <c r="BI1" s="879"/>
      <c r="BJ1" s="879"/>
      <c r="BK1" s="879"/>
      <c r="BL1" s="879"/>
      <c r="BM1" s="879"/>
      <c r="BN1" s="879"/>
      <c r="BO1" s="879"/>
      <c r="BP1" s="879"/>
      <c r="BQ1" s="879"/>
      <c r="BR1" s="879"/>
      <c r="BS1" s="879"/>
      <c r="BT1" s="879"/>
      <c r="BU1" s="879"/>
    </row>
    <row r="2" spans="1:73" ht="26.4" x14ac:dyDescent="0.25">
      <c r="A2" s="879"/>
      <c r="B2" s="890" t="s">
        <v>1116</v>
      </c>
      <c r="C2" s="890" t="s">
        <v>1115</v>
      </c>
      <c r="D2" s="890" t="s">
        <v>1182</v>
      </c>
      <c r="E2" s="890" t="s">
        <v>1183</v>
      </c>
      <c r="F2" s="890" t="s">
        <v>1119</v>
      </c>
      <c r="G2" s="890" t="s">
        <v>1120</v>
      </c>
      <c r="H2" s="890" t="s">
        <v>1121</v>
      </c>
      <c r="I2" s="890" t="s">
        <v>1122</v>
      </c>
      <c r="J2" s="880"/>
      <c r="K2" s="880"/>
      <c r="L2" s="879"/>
      <c r="M2" s="879"/>
      <c r="N2" s="879"/>
      <c r="O2" s="879"/>
      <c r="P2" s="879"/>
      <c r="Q2" s="879"/>
      <c r="R2" s="879"/>
      <c r="S2" s="879"/>
      <c r="T2" s="879"/>
      <c r="U2" s="879"/>
      <c r="V2" s="879"/>
      <c r="W2" s="879"/>
      <c r="X2" s="879"/>
      <c r="Y2" s="879"/>
      <c r="Z2" s="879"/>
      <c r="AA2" s="879"/>
      <c r="AB2" s="879"/>
      <c r="AC2" s="879"/>
      <c r="AD2" s="879"/>
      <c r="AE2" s="879"/>
      <c r="AF2" s="879"/>
      <c r="AG2" s="879"/>
      <c r="AH2" s="879"/>
      <c r="AI2" s="879"/>
      <c r="AJ2" s="879"/>
      <c r="AK2" s="879"/>
      <c r="AL2" s="879"/>
      <c r="AM2" s="879"/>
      <c r="AN2" s="879"/>
      <c r="AO2" s="879"/>
      <c r="AP2" s="879"/>
      <c r="AQ2" s="879"/>
      <c r="AR2" s="879"/>
      <c r="AS2" s="879"/>
      <c r="AT2" s="879"/>
      <c r="AU2" s="879"/>
      <c r="AV2" s="879"/>
      <c r="AW2" s="879"/>
      <c r="AX2" s="879"/>
      <c r="AY2" s="879"/>
      <c r="AZ2" s="879"/>
      <c r="BA2" s="879"/>
      <c r="BB2" s="879"/>
      <c r="BC2" s="879"/>
      <c r="BD2" s="879"/>
      <c r="BE2" s="879"/>
      <c r="BF2" s="879"/>
      <c r="BG2" s="879"/>
      <c r="BH2" s="879"/>
      <c r="BI2" s="879"/>
      <c r="BJ2" s="879"/>
      <c r="BK2" s="879"/>
      <c r="BL2" s="879"/>
      <c r="BM2" s="879"/>
      <c r="BN2" s="879"/>
      <c r="BO2" s="879"/>
      <c r="BP2" s="879"/>
      <c r="BQ2" s="879"/>
      <c r="BR2" s="879"/>
      <c r="BS2" s="879"/>
      <c r="BT2" s="879"/>
      <c r="BU2" s="879"/>
    </row>
    <row r="3" spans="1:73" x14ac:dyDescent="0.25">
      <c r="A3" s="879"/>
      <c r="B3" s="882" t="s">
        <v>1156</v>
      </c>
      <c r="C3" s="886">
        <f ca="1">+cap_factor</f>
        <v>0.86</v>
      </c>
      <c r="D3" s="885">
        <v>0.05</v>
      </c>
      <c r="E3" s="885">
        <v>0.05</v>
      </c>
      <c r="F3" s="895">
        <f>1+D3</f>
        <v>1.05</v>
      </c>
      <c r="G3" s="892">
        <f>1-E3</f>
        <v>0.95</v>
      </c>
      <c r="H3" s="884">
        <f t="shared" ref="H3:H9" ca="1" si="0">+C3*F3</f>
        <v>0.90300000000000002</v>
      </c>
      <c r="I3" s="884">
        <f t="shared" ref="I3:I9" ca="1" si="1">+C3*G3</f>
        <v>0.81699999999999995</v>
      </c>
      <c r="J3" s="1128"/>
      <c r="K3" s="1128"/>
      <c r="L3" s="879"/>
      <c r="M3" s="879"/>
      <c r="N3" s="879"/>
      <c r="O3" s="879"/>
      <c r="P3" s="879"/>
      <c r="Q3" s="879"/>
      <c r="R3" s="879"/>
      <c r="S3" s="879"/>
      <c r="T3" s="879"/>
      <c r="U3" s="879"/>
      <c r="V3" s="879"/>
      <c r="W3" s="879"/>
      <c r="X3" s="879"/>
      <c r="Y3" s="879"/>
      <c r="Z3" s="879"/>
      <c r="AA3" s="879"/>
      <c r="AB3" s="879"/>
      <c r="AC3" s="879"/>
      <c r="AD3" s="879"/>
      <c r="AE3" s="879"/>
      <c r="AF3" s="879"/>
      <c r="AG3" s="879"/>
      <c r="AH3" s="879"/>
      <c r="AI3" s="879"/>
      <c r="AJ3" s="879"/>
      <c r="AK3" s="879"/>
      <c r="AL3" s="879"/>
      <c r="AM3" s="879"/>
      <c r="AN3" s="879"/>
      <c r="AO3" s="879"/>
      <c r="AP3" s="879"/>
      <c r="AQ3" s="879"/>
      <c r="AR3" s="879"/>
      <c r="AS3" s="879"/>
      <c r="AT3" s="879"/>
      <c r="AU3" s="879"/>
      <c r="AV3" s="879"/>
      <c r="AW3" s="879"/>
      <c r="AX3" s="879"/>
      <c r="AY3" s="879"/>
      <c r="AZ3" s="879"/>
      <c r="BA3" s="879"/>
      <c r="BB3" s="879"/>
      <c r="BC3" s="879"/>
      <c r="BD3" s="879"/>
      <c r="BE3" s="879"/>
      <c r="BF3" s="879"/>
      <c r="BG3" s="879"/>
      <c r="BH3" s="879"/>
      <c r="BI3" s="879"/>
      <c r="BJ3" s="879"/>
      <c r="BK3" s="879"/>
      <c r="BL3" s="879"/>
      <c r="BM3" s="879"/>
      <c r="BN3" s="879"/>
      <c r="BO3" s="879"/>
      <c r="BP3" s="879"/>
      <c r="BQ3" s="879"/>
      <c r="BR3" s="879"/>
      <c r="BS3" s="879"/>
      <c r="BT3" s="879"/>
      <c r="BU3" s="879"/>
    </row>
    <row r="4" spans="1:73" x14ac:dyDescent="0.25">
      <c r="A4" s="879"/>
      <c r="B4" s="882" t="str">
        <f>+Input_Sheet_Template!B26</f>
        <v>Plant Design Capacity (kg of H2/day)</v>
      </c>
      <c r="C4" s="887">
        <f ca="1">+design_cap</f>
        <v>1500</v>
      </c>
      <c r="D4" s="885">
        <v>0.05</v>
      </c>
      <c r="E4" s="885">
        <v>0.05</v>
      </c>
      <c r="F4" s="895">
        <f>1+D4</f>
        <v>1.05</v>
      </c>
      <c r="G4" s="892">
        <f>1-E4</f>
        <v>0.95</v>
      </c>
      <c r="H4" s="889">
        <f t="shared" ca="1" si="0"/>
        <v>1575</v>
      </c>
      <c r="I4" s="889">
        <f t="shared" ca="1" si="1"/>
        <v>1425</v>
      </c>
      <c r="J4" s="1128"/>
      <c r="K4" s="1128"/>
      <c r="L4" s="879"/>
      <c r="M4" s="879"/>
      <c r="N4" s="879"/>
      <c r="O4" s="879"/>
      <c r="P4" s="879"/>
      <c r="Q4" s="879"/>
      <c r="R4" s="879"/>
      <c r="S4" s="879"/>
      <c r="T4" s="879"/>
      <c r="U4" s="879"/>
      <c r="V4" s="879"/>
      <c r="W4" s="879"/>
      <c r="X4" s="879"/>
      <c r="Y4" s="879"/>
      <c r="Z4" s="879"/>
      <c r="AA4" s="879"/>
      <c r="AB4" s="879"/>
      <c r="AC4" s="879"/>
      <c r="AD4" s="879"/>
      <c r="AE4" s="879"/>
      <c r="AF4" s="879"/>
      <c r="AG4" s="879"/>
      <c r="AH4" s="879"/>
      <c r="AI4" s="879"/>
      <c r="AJ4" s="879"/>
      <c r="AK4" s="879"/>
      <c r="AL4" s="879"/>
      <c r="AM4" s="879"/>
      <c r="AN4" s="879"/>
      <c r="AO4" s="879"/>
      <c r="AP4" s="879"/>
      <c r="AQ4" s="879"/>
      <c r="AR4" s="879"/>
      <c r="AS4" s="879"/>
      <c r="AT4" s="879"/>
      <c r="AU4" s="879"/>
      <c r="AV4" s="879"/>
      <c r="AW4" s="879"/>
      <c r="AX4" s="879"/>
      <c r="AY4" s="879"/>
      <c r="AZ4" s="879"/>
      <c r="BA4" s="879"/>
      <c r="BB4" s="879"/>
      <c r="BC4" s="879"/>
      <c r="BD4" s="879"/>
      <c r="BE4" s="879"/>
      <c r="BF4" s="879"/>
      <c r="BG4" s="879"/>
      <c r="BH4" s="879"/>
      <c r="BI4" s="879"/>
      <c r="BJ4" s="879"/>
      <c r="BK4" s="879"/>
      <c r="BL4" s="879"/>
      <c r="BM4" s="879"/>
      <c r="BN4" s="879"/>
      <c r="BO4" s="879"/>
      <c r="BP4" s="879"/>
      <c r="BQ4" s="879"/>
      <c r="BR4" s="879"/>
      <c r="BS4" s="879"/>
      <c r="BT4" s="879"/>
      <c r="BU4" s="879"/>
    </row>
    <row r="5" spans="1:73" x14ac:dyDescent="0.25">
      <c r="A5" s="879"/>
      <c r="B5" s="882" t="s">
        <v>1157</v>
      </c>
      <c r="C5" s="886">
        <f ca="1">+real_irr</f>
        <v>0.08</v>
      </c>
      <c r="D5" s="885">
        <v>0.05</v>
      </c>
      <c r="E5" s="885">
        <v>0.05</v>
      </c>
      <c r="F5" s="895">
        <f>1-D5</f>
        <v>0.95</v>
      </c>
      <c r="G5" s="892">
        <f>1+E5</f>
        <v>1.05</v>
      </c>
      <c r="H5" s="884">
        <f t="shared" ca="1" si="0"/>
        <v>7.5999999999999998E-2</v>
      </c>
      <c r="I5" s="884">
        <f t="shared" ca="1" si="1"/>
        <v>8.4000000000000005E-2</v>
      </c>
      <c r="J5" s="1128"/>
      <c r="K5" s="1128"/>
      <c r="L5" s="879"/>
      <c r="M5" s="879"/>
      <c r="N5" s="879"/>
      <c r="O5" s="879"/>
      <c r="P5" s="879"/>
      <c r="Q5" s="879"/>
      <c r="R5" s="879"/>
      <c r="S5" s="879"/>
      <c r="T5" s="879"/>
      <c r="U5" s="879"/>
      <c r="V5" s="879"/>
      <c r="W5" s="879"/>
      <c r="X5" s="879"/>
      <c r="Y5" s="879"/>
      <c r="Z5" s="879"/>
      <c r="AA5" s="879"/>
      <c r="AB5" s="879"/>
      <c r="AC5" s="879"/>
      <c r="AD5" s="879"/>
      <c r="AE5" s="879"/>
      <c r="AF5" s="879"/>
      <c r="AG5" s="879"/>
      <c r="AH5" s="879"/>
      <c r="AI5" s="879"/>
      <c r="AJ5" s="879"/>
      <c r="AK5" s="879"/>
      <c r="AL5" s="879"/>
      <c r="AM5" s="879"/>
      <c r="AN5" s="879"/>
      <c r="AO5" s="879"/>
      <c r="AP5" s="879"/>
      <c r="AQ5" s="879"/>
      <c r="AR5" s="879"/>
      <c r="AS5" s="879"/>
      <c r="AT5" s="879"/>
      <c r="AU5" s="879"/>
      <c r="AV5" s="879"/>
      <c r="AW5" s="879"/>
      <c r="AX5" s="879"/>
      <c r="AY5" s="879"/>
      <c r="AZ5" s="879"/>
      <c r="BA5" s="879"/>
      <c r="BB5" s="879"/>
      <c r="BC5" s="879"/>
      <c r="BD5" s="879"/>
      <c r="BE5" s="879"/>
      <c r="BF5" s="879"/>
      <c r="BG5" s="879"/>
      <c r="BH5" s="879"/>
      <c r="BI5" s="879"/>
      <c r="BJ5" s="879"/>
      <c r="BK5" s="879"/>
      <c r="BL5" s="879"/>
      <c r="BM5" s="879"/>
      <c r="BN5" s="879"/>
      <c r="BO5" s="879"/>
      <c r="BP5" s="879"/>
      <c r="BQ5" s="879"/>
      <c r="BR5" s="879"/>
      <c r="BS5" s="879"/>
      <c r="BT5" s="879"/>
      <c r="BU5" s="879"/>
    </row>
    <row r="6" spans="1:73" x14ac:dyDescent="0.25">
      <c r="A6" s="879"/>
      <c r="B6" s="882" t="s">
        <v>1166</v>
      </c>
      <c r="C6" s="979">
        <v>1</v>
      </c>
      <c r="D6" s="885">
        <v>0.05</v>
      </c>
      <c r="E6" s="885">
        <v>0.05</v>
      </c>
      <c r="F6" s="895">
        <f>1-D6</f>
        <v>0.95</v>
      </c>
      <c r="G6" s="892">
        <f t="shared" ref="G6:G9" si="2">1+E6</f>
        <v>1.05</v>
      </c>
      <c r="H6" s="977">
        <f t="shared" si="0"/>
        <v>0.95</v>
      </c>
      <c r="I6" s="977">
        <f t="shared" si="1"/>
        <v>1.05</v>
      </c>
      <c r="J6" s="1128"/>
      <c r="K6" s="1128"/>
      <c r="L6" s="879"/>
      <c r="M6" s="879"/>
      <c r="N6" s="879"/>
      <c r="O6" s="879"/>
      <c r="P6" s="879"/>
      <c r="Q6" s="879"/>
      <c r="R6" s="879"/>
      <c r="S6" s="879"/>
      <c r="T6" s="879"/>
      <c r="U6" s="879"/>
      <c r="V6" s="879"/>
      <c r="W6" s="879"/>
      <c r="X6" s="879"/>
      <c r="Y6" s="879"/>
      <c r="Z6" s="879"/>
      <c r="AA6" s="879"/>
      <c r="AB6" s="879"/>
      <c r="AC6" s="879"/>
      <c r="AD6" s="879"/>
      <c r="AE6" s="879"/>
      <c r="AF6" s="879"/>
      <c r="AG6" s="879"/>
      <c r="AH6" s="879"/>
      <c r="AI6" s="879"/>
      <c r="AJ6" s="879"/>
      <c r="AK6" s="879"/>
      <c r="AL6" s="879"/>
      <c r="AM6" s="879"/>
      <c r="AN6" s="879"/>
      <c r="AO6" s="879"/>
      <c r="AP6" s="879"/>
      <c r="AQ6" s="879"/>
      <c r="AR6" s="879"/>
      <c r="AS6" s="879"/>
      <c r="AT6" s="879"/>
      <c r="AU6" s="879"/>
      <c r="AV6" s="879"/>
      <c r="AW6" s="879"/>
      <c r="AX6" s="879"/>
      <c r="AY6" s="879"/>
      <c r="AZ6" s="879"/>
      <c r="BA6" s="879"/>
      <c r="BB6" s="879"/>
      <c r="BC6" s="879"/>
      <c r="BD6" s="879"/>
      <c r="BE6" s="879"/>
      <c r="BF6" s="879"/>
      <c r="BG6" s="879"/>
      <c r="BH6" s="879"/>
      <c r="BI6" s="879"/>
      <c r="BJ6" s="879"/>
      <c r="BK6" s="879"/>
      <c r="BL6" s="879"/>
      <c r="BM6" s="879"/>
      <c r="BN6" s="879"/>
      <c r="BO6" s="879"/>
      <c r="BP6" s="879"/>
      <c r="BQ6" s="879"/>
      <c r="BR6" s="879"/>
      <c r="BS6" s="879"/>
      <c r="BT6" s="879"/>
      <c r="BU6" s="879"/>
    </row>
    <row r="7" spans="1:73" x14ac:dyDescent="0.25">
      <c r="A7" s="879"/>
      <c r="B7" s="882" t="s">
        <v>1167</v>
      </c>
      <c r="C7" s="979">
        <v>1</v>
      </c>
      <c r="D7" s="885">
        <v>0.05</v>
      </c>
      <c r="E7" s="885">
        <v>0.05</v>
      </c>
      <c r="F7" s="895">
        <f>1-D7</f>
        <v>0.95</v>
      </c>
      <c r="G7" s="892">
        <f t="shared" si="2"/>
        <v>1.05</v>
      </c>
      <c r="H7" s="977">
        <f t="shared" si="0"/>
        <v>0.95</v>
      </c>
      <c r="I7" s="977">
        <f t="shared" si="1"/>
        <v>1.05</v>
      </c>
      <c r="J7" s="1128"/>
      <c r="K7" s="1128"/>
      <c r="L7" s="879"/>
      <c r="M7" s="879"/>
      <c r="N7" s="879"/>
      <c r="O7" s="879"/>
      <c r="P7" s="879"/>
      <c r="Q7" s="879"/>
      <c r="R7" s="879"/>
      <c r="S7" s="879"/>
      <c r="T7" s="879"/>
      <c r="U7" s="879"/>
      <c r="V7" s="879"/>
      <c r="W7" s="879"/>
      <c r="X7" s="879"/>
      <c r="Y7" s="879"/>
      <c r="Z7" s="879"/>
      <c r="AA7" s="879"/>
      <c r="AB7" s="879"/>
      <c r="AC7" s="879"/>
      <c r="AD7" s="879"/>
      <c r="AE7" s="879"/>
      <c r="AF7" s="879"/>
      <c r="AG7" s="879"/>
      <c r="AH7" s="879"/>
      <c r="AI7" s="879"/>
      <c r="AJ7" s="879"/>
      <c r="AK7" s="879"/>
      <c r="AL7" s="879"/>
      <c r="AM7" s="879"/>
      <c r="AN7" s="879"/>
      <c r="AO7" s="879"/>
      <c r="AP7" s="879"/>
      <c r="AQ7" s="879"/>
      <c r="AR7" s="879"/>
      <c r="AS7" s="879"/>
      <c r="AT7" s="879"/>
      <c r="AU7" s="879"/>
      <c r="AV7" s="879"/>
      <c r="AW7" s="879"/>
      <c r="AX7" s="879"/>
      <c r="AY7" s="879"/>
      <c r="AZ7" s="879"/>
      <c r="BA7" s="879"/>
      <c r="BB7" s="879"/>
      <c r="BC7" s="879"/>
      <c r="BD7" s="879"/>
      <c r="BE7" s="879"/>
      <c r="BF7" s="879"/>
      <c r="BG7" s="879"/>
      <c r="BH7" s="879"/>
      <c r="BI7" s="879"/>
      <c r="BJ7" s="879"/>
      <c r="BK7" s="879"/>
      <c r="BL7" s="879"/>
      <c r="BM7" s="879"/>
      <c r="BN7" s="879"/>
      <c r="BO7" s="879"/>
      <c r="BP7" s="879"/>
      <c r="BQ7" s="879"/>
      <c r="BR7" s="879"/>
      <c r="BS7" s="879"/>
      <c r="BT7" s="879"/>
      <c r="BU7" s="879"/>
    </row>
    <row r="8" spans="1:73" x14ac:dyDescent="0.25">
      <c r="A8" s="879"/>
      <c r="B8" s="882" t="s">
        <v>116</v>
      </c>
      <c r="C8" s="887">
        <f ca="1">+total_cap</f>
        <v>1348647.8117155829</v>
      </c>
      <c r="D8" s="885">
        <v>0.05</v>
      </c>
      <c r="E8" s="885">
        <v>0.05</v>
      </c>
      <c r="F8" s="895">
        <f>1-D8</f>
        <v>0.95</v>
      </c>
      <c r="G8" s="892">
        <f t="shared" si="2"/>
        <v>1.05</v>
      </c>
      <c r="H8" s="889">
        <f t="shared" ca="1" si="0"/>
        <v>1281215.4211298036</v>
      </c>
      <c r="I8" s="889">
        <f t="shared" ca="1" si="1"/>
        <v>1416080.2023013621</v>
      </c>
      <c r="J8" s="1128"/>
      <c r="K8" s="1128"/>
      <c r="L8" s="879"/>
      <c r="M8" s="879"/>
      <c r="N8" s="879"/>
      <c r="O8" s="879"/>
      <c r="P8" s="879"/>
      <c r="Q8" s="879"/>
      <c r="R8" s="879"/>
      <c r="S8" s="879"/>
      <c r="T8" s="879"/>
      <c r="U8" s="879"/>
      <c r="V8" s="879"/>
      <c r="W8" s="879"/>
      <c r="X8" s="879"/>
      <c r="Y8" s="879"/>
      <c r="Z8" s="879"/>
      <c r="AA8" s="879"/>
      <c r="AB8" s="879"/>
      <c r="AC8" s="879"/>
      <c r="AD8" s="879"/>
      <c r="AE8" s="879"/>
      <c r="AF8" s="879"/>
      <c r="AG8" s="879"/>
      <c r="AH8" s="879"/>
      <c r="AI8" s="879"/>
      <c r="AJ8" s="879"/>
      <c r="AK8" s="879"/>
      <c r="AL8" s="879"/>
      <c r="AM8" s="879"/>
      <c r="AN8" s="879"/>
      <c r="AO8" s="879"/>
      <c r="AP8" s="879"/>
      <c r="AQ8" s="879"/>
      <c r="AR8" s="879"/>
      <c r="AS8" s="879"/>
      <c r="AT8" s="879"/>
      <c r="AU8" s="879"/>
      <c r="AV8" s="879"/>
      <c r="AW8" s="879"/>
      <c r="AX8" s="879"/>
      <c r="AY8" s="879"/>
      <c r="AZ8" s="879"/>
      <c r="BA8" s="879"/>
      <c r="BB8" s="879"/>
      <c r="BC8" s="879"/>
      <c r="BD8" s="879"/>
      <c r="BE8" s="879"/>
      <c r="BF8" s="879"/>
      <c r="BG8" s="879"/>
      <c r="BH8" s="879"/>
      <c r="BI8" s="879"/>
      <c r="BJ8" s="879"/>
      <c r="BK8" s="879"/>
      <c r="BL8" s="879"/>
      <c r="BM8" s="879"/>
      <c r="BN8" s="879"/>
      <c r="BO8" s="879"/>
      <c r="BP8" s="879"/>
      <c r="BQ8" s="879"/>
      <c r="BR8" s="879"/>
      <c r="BS8" s="879"/>
      <c r="BT8" s="879"/>
      <c r="BU8" s="879"/>
    </row>
    <row r="9" spans="1:73" x14ac:dyDescent="0.25">
      <c r="A9" s="879"/>
      <c r="B9" s="882" t="s">
        <v>623</v>
      </c>
      <c r="C9" s="887">
        <f ca="1">+fixed</f>
        <v>78485.452516613223</v>
      </c>
      <c r="D9" s="885">
        <v>0.05</v>
      </c>
      <c r="E9" s="885">
        <v>0.05</v>
      </c>
      <c r="F9" s="895">
        <f>1-D9</f>
        <v>0.95</v>
      </c>
      <c r="G9" s="892">
        <f t="shared" si="2"/>
        <v>1.05</v>
      </c>
      <c r="H9" s="889">
        <f t="shared" ca="1" si="0"/>
        <v>74561.179890782558</v>
      </c>
      <c r="I9" s="889">
        <f t="shared" ca="1" si="1"/>
        <v>82409.725142443887</v>
      </c>
      <c r="J9" s="1128"/>
      <c r="K9" s="1128"/>
      <c r="L9" s="879"/>
      <c r="M9" s="879"/>
      <c r="N9" s="879"/>
      <c r="O9" s="879"/>
      <c r="P9" s="879"/>
      <c r="Q9" s="879"/>
      <c r="R9" s="879"/>
      <c r="S9" s="879"/>
      <c r="T9" s="879"/>
      <c r="U9" s="879"/>
      <c r="V9" s="879"/>
      <c r="W9" s="879"/>
      <c r="X9" s="879"/>
      <c r="Y9" s="879"/>
      <c r="Z9" s="879"/>
      <c r="AA9" s="879"/>
      <c r="AB9" s="879"/>
      <c r="AC9" s="879"/>
      <c r="AD9" s="879"/>
      <c r="AE9" s="879"/>
      <c r="AF9" s="879"/>
      <c r="AG9" s="879"/>
      <c r="AH9" s="879"/>
      <c r="AI9" s="879"/>
      <c r="AJ9" s="879"/>
      <c r="AK9" s="879"/>
      <c r="AL9" s="879"/>
      <c r="AM9" s="879"/>
      <c r="AN9" s="879"/>
      <c r="AO9" s="879"/>
      <c r="AP9" s="879"/>
      <c r="AQ9" s="879"/>
      <c r="AR9" s="879"/>
      <c r="AS9" s="879"/>
      <c r="AT9" s="879"/>
      <c r="AU9" s="879"/>
      <c r="AV9" s="879"/>
      <c r="AW9" s="879"/>
      <c r="AX9" s="879"/>
      <c r="AY9" s="879"/>
      <c r="AZ9" s="879"/>
      <c r="BA9" s="879"/>
      <c r="BB9" s="879"/>
      <c r="BC9" s="879"/>
      <c r="BD9" s="879"/>
      <c r="BE9" s="879"/>
      <c r="BF9" s="879"/>
      <c r="BG9" s="879"/>
      <c r="BH9" s="879"/>
      <c r="BI9" s="879"/>
      <c r="BJ9" s="879"/>
      <c r="BK9" s="879"/>
      <c r="BL9" s="879"/>
      <c r="BM9" s="879"/>
      <c r="BN9" s="879"/>
      <c r="BO9" s="879"/>
      <c r="BP9" s="879"/>
      <c r="BQ9" s="879"/>
      <c r="BR9" s="879"/>
      <c r="BS9" s="879"/>
      <c r="BT9" s="879"/>
      <c r="BU9" s="879"/>
    </row>
    <row r="10" spans="1:73" x14ac:dyDescent="0.25">
      <c r="A10" s="879"/>
      <c r="B10" s="879"/>
      <c r="C10" s="879"/>
      <c r="D10" s="879"/>
      <c r="E10" s="879"/>
      <c r="F10" s="879"/>
      <c r="G10" s="879"/>
      <c r="H10" s="879"/>
      <c r="I10" s="879"/>
      <c r="J10" s="879"/>
      <c r="K10" s="879"/>
      <c r="L10" s="879"/>
      <c r="M10" s="879"/>
      <c r="N10" s="879"/>
      <c r="O10" s="879"/>
      <c r="P10" s="879"/>
      <c r="Q10" s="879"/>
      <c r="R10" s="879"/>
      <c r="S10" s="879"/>
      <c r="T10" s="879"/>
      <c r="U10" s="879"/>
      <c r="V10" s="879"/>
      <c r="W10" s="879"/>
      <c r="X10" s="879"/>
      <c r="Y10" s="879"/>
      <c r="Z10" s="879"/>
      <c r="AA10" s="879"/>
      <c r="AB10" s="879"/>
      <c r="AC10" s="879"/>
      <c r="AD10" s="879"/>
      <c r="AE10" s="879"/>
      <c r="AF10" s="879"/>
      <c r="AG10" s="879"/>
      <c r="AH10" s="879"/>
      <c r="AI10" s="879"/>
      <c r="AJ10" s="879"/>
      <c r="AK10" s="879"/>
      <c r="AL10" s="879"/>
      <c r="AM10" s="879"/>
      <c r="AN10" s="879"/>
      <c r="AO10" s="879"/>
      <c r="AP10" s="879"/>
      <c r="AQ10" s="879"/>
      <c r="AR10" s="879"/>
      <c r="AS10" s="879"/>
      <c r="AT10" s="879"/>
      <c r="AU10" s="879"/>
      <c r="AV10" s="879"/>
      <c r="AW10" s="879"/>
      <c r="AX10" s="879"/>
      <c r="AY10" s="879"/>
      <c r="AZ10" s="879"/>
      <c r="BA10" s="879"/>
      <c r="BB10" s="879"/>
      <c r="BC10" s="879"/>
      <c r="BD10" s="879"/>
      <c r="BE10" s="879"/>
      <c r="BF10" s="879"/>
      <c r="BG10" s="879"/>
      <c r="BH10" s="879"/>
      <c r="BI10" s="879"/>
      <c r="BJ10" s="879"/>
      <c r="BK10" s="879"/>
      <c r="BL10" s="879"/>
      <c r="BM10" s="879"/>
      <c r="BN10" s="879"/>
      <c r="BO10" s="879"/>
      <c r="BP10" s="879"/>
      <c r="BQ10" s="879"/>
      <c r="BR10" s="879"/>
      <c r="BS10" s="879"/>
      <c r="BT10" s="879"/>
      <c r="BU10" s="879"/>
    </row>
    <row r="11" spans="1:73" x14ac:dyDescent="0.25">
      <c r="A11" s="879"/>
      <c r="B11" s="1642" t="s">
        <v>1258</v>
      </c>
      <c r="C11" s="1642"/>
      <c r="D11" s="885" t="s">
        <v>22</v>
      </c>
      <c r="E11" s="1140" t="str">
        <f>IF(RunRiskAnalysis="Yes","          Please click Update Charts and Risk Analysis button before using results below","")</f>
        <v xml:space="preserve">          Please click Update Charts and Risk Analysis button before using results below</v>
      </c>
      <c r="F11" s="879"/>
      <c r="H11" s="879"/>
      <c r="I11" s="879"/>
      <c r="J11" s="879"/>
      <c r="K11" s="879"/>
      <c r="L11" s="879"/>
      <c r="M11" s="879"/>
      <c r="N11" s="879"/>
      <c r="O11" s="879"/>
      <c r="P11" s="879"/>
      <c r="Q11" s="879"/>
      <c r="R11" s="879"/>
      <c r="S11" s="879"/>
      <c r="T11" s="879"/>
      <c r="U11" s="879"/>
      <c r="V11" s="879"/>
      <c r="W11" s="879"/>
      <c r="X11" s="879"/>
      <c r="Y11" s="879"/>
      <c r="Z11" s="879"/>
      <c r="AA11" s="879"/>
      <c r="AB11" s="879"/>
      <c r="AC11" s="879"/>
      <c r="AD11" s="879"/>
      <c r="AE11" s="879"/>
      <c r="AF11" s="879"/>
      <c r="AG11" s="879"/>
      <c r="AH11" s="879"/>
      <c r="AI11" s="879"/>
      <c r="AJ11" s="879"/>
      <c r="AK11" s="879"/>
      <c r="AL11" s="879"/>
      <c r="AM11" s="879"/>
      <c r="AN11" s="879"/>
      <c r="AO11" s="879"/>
      <c r="AP11" s="879"/>
      <c r="AQ11" s="879"/>
      <c r="AR11" s="879"/>
      <c r="AS11" s="879"/>
      <c r="AT11" s="879"/>
      <c r="AU11" s="879"/>
      <c r="AV11" s="879"/>
      <c r="AW11" s="879"/>
      <c r="AX11" s="879"/>
      <c r="AY11" s="879"/>
      <c r="AZ11" s="879"/>
      <c r="BA11" s="879"/>
      <c r="BB11" s="879"/>
      <c r="BC11" s="879"/>
      <c r="BD11" s="879"/>
      <c r="BE11" s="879"/>
      <c r="BF11" s="879"/>
      <c r="BG11" s="879"/>
      <c r="BH11" s="879"/>
      <c r="BI11" s="879"/>
      <c r="BJ11" s="879"/>
      <c r="BK11" s="879"/>
      <c r="BL11" s="879"/>
      <c r="BM11" s="879"/>
      <c r="BN11" s="879"/>
      <c r="BO11" s="879"/>
      <c r="BP11" s="879"/>
      <c r="BQ11" s="879"/>
      <c r="BR11" s="879"/>
      <c r="BS11" s="879"/>
      <c r="BT11" s="879"/>
      <c r="BU11" s="879"/>
    </row>
    <row r="12" spans="1:73" ht="12.75" customHeight="1" x14ac:dyDescent="0.25">
      <c r="A12" s="879"/>
      <c r="B12" s="879"/>
      <c r="C12" s="879"/>
      <c r="D12" s="879"/>
      <c r="E12" s="879"/>
      <c r="F12" s="879"/>
      <c r="G12" s="879"/>
      <c r="H12" s="879"/>
      <c r="I12" s="879"/>
      <c r="J12" s="879"/>
      <c r="K12" s="879"/>
      <c r="L12" s="879"/>
      <c r="M12" s="879"/>
      <c r="N12" s="879"/>
      <c r="P12" s="1642" t="s">
        <v>1224</v>
      </c>
      <c r="Q12" s="1642"/>
      <c r="R12" s="1643" t="s">
        <v>1247</v>
      </c>
      <c r="S12" s="1643"/>
      <c r="T12" s="1643"/>
      <c r="U12" s="1643"/>
      <c r="V12" s="879"/>
      <c r="W12" s="879"/>
      <c r="X12" s="879"/>
      <c r="Y12" s="879"/>
      <c r="Z12" s="879"/>
      <c r="AA12" s="879"/>
      <c r="AB12" s="879"/>
      <c r="AC12" s="879"/>
      <c r="AD12" s="879"/>
      <c r="AE12" s="879"/>
      <c r="AF12" s="879"/>
      <c r="AG12" s="879"/>
      <c r="AH12" s="879"/>
      <c r="AI12" s="879"/>
      <c r="AJ12" s="879"/>
      <c r="AK12" s="879"/>
      <c r="AL12" s="879"/>
      <c r="AM12" s="879"/>
      <c r="AN12" s="879"/>
      <c r="AO12" s="879"/>
      <c r="AP12" s="879"/>
      <c r="AQ12" s="879"/>
      <c r="AR12" s="879"/>
      <c r="AS12" s="879"/>
      <c r="AT12" s="879"/>
      <c r="AU12" s="879"/>
      <c r="AV12" s="879"/>
      <c r="AW12" s="879"/>
      <c r="AX12" s="879"/>
      <c r="AY12" s="879"/>
      <c r="AZ12" s="879"/>
      <c r="BA12" s="879"/>
      <c r="BB12" s="879"/>
      <c r="BC12" s="879"/>
      <c r="BD12" s="879"/>
      <c r="BE12" s="879"/>
      <c r="BF12" s="879"/>
      <c r="BG12" s="879"/>
      <c r="BH12" s="879"/>
      <c r="BI12" s="879"/>
      <c r="BJ12" s="879"/>
      <c r="BK12" s="879"/>
      <c r="BL12" s="879"/>
      <c r="BM12" s="879"/>
      <c r="BN12" s="879"/>
      <c r="BO12" s="879"/>
      <c r="BP12" s="879"/>
      <c r="BQ12" s="879"/>
      <c r="BR12" s="879"/>
      <c r="BS12" s="879"/>
      <c r="BT12" s="879"/>
      <c r="BU12" s="879"/>
    </row>
    <row r="13" spans="1:73" x14ac:dyDescent="0.25">
      <c r="A13" s="879"/>
      <c r="B13" s="879"/>
      <c r="C13" s="879"/>
      <c r="D13" s="879"/>
      <c r="E13" s="879"/>
      <c r="F13" s="879"/>
      <c r="G13" s="879"/>
      <c r="H13" s="879"/>
      <c r="I13" s="879"/>
      <c r="J13" s="879"/>
      <c r="K13" s="879"/>
      <c r="L13" s="879"/>
      <c r="M13" s="879"/>
      <c r="N13" s="879"/>
      <c r="O13" s="879"/>
      <c r="P13" s="879"/>
      <c r="Q13" s="879"/>
      <c r="R13" s="879"/>
      <c r="S13" s="879"/>
      <c r="T13" s="879"/>
      <c r="U13" s="879"/>
      <c r="V13" s="890" t="s">
        <v>1210</v>
      </c>
      <c r="W13" s="890" t="s">
        <v>1074</v>
      </c>
      <c r="X13" s="879"/>
      <c r="Y13" s="879"/>
      <c r="Z13" s="879"/>
      <c r="AA13" s="879"/>
      <c r="AB13" s="879"/>
      <c r="AC13" s="879"/>
      <c r="AD13" s="879"/>
      <c r="AE13" s="879"/>
      <c r="AF13" s="879"/>
      <c r="AG13" s="879"/>
      <c r="AH13" s="879"/>
      <c r="AI13" s="879"/>
      <c r="AJ13" s="879"/>
      <c r="AK13" s="879"/>
      <c r="AL13" s="879"/>
      <c r="AM13" s="879"/>
      <c r="AN13" s="879"/>
      <c r="AO13" s="879"/>
      <c r="AP13" s="879"/>
      <c r="AQ13" s="879"/>
      <c r="AR13" s="879"/>
      <c r="AS13" s="879"/>
      <c r="AT13" s="879"/>
      <c r="AU13" s="879"/>
      <c r="AV13" s="879"/>
      <c r="AW13" s="879"/>
      <c r="AX13" s="879"/>
      <c r="AY13" s="879"/>
      <c r="AZ13" s="879"/>
      <c r="BA13" s="879"/>
      <c r="BB13" s="879"/>
      <c r="BC13" s="879"/>
      <c r="BD13" s="879"/>
      <c r="BE13" s="879"/>
      <c r="BF13" s="879"/>
      <c r="BG13" s="879"/>
      <c r="BH13" s="879"/>
      <c r="BI13" s="879"/>
      <c r="BJ13" s="879"/>
      <c r="BK13" s="879"/>
      <c r="BL13" s="879"/>
      <c r="BM13" s="879"/>
      <c r="BN13" s="879"/>
      <c r="BO13" s="879"/>
      <c r="BP13" s="879"/>
      <c r="BQ13" s="879"/>
      <c r="BR13" s="879"/>
      <c r="BS13" s="879"/>
      <c r="BT13" s="879"/>
      <c r="BU13" s="879"/>
    </row>
    <row r="14" spans="1:73" ht="11.25" customHeight="1" x14ac:dyDescent="0.25">
      <c r="A14" s="879"/>
      <c r="B14" s="879"/>
      <c r="C14" s="879"/>
      <c r="D14" s="879"/>
      <c r="E14" s="879"/>
      <c r="F14" s="879"/>
      <c r="G14" s="879"/>
      <c r="H14" s="879"/>
      <c r="I14" s="879"/>
      <c r="J14" s="879"/>
      <c r="K14" s="879"/>
      <c r="L14" s="879"/>
      <c r="M14" s="879"/>
      <c r="N14" s="879"/>
      <c r="O14" s="879"/>
      <c r="P14" s="879"/>
      <c r="Q14" s="879"/>
      <c r="R14" s="879"/>
      <c r="S14" s="879"/>
      <c r="T14" s="879"/>
      <c r="U14" s="879"/>
      <c r="V14" s="892">
        <v>0</v>
      </c>
      <c r="W14" s="893">
        <f ca="1">+MIN(OFFSET($B$251:$B$2250,0,$C$194))*$C$198</f>
        <v>1.5368662528979069</v>
      </c>
      <c r="X14" s="879"/>
      <c r="Y14" s="879"/>
      <c r="Z14" s="879"/>
      <c r="AA14" s="879"/>
      <c r="AB14" s="879"/>
      <c r="AC14" s="879"/>
      <c r="AD14" s="879"/>
      <c r="AE14" s="879"/>
      <c r="AF14" s="879"/>
      <c r="AG14" s="879"/>
      <c r="AH14" s="879"/>
      <c r="AI14" s="879"/>
      <c r="AJ14" s="879"/>
      <c r="AK14" s="879"/>
      <c r="AL14" s="879"/>
      <c r="AM14" s="879"/>
      <c r="AN14" s="879"/>
      <c r="AO14" s="879"/>
      <c r="AP14" s="879"/>
      <c r="AQ14" s="879"/>
      <c r="AR14" s="879"/>
      <c r="AS14" s="879"/>
      <c r="AT14" s="879"/>
      <c r="AU14" s="879"/>
      <c r="AV14" s="879"/>
      <c r="AW14" s="879"/>
      <c r="AX14" s="879"/>
      <c r="AY14" s="879"/>
      <c r="AZ14" s="879"/>
      <c r="BA14" s="879"/>
      <c r="BB14" s="879"/>
      <c r="BC14" s="879"/>
      <c r="BD14" s="879"/>
      <c r="BE14" s="879"/>
      <c r="BF14" s="879"/>
      <c r="BG14" s="879"/>
      <c r="BH14" s="879"/>
      <c r="BI14" s="879"/>
      <c r="BJ14" s="879"/>
      <c r="BK14" s="879"/>
      <c r="BL14" s="879"/>
      <c r="BM14" s="879"/>
      <c r="BN14" s="879"/>
      <c r="BO14" s="879"/>
      <c r="BP14" s="879"/>
      <c r="BQ14" s="879"/>
      <c r="BR14" s="879"/>
      <c r="BS14" s="879"/>
      <c r="BT14" s="879"/>
      <c r="BU14" s="879"/>
    </row>
    <row r="15" spans="1:73" x14ac:dyDescent="0.25">
      <c r="A15" s="879"/>
      <c r="B15" s="879"/>
      <c r="C15" s="879"/>
      <c r="D15" s="879"/>
      <c r="E15" s="879"/>
      <c r="F15" s="879"/>
      <c r="G15" s="879"/>
      <c r="H15" s="879"/>
      <c r="I15" s="879"/>
      <c r="J15" s="879"/>
      <c r="K15" s="879"/>
      <c r="L15" s="879"/>
      <c r="M15" s="879"/>
      <c r="N15" s="879"/>
      <c r="O15" s="879"/>
      <c r="P15" s="879"/>
      <c r="Q15" s="879"/>
      <c r="R15" s="879"/>
      <c r="S15" s="879"/>
      <c r="T15" s="879"/>
      <c r="U15" s="879"/>
      <c r="V15" s="1138">
        <v>0.05</v>
      </c>
      <c r="W15" s="1139">
        <f t="shared" ref="W15:W33" ca="1" si="3">+PERCENTILE(OFFSET($B$251:$B$2250,0,$C$194),V15)*$C$198</f>
        <v>1.5680773406496484</v>
      </c>
      <c r="X15" s="879"/>
      <c r="Y15" s="879"/>
      <c r="Z15" s="879"/>
      <c r="AA15" s="879"/>
      <c r="AB15" s="879"/>
      <c r="AC15" s="879"/>
      <c r="AD15" s="879"/>
      <c r="AE15" s="879"/>
      <c r="AF15" s="879"/>
      <c r="AG15" s="879"/>
      <c r="AH15" s="879"/>
      <c r="AI15" s="879"/>
      <c r="AJ15" s="879"/>
      <c r="AK15" s="879"/>
      <c r="AL15" s="879"/>
      <c r="AM15" s="879"/>
      <c r="AN15" s="879"/>
      <c r="AO15" s="879"/>
      <c r="AP15" s="879"/>
      <c r="AQ15" s="879"/>
      <c r="AR15" s="879"/>
      <c r="AS15" s="879"/>
      <c r="AT15" s="879"/>
      <c r="AU15" s="879"/>
      <c r="AV15" s="879"/>
      <c r="AW15" s="879"/>
      <c r="AX15" s="879"/>
      <c r="AY15" s="879"/>
      <c r="AZ15" s="879"/>
      <c r="BA15" s="879"/>
      <c r="BB15" s="879"/>
      <c r="BC15" s="879"/>
      <c r="BD15" s="879"/>
      <c r="BE15" s="879"/>
      <c r="BF15" s="879"/>
      <c r="BG15" s="879"/>
      <c r="BH15" s="879"/>
      <c r="BI15" s="879"/>
      <c r="BJ15" s="879"/>
      <c r="BK15" s="879"/>
      <c r="BL15" s="879"/>
      <c r="BM15" s="879"/>
      <c r="BN15" s="879"/>
      <c r="BO15" s="879"/>
      <c r="BP15" s="879"/>
      <c r="BQ15" s="879"/>
      <c r="BR15" s="879"/>
      <c r="BS15" s="879"/>
      <c r="BT15" s="879"/>
      <c r="BU15" s="879"/>
    </row>
    <row r="16" spans="1:73" x14ac:dyDescent="0.25">
      <c r="A16" s="879"/>
      <c r="B16" s="880"/>
      <c r="C16" s="879"/>
      <c r="D16" s="879"/>
      <c r="E16" s="879"/>
      <c r="F16" s="879"/>
      <c r="G16" s="879"/>
      <c r="H16" s="879"/>
      <c r="I16" s="879"/>
      <c r="J16" s="879"/>
      <c r="K16" s="879"/>
      <c r="L16" s="879"/>
      <c r="M16" s="879"/>
      <c r="N16" s="879"/>
      <c r="O16" s="879"/>
      <c r="P16" s="879"/>
      <c r="Q16" s="879"/>
      <c r="R16" s="879"/>
      <c r="S16" s="879"/>
      <c r="T16" s="879"/>
      <c r="U16" s="879"/>
      <c r="V16" s="1137">
        <f t="shared" ref="V16:V33" si="4">+V15+0.05</f>
        <v>0.1</v>
      </c>
      <c r="W16" s="893">
        <f t="shared" ca="1" si="3"/>
        <v>1.5764446481512935</v>
      </c>
      <c r="X16" s="879"/>
      <c r="Y16" s="879"/>
      <c r="Z16" s="879"/>
      <c r="AA16" s="879"/>
      <c r="AB16" s="879"/>
      <c r="AC16" s="879"/>
      <c r="AD16" s="879"/>
      <c r="AE16" s="879"/>
      <c r="AF16" s="879"/>
      <c r="AG16" s="879"/>
      <c r="AH16" s="879"/>
      <c r="AI16" s="879"/>
      <c r="AJ16" s="879"/>
      <c r="AK16" s="879"/>
      <c r="AL16" s="879"/>
      <c r="AM16" s="879"/>
      <c r="AN16" s="879"/>
      <c r="AO16" s="879"/>
      <c r="AP16" s="879"/>
      <c r="AQ16" s="879"/>
      <c r="AR16" s="879"/>
      <c r="AS16" s="879"/>
      <c r="AT16" s="879"/>
      <c r="AU16" s="879"/>
      <c r="AV16" s="879"/>
      <c r="AW16" s="879"/>
      <c r="AX16" s="879"/>
      <c r="AY16" s="879"/>
      <c r="AZ16" s="879"/>
      <c r="BA16" s="879"/>
      <c r="BB16" s="879"/>
      <c r="BC16" s="879"/>
      <c r="BD16" s="879"/>
      <c r="BE16" s="879"/>
      <c r="BF16" s="879"/>
      <c r="BG16" s="879"/>
      <c r="BH16" s="879"/>
      <c r="BI16" s="879"/>
      <c r="BJ16" s="879"/>
      <c r="BK16" s="879"/>
      <c r="BL16" s="879"/>
      <c r="BM16" s="879"/>
      <c r="BN16" s="879"/>
      <c r="BO16" s="879"/>
      <c r="BP16" s="879"/>
      <c r="BQ16" s="879"/>
      <c r="BR16" s="879"/>
      <c r="BS16" s="879"/>
      <c r="BT16" s="879"/>
      <c r="BU16" s="879"/>
    </row>
    <row r="17" spans="1:73" x14ac:dyDescent="0.25">
      <c r="A17" s="879"/>
      <c r="B17" s="879"/>
      <c r="C17" s="879"/>
      <c r="D17" s="879"/>
      <c r="E17" s="879"/>
      <c r="F17" s="879"/>
      <c r="G17" s="879"/>
      <c r="H17" s="879"/>
      <c r="I17" s="879"/>
      <c r="J17" s="879"/>
      <c r="K17" s="879"/>
      <c r="L17" s="879"/>
      <c r="M17" s="879"/>
      <c r="N17" s="879"/>
      <c r="O17" s="879"/>
      <c r="P17" s="879"/>
      <c r="Q17" s="879"/>
      <c r="R17" s="879"/>
      <c r="S17" s="879"/>
      <c r="T17" s="879"/>
      <c r="U17" s="879"/>
      <c r="V17" s="1137">
        <f t="shared" si="4"/>
        <v>0.15000000000000002</v>
      </c>
      <c r="W17" s="893">
        <f t="shared" ca="1" si="3"/>
        <v>1.5832986757061869</v>
      </c>
      <c r="X17" s="879"/>
      <c r="Y17" s="879"/>
      <c r="Z17" s="879"/>
      <c r="AA17" s="879"/>
      <c r="AB17" s="879"/>
      <c r="AC17" s="879"/>
      <c r="AD17" s="879"/>
      <c r="AE17" s="879"/>
      <c r="AF17" s="879"/>
      <c r="AG17" s="879"/>
      <c r="AH17" s="879"/>
      <c r="AI17" s="879"/>
      <c r="AJ17" s="879"/>
      <c r="AK17" s="879"/>
      <c r="AL17" s="879"/>
      <c r="AM17" s="879"/>
      <c r="AN17" s="879"/>
      <c r="AO17" s="879"/>
      <c r="AP17" s="879"/>
      <c r="AQ17" s="879"/>
      <c r="AR17" s="879"/>
      <c r="AS17" s="879"/>
      <c r="AT17" s="879"/>
      <c r="AU17" s="879"/>
      <c r="AV17" s="879"/>
      <c r="AW17" s="879"/>
      <c r="AX17" s="879"/>
      <c r="AY17" s="879"/>
      <c r="AZ17" s="879"/>
      <c r="BA17" s="879"/>
      <c r="BB17" s="879"/>
      <c r="BC17" s="879"/>
      <c r="BD17" s="879"/>
      <c r="BE17" s="879"/>
      <c r="BF17" s="879"/>
      <c r="BG17" s="879"/>
      <c r="BH17" s="879"/>
      <c r="BI17" s="879"/>
      <c r="BJ17" s="879"/>
      <c r="BK17" s="879"/>
      <c r="BL17" s="879"/>
      <c r="BM17" s="879"/>
      <c r="BN17" s="879"/>
      <c r="BO17" s="879"/>
      <c r="BP17" s="879"/>
      <c r="BQ17" s="879"/>
      <c r="BR17" s="879"/>
      <c r="BS17" s="879"/>
      <c r="BT17" s="879"/>
      <c r="BU17" s="879"/>
    </row>
    <row r="18" spans="1:73" x14ac:dyDescent="0.25">
      <c r="A18" s="879"/>
      <c r="B18" s="879"/>
      <c r="C18" s="879"/>
      <c r="D18" s="879"/>
      <c r="E18" s="879"/>
      <c r="F18" s="879"/>
      <c r="G18" s="879"/>
      <c r="H18" s="879"/>
      <c r="I18" s="879"/>
      <c r="J18" s="879"/>
      <c r="K18" s="879"/>
      <c r="L18" s="879"/>
      <c r="M18" s="879"/>
      <c r="N18" s="879"/>
      <c r="O18" s="879"/>
      <c r="P18" s="879"/>
      <c r="Q18" s="879"/>
      <c r="R18" s="879"/>
      <c r="S18" s="879"/>
      <c r="T18" s="879"/>
      <c r="U18" s="879"/>
      <c r="V18" s="1137">
        <f t="shared" si="4"/>
        <v>0.2</v>
      </c>
      <c r="W18" s="893">
        <f t="shared" ca="1" si="3"/>
        <v>1.5884053348034479</v>
      </c>
      <c r="X18" s="879"/>
      <c r="Y18" s="879"/>
      <c r="Z18" s="879"/>
      <c r="AA18" s="879"/>
      <c r="AB18" s="879"/>
      <c r="AC18" s="879"/>
      <c r="AD18" s="879"/>
      <c r="AE18" s="879"/>
      <c r="AF18" s="879"/>
      <c r="AG18" s="879"/>
      <c r="AH18" s="879"/>
      <c r="AI18" s="879"/>
      <c r="AJ18" s="879"/>
      <c r="AK18" s="879"/>
      <c r="AL18" s="879"/>
      <c r="AM18" s="879"/>
      <c r="AN18" s="879"/>
      <c r="AO18" s="879"/>
      <c r="AP18" s="879"/>
      <c r="AQ18" s="879"/>
      <c r="AR18" s="879"/>
      <c r="AS18" s="879"/>
      <c r="AT18" s="879"/>
      <c r="AU18" s="879"/>
      <c r="AV18" s="879"/>
      <c r="AW18" s="879"/>
      <c r="AX18" s="879"/>
      <c r="AY18" s="879"/>
      <c r="AZ18" s="879"/>
      <c r="BA18" s="879"/>
      <c r="BB18" s="879"/>
      <c r="BC18" s="879"/>
      <c r="BD18" s="879"/>
      <c r="BE18" s="879"/>
      <c r="BF18" s="879"/>
      <c r="BG18" s="879"/>
      <c r="BH18" s="879"/>
      <c r="BI18" s="879"/>
      <c r="BJ18" s="879"/>
      <c r="BK18" s="879"/>
      <c r="BL18" s="879"/>
      <c r="BM18" s="879"/>
      <c r="BN18" s="879"/>
      <c r="BO18" s="879"/>
      <c r="BP18" s="879"/>
      <c r="BQ18" s="879"/>
      <c r="BR18" s="879"/>
      <c r="BS18" s="879"/>
      <c r="BT18" s="879"/>
      <c r="BU18" s="879"/>
    </row>
    <row r="19" spans="1:73" x14ac:dyDescent="0.25">
      <c r="A19" s="879"/>
      <c r="B19" s="879"/>
      <c r="C19" s="879"/>
      <c r="D19" s="879"/>
      <c r="E19" s="879"/>
      <c r="F19" s="879"/>
      <c r="G19" s="879"/>
      <c r="H19" s="879"/>
      <c r="I19" s="879"/>
      <c r="J19" s="879"/>
      <c r="K19" s="879"/>
      <c r="L19" s="879"/>
      <c r="M19" s="879"/>
      <c r="N19" s="879"/>
      <c r="O19" s="879"/>
      <c r="P19" s="879"/>
      <c r="Q19" s="879"/>
      <c r="R19" s="879"/>
      <c r="S19" s="879"/>
      <c r="T19" s="879"/>
      <c r="U19" s="879"/>
      <c r="V19" s="1137">
        <f t="shared" si="4"/>
        <v>0.25</v>
      </c>
      <c r="W19" s="893">
        <f t="shared" ca="1" si="3"/>
        <v>1.5933206879630268</v>
      </c>
      <c r="X19" s="879"/>
      <c r="Y19" s="879"/>
      <c r="Z19" s="879"/>
      <c r="AA19" s="879"/>
      <c r="AB19" s="879"/>
      <c r="AC19" s="879"/>
      <c r="AD19" s="879"/>
      <c r="AE19" s="879"/>
      <c r="AF19" s="879"/>
      <c r="AG19" s="879"/>
      <c r="AH19" s="879"/>
      <c r="AI19" s="879"/>
      <c r="AJ19" s="879"/>
      <c r="AK19" s="879"/>
      <c r="AL19" s="879"/>
      <c r="AM19" s="879"/>
      <c r="AN19" s="879"/>
      <c r="AO19" s="879"/>
      <c r="AP19" s="879"/>
      <c r="AQ19" s="879"/>
      <c r="AR19" s="879"/>
      <c r="AS19" s="879"/>
      <c r="AT19" s="879"/>
      <c r="AU19" s="879"/>
      <c r="AV19" s="879"/>
      <c r="AW19" s="879"/>
      <c r="AX19" s="879"/>
      <c r="AY19" s="879"/>
      <c r="AZ19" s="879"/>
      <c r="BA19" s="879"/>
      <c r="BB19" s="879"/>
      <c r="BC19" s="879"/>
      <c r="BD19" s="879"/>
      <c r="BE19" s="879"/>
      <c r="BF19" s="879"/>
      <c r="BG19" s="879"/>
      <c r="BH19" s="879"/>
      <c r="BI19" s="879"/>
      <c r="BJ19" s="879"/>
      <c r="BK19" s="879"/>
      <c r="BL19" s="879"/>
      <c r="BM19" s="879"/>
      <c r="BN19" s="879"/>
      <c r="BO19" s="879"/>
      <c r="BP19" s="879"/>
      <c r="BQ19" s="879"/>
      <c r="BR19" s="879"/>
      <c r="BS19" s="879"/>
      <c r="BT19" s="879"/>
      <c r="BU19" s="879"/>
    </row>
    <row r="20" spans="1:73" x14ac:dyDescent="0.25">
      <c r="A20" s="879"/>
      <c r="B20" s="879"/>
      <c r="C20" s="879"/>
      <c r="D20" s="879"/>
      <c r="E20" s="879"/>
      <c r="F20" s="879"/>
      <c r="G20" s="879"/>
      <c r="H20" s="879"/>
      <c r="I20" s="879"/>
      <c r="J20" s="879"/>
      <c r="K20" s="879"/>
      <c r="L20" s="879"/>
      <c r="M20" s="879"/>
      <c r="N20" s="879"/>
      <c r="O20" s="879"/>
      <c r="P20" s="879"/>
      <c r="Q20" s="879"/>
      <c r="R20" s="879"/>
      <c r="S20" s="879"/>
      <c r="T20" s="879"/>
      <c r="U20" s="879"/>
      <c r="V20" s="1137">
        <f t="shared" si="4"/>
        <v>0.3</v>
      </c>
      <c r="W20" s="893">
        <f t="shared" ca="1" si="3"/>
        <v>1.597510167234464</v>
      </c>
      <c r="X20" s="879"/>
      <c r="Y20" s="879"/>
      <c r="Z20" s="879"/>
      <c r="AA20" s="879"/>
      <c r="AB20" s="879"/>
      <c r="AC20" s="879"/>
      <c r="AD20" s="879"/>
      <c r="AE20" s="879"/>
      <c r="AF20" s="879"/>
      <c r="AG20" s="879"/>
      <c r="AH20" s="879"/>
      <c r="AI20" s="879"/>
      <c r="AJ20" s="879"/>
      <c r="AK20" s="879"/>
      <c r="AL20" s="879"/>
      <c r="AM20" s="879"/>
      <c r="AN20" s="879"/>
      <c r="AO20" s="879"/>
      <c r="AP20" s="879"/>
      <c r="AQ20" s="879"/>
      <c r="AR20" s="879"/>
      <c r="AS20" s="879"/>
      <c r="AT20" s="879"/>
      <c r="AU20" s="879"/>
      <c r="AV20" s="879"/>
      <c r="AW20" s="879"/>
      <c r="AX20" s="879"/>
      <c r="AY20" s="879"/>
      <c r="AZ20" s="879"/>
      <c r="BA20" s="879"/>
      <c r="BB20" s="879"/>
      <c r="BC20" s="879"/>
      <c r="BD20" s="879"/>
      <c r="BE20" s="879"/>
      <c r="BF20" s="879"/>
      <c r="BG20" s="879"/>
      <c r="BH20" s="879"/>
      <c r="BI20" s="879"/>
      <c r="BJ20" s="879"/>
      <c r="BK20" s="879"/>
      <c r="BL20" s="879"/>
      <c r="BM20" s="879"/>
      <c r="BN20" s="879"/>
      <c r="BO20" s="879"/>
      <c r="BP20" s="879"/>
      <c r="BQ20" s="879"/>
      <c r="BR20" s="879"/>
      <c r="BS20" s="879"/>
      <c r="BT20" s="879"/>
      <c r="BU20" s="879"/>
    </row>
    <row r="21" spans="1:73" x14ac:dyDescent="0.25">
      <c r="A21" s="879"/>
      <c r="B21" s="879"/>
      <c r="C21" s="879"/>
      <c r="D21" s="879"/>
      <c r="E21" s="879"/>
      <c r="F21" s="879"/>
      <c r="G21" s="879"/>
      <c r="H21" s="879"/>
      <c r="I21" s="879"/>
      <c r="J21" s="879"/>
      <c r="K21" s="879"/>
      <c r="L21" s="879"/>
      <c r="M21" s="879"/>
      <c r="N21" s="879"/>
      <c r="O21" s="879"/>
      <c r="P21" s="879"/>
      <c r="Q21" s="879"/>
      <c r="R21" s="879"/>
      <c r="S21" s="879"/>
      <c r="T21" s="879"/>
      <c r="U21" s="879"/>
      <c r="V21" s="1137">
        <f t="shared" si="4"/>
        <v>0.35</v>
      </c>
      <c r="W21" s="893">
        <f t="shared" ca="1" si="3"/>
        <v>1.6022664303623908</v>
      </c>
      <c r="X21" s="879"/>
      <c r="Y21" s="879"/>
      <c r="Z21" s="879"/>
      <c r="AA21" s="879"/>
      <c r="AB21" s="879"/>
      <c r="AC21" s="879"/>
      <c r="AD21" s="879"/>
      <c r="AE21" s="879"/>
      <c r="AF21" s="879"/>
      <c r="AG21" s="879"/>
      <c r="AH21" s="879"/>
      <c r="AI21" s="879"/>
      <c r="AJ21" s="879"/>
      <c r="AK21" s="879"/>
      <c r="AL21" s="879"/>
      <c r="AM21" s="879"/>
      <c r="AN21" s="879"/>
      <c r="AO21" s="879"/>
      <c r="AP21" s="879"/>
      <c r="AQ21" s="879"/>
      <c r="AR21" s="879"/>
      <c r="AS21" s="879"/>
      <c r="AT21" s="879"/>
      <c r="AU21" s="879"/>
      <c r="AV21" s="879"/>
      <c r="AW21" s="879"/>
      <c r="AX21" s="879"/>
      <c r="AY21" s="879"/>
      <c r="AZ21" s="879"/>
      <c r="BA21" s="879"/>
      <c r="BB21" s="879"/>
      <c r="BC21" s="879"/>
      <c r="BD21" s="879"/>
      <c r="BE21" s="879"/>
      <c r="BF21" s="879"/>
      <c r="BG21" s="879"/>
      <c r="BH21" s="879"/>
      <c r="BI21" s="879"/>
      <c r="BJ21" s="879"/>
      <c r="BK21" s="879"/>
      <c r="BL21" s="879"/>
      <c r="BM21" s="879"/>
      <c r="BN21" s="879"/>
      <c r="BO21" s="879"/>
      <c r="BP21" s="879"/>
      <c r="BQ21" s="879"/>
      <c r="BR21" s="879"/>
      <c r="BS21" s="879"/>
      <c r="BT21" s="879"/>
      <c r="BU21" s="879"/>
    </row>
    <row r="22" spans="1:73" x14ac:dyDescent="0.25">
      <c r="A22" s="879"/>
      <c r="B22" s="879"/>
      <c r="C22" s="879"/>
      <c r="D22" s="879"/>
      <c r="E22" s="879"/>
      <c r="F22" s="879"/>
      <c r="G22" s="879"/>
      <c r="H22" s="879"/>
      <c r="I22" s="879"/>
      <c r="J22" s="879"/>
      <c r="K22" s="879"/>
      <c r="L22" s="879"/>
      <c r="M22" s="879"/>
      <c r="N22" s="879"/>
      <c r="O22" s="879"/>
      <c r="P22" s="879"/>
      <c r="Q22" s="879"/>
      <c r="R22" s="879"/>
      <c r="S22" s="879"/>
      <c r="T22" s="879"/>
      <c r="U22" s="879"/>
      <c r="V22" s="1137">
        <f t="shared" si="4"/>
        <v>0.39999999999999997</v>
      </c>
      <c r="W22" s="893">
        <f t="shared" ca="1" si="3"/>
        <v>1.6057772008889832</v>
      </c>
      <c r="X22" s="879"/>
      <c r="Y22" s="879"/>
      <c r="Z22" s="879"/>
      <c r="AA22" s="879"/>
      <c r="AB22" s="879"/>
      <c r="AC22" s="879"/>
      <c r="AD22" s="879"/>
      <c r="AE22" s="879"/>
      <c r="AF22" s="879"/>
      <c r="AG22" s="879"/>
      <c r="AH22" s="879"/>
      <c r="AI22" s="879"/>
      <c r="AJ22" s="879"/>
      <c r="AK22" s="879"/>
      <c r="AL22" s="879"/>
      <c r="AM22" s="879"/>
      <c r="AN22" s="879"/>
      <c r="AO22" s="879"/>
      <c r="AP22" s="879"/>
      <c r="AQ22" s="879"/>
      <c r="AR22" s="879"/>
      <c r="AS22" s="879"/>
      <c r="AT22" s="879"/>
      <c r="AU22" s="879"/>
      <c r="AV22" s="879"/>
      <c r="AW22" s="879"/>
      <c r="AX22" s="879"/>
      <c r="AY22" s="879"/>
      <c r="AZ22" s="879"/>
      <c r="BA22" s="879"/>
      <c r="BB22" s="879"/>
      <c r="BC22" s="879"/>
      <c r="BD22" s="879"/>
      <c r="BE22" s="879"/>
      <c r="BF22" s="879"/>
      <c r="BG22" s="879"/>
      <c r="BH22" s="879"/>
      <c r="BI22" s="879"/>
      <c r="BJ22" s="879"/>
      <c r="BK22" s="879"/>
      <c r="BL22" s="879"/>
      <c r="BM22" s="879"/>
      <c r="BN22" s="879"/>
      <c r="BO22" s="879"/>
      <c r="BP22" s="879"/>
      <c r="BQ22" s="879"/>
      <c r="BR22" s="879"/>
      <c r="BS22" s="879"/>
      <c r="BT22" s="879"/>
      <c r="BU22" s="879"/>
    </row>
    <row r="23" spans="1:73" x14ac:dyDescent="0.25">
      <c r="A23" s="879"/>
      <c r="B23" s="879"/>
      <c r="C23" s="879"/>
      <c r="D23" s="879"/>
      <c r="E23" s="879"/>
      <c r="F23" s="879"/>
      <c r="G23" s="879"/>
      <c r="H23" s="879"/>
      <c r="I23" s="879"/>
      <c r="J23" s="879"/>
      <c r="K23" s="879"/>
      <c r="L23" s="879"/>
      <c r="M23" s="879"/>
      <c r="N23" s="879"/>
      <c r="O23" s="879"/>
      <c r="P23" s="879"/>
      <c r="Q23" s="879"/>
      <c r="R23" s="879"/>
      <c r="S23" s="879"/>
      <c r="T23" s="879"/>
      <c r="U23" s="879"/>
      <c r="V23" s="1137">
        <f t="shared" si="4"/>
        <v>0.44999999999999996</v>
      </c>
      <c r="W23" s="893">
        <f t="shared" ca="1" si="3"/>
        <v>1.6089081034973614</v>
      </c>
      <c r="X23" s="879"/>
      <c r="Y23" s="879"/>
      <c r="Z23" s="879"/>
      <c r="AA23" s="879"/>
      <c r="AB23" s="879"/>
      <c r="AC23" s="879"/>
      <c r="AD23" s="879"/>
      <c r="AE23" s="879"/>
      <c r="AF23" s="879"/>
      <c r="AG23" s="879"/>
      <c r="AH23" s="879"/>
      <c r="AI23" s="879"/>
      <c r="AJ23" s="879"/>
      <c r="AK23" s="879"/>
      <c r="AL23" s="879"/>
      <c r="AM23" s="879"/>
      <c r="AN23" s="879"/>
      <c r="AO23" s="879"/>
      <c r="AP23" s="879"/>
      <c r="AQ23" s="879"/>
      <c r="AR23" s="879"/>
      <c r="AS23" s="879"/>
      <c r="AT23" s="879"/>
      <c r="AU23" s="879"/>
      <c r="AV23" s="879"/>
      <c r="AW23" s="879"/>
      <c r="AX23" s="879"/>
      <c r="AY23" s="879"/>
      <c r="AZ23" s="879"/>
      <c r="BA23" s="879"/>
      <c r="BB23" s="879"/>
      <c r="BC23" s="879"/>
      <c r="BD23" s="879"/>
      <c r="BE23" s="879"/>
      <c r="BF23" s="879"/>
      <c r="BG23" s="879"/>
      <c r="BH23" s="879"/>
      <c r="BI23" s="879"/>
      <c r="BJ23" s="879"/>
      <c r="BK23" s="879"/>
      <c r="BL23" s="879"/>
      <c r="BM23" s="879"/>
      <c r="BN23" s="879"/>
      <c r="BO23" s="879"/>
      <c r="BP23" s="879"/>
      <c r="BQ23" s="879"/>
      <c r="BR23" s="879"/>
      <c r="BS23" s="879"/>
      <c r="BT23" s="879"/>
      <c r="BU23" s="879"/>
    </row>
    <row r="24" spans="1:73" x14ac:dyDescent="0.25">
      <c r="A24" s="879"/>
      <c r="B24" s="879"/>
      <c r="C24" s="879"/>
      <c r="D24" s="879"/>
      <c r="E24" s="879"/>
      <c r="F24" s="879"/>
      <c r="G24" s="879"/>
      <c r="H24" s="879"/>
      <c r="I24" s="879"/>
      <c r="J24" s="879"/>
      <c r="K24" s="879"/>
      <c r="L24" s="879"/>
      <c r="M24" s="879"/>
      <c r="N24" s="879"/>
      <c r="O24" s="879"/>
      <c r="P24" s="879"/>
      <c r="Q24" s="879"/>
      <c r="R24" s="879"/>
      <c r="S24" s="879"/>
      <c r="T24" s="879"/>
      <c r="U24" s="879"/>
      <c r="V24" s="1138">
        <f t="shared" si="4"/>
        <v>0.49999999999999994</v>
      </c>
      <c r="W24" s="1139">
        <f t="shared" ca="1" si="3"/>
        <v>1.6127066243892736</v>
      </c>
      <c r="X24" s="879"/>
      <c r="Y24" s="879"/>
      <c r="Z24" s="879"/>
      <c r="AA24" s="879"/>
      <c r="AB24" s="879"/>
      <c r="AC24" s="879"/>
      <c r="AD24" s="879"/>
      <c r="AE24" s="879"/>
      <c r="AF24" s="879"/>
      <c r="AG24" s="879"/>
      <c r="AH24" s="879"/>
      <c r="AI24" s="879"/>
      <c r="AJ24" s="879"/>
      <c r="AK24" s="879"/>
      <c r="AL24" s="879"/>
      <c r="AM24" s="879"/>
      <c r="AN24" s="879"/>
      <c r="AO24" s="879"/>
      <c r="AP24" s="879"/>
      <c r="AQ24" s="879"/>
      <c r="AR24" s="879"/>
      <c r="AS24" s="879"/>
      <c r="AT24" s="879"/>
      <c r="AU24" s="879"/>
      <c r="AV24" s="879"/>
      <c r="AW24" s="879"/>
      <c r="AX24" s="879"/>
      <c r="AY24" s="879"/>
      <c r="AZ24" s="879"/>
      <c r="BA24" s="879"/>
      <c r="BB24" s="879"/>
      <c r="BC24" s="879"/>
      <c r="BD24" s="879"/>
      <c r="BE24" s="879"/>
      <c r="BF24" s="879"/>
      <c r="BG24" s="879"/>
      <c r="BH24" s="879"/>
      <c r="BI24" s="879"/>
      <c r="BJ24" s="879"/>
      <c r="BK24" s="879"/>
      <c r="BL24" s="879"/>
      <c r="BM24" s="879"/>
      <c r="BN24" s="879"/>
      <c r="BO24" s="879"/>
      <c r="BP24" s="879"/>
      <c r="BQ24" s="879"/>
      <c r="BR24" s="879"/>
      <c r="BS24" s="879"/>
      <c r="BT24" s="879"/>
      <c r="BU24" s="879"/>
    </row>
    <row r="25" spans="1:73" x14ac:dyDescent="0.25">
      <c r="A25" s="879"/>
      <c r="B25" s="879"/>
      <c r="C25" s="879"/>
      <c r="D25" s="879"/>
      <c r="E25" s="879"/>
      <c r="F25" s="879"/>
      <c r="G25" s="879"/>
      <c r="H25" s="879"/>
      <c r="I25" s="879"/>
      <c r="J25" s="879"/>
      <c r="K25" s="879"/>
      <c r="L25" s="879"/>
      <c r="M25" s="879"/>
      <c r="N25" s="879"/>
      <c r="O25" s="879"/>
      <c r="P25" s="879"/>
      <c r="Q25" s="879"/>
      <c r="R25" s="879"/>
      <c r="S25" s="879"/>
      <c r="T25" s="879"/>
      <c r="U25" s="879"/>
      <c r="V25" s="1137">
        <f t="shared" si="4"/>
        <v>0.54999999999999993</v>
      </c>
      <c r="W25" s="893">
        <f t="shared" ca="1" si="3"/>
        <v>1.6162353287812896</v>
      </c>
      <c r="X25" s="879"/>
      <c r="Y25" s="879"/>
      <c r="Z25" s="879"/>
      <c r="AA25" s="879"/>
      <c r="AB25" s="879"/>
      <c r="AC25" s="879"/>
      <c r="AD25" s="879"/>
      <c r="AE25" s="879"/>
      <c r="AF25" s="879"/>
      <c r="AG25" s="879"/>
      <c r="AH25" s="879"/>
      <c r="AI25" s="879"/>
      <c r="AJ25" s="879"/>
      <c r="AK25" s="879"/>
      <c r="AL25" s="879"/>
      <c r="AM25" s="879"/>
      <c r="AN25" s="879"/>
      <c r="AO25" s="879"/>
      <c r="AP25" s="879"/>
      <c r="AQ25" s="879"/>
      <c r="AR25" s="879"/>
      <c r="AS25" s="879"/>
      <c r="AT25" s="879"/>
      <c r="AU25" s="879"/>
      <c r="AV25" s="879"/>
      <c r="AW25" s="879"/>
      <c r="AX25" s="879"/>
      <c r="AY25" s="879"/>
      <c r="AZ25" s="879"/>
      <c r="BA25" s="879"/>
      <c r="BB25" s="879"/>
      <c r="BC25" s="879"/>
      <c r="BD25" s="879"/>
      <c r="BE25" s="879"/>
      <c r="BF25" s="879"/>
      <c r="BG25" s="879"/>
      <c r="BH25" s="879"/>
      <c r="BI25" s="879"/>
      <c r="BJ25" s="879"/>
      <c r="BK25" s="879"/>
      <c r="BL25" s="879"/>
      <c r="BM25" s="879"/>
      <c r="BN25" s="879"/>
      <c r="BO25" s="879"/>
      <c r="BP25" s="879"/>
      <c r="BQ25" s="879"/>
      <c r="BR25" s="879"/>
      <c r="BS25" s="879"/>
      <c r="BT25" s="879"/>
      <c r="BU25" s="879"/>
    </row>
    <row r="26" spans="1:73" x14ac:dyDescent="0.25">
      <c r="A26" s="879"/>
      <c r="B26" s="879"/>
      <c r="C26" s="879"/>
      <c r="D26" s="879"/>
      <c r="E26" s="879"/>
      <c r="F26" s="879"/>
      <c r="G26" s="879"/>
      <c r="H26" s="879"/>
      <c r="I26" s="879"/>
      <c r="J26" s="879"/>
      <c r="K26" s="879"/>
      <c r="L26" s="879"/>
      <c r="M26" s="879"/>
      <c r="N26" s="879"/>
      <c r="O26" s="879"/>
      <c r="P26" s="879"/>
      <c r="Q26" s="879"/>
      <c r="R26" s="879"/>
      <c r="S26" s="879"/>
      <c r="T26" s="879"/>
      <c r="U26" s="879"/>
      <c r="V26" s="1137">
        <f t="shared" si="4"/>
        <v>0.6</v>
      </c>
      <c r="W26" s="893">
        <f t="shared" ca="1" si="3"/>
        <v>1.6202106350811911</v>
      </c>
      <c r="X26" s="879"/>
      <c r="Y26" s="879"/>
      <c r="Z26" s="879"/>
      <c r="AA26" s="879"/>
      <c r="AB26" s="879"/>
      <c r="AC26" s="879"/>
      <c r="AD26" s="879"/>
      <c r="AE26" s="879"/>
      <c r="AF26" s="879"/>
      <c r="AG26" s="879"/>
      <c r="AH26" s="879"/>
      <c r="AI26" s="879"/>
      <c r="AJ26" s="879"/>
      <c r="AK26" s="879"/>
      <c r="AL26" s="879"/>
      <c r="AM26" s="879"/>
      <c r="AN26" s="879"/>
      <c r="AO26" s="879"/>
      <c r="AP26" s="879"/>
      <c r="AQ26" s="879"/>
      <c r="AR26" s="879"/>
      <c r="AS26" s="879"/>
      <c r="AT26" s="879"/>
      <c r="AU26" s="879"/>
      <c r="AV26" s="879"/>
      <c r="AW26" s="879"/>
      <c r="AX26" s="879"/>
      <c r="AY26" s="879"/>
      <c r="AZ26" s="879"/>
      <c r="BA26" s="879"/>
      <c r="BB26" s="879"/>
      <c r="BC26" s="879"/>
      <c r="BD26" s="879"/>
      <c r="BE26" s="879"/>
      <c r="BF26" s="879"/>
      <c r="BG26" s="879"/>
      <c r="BH26" s="879"/>
      <c r="BI26" s="879"/>
      <c r="BJ26" s="879"/>
      <c r="BK26" s="879"/>
      <c r="BL26" s="879"/>
      <c r="BM26" s="879"/>
      <c r="BN26" s="879"/>
      <c r="BO26" s="879"/>
      <c r="BP26" s="879"/>
      <c r="BQ26" s="879"/>
      <c r="BR26" s="879"/>
      <c r="BS26" s="879"/>
      <c r="BT26" s="879"/>
      <c r="BU26" s="879"/>
    </row>
    <row r="27" spans="1:73" x14ac:dyDescent="0.25">
      <c r="A27" s="879"/>
      <c r="B27" s="879"/>
      <c r="C27" s="879"/>
      <c r="D27" s="879"/>
      <c r="E27" s="879"/>
      <c r="F27" s="879"/>
      <c r="G27" s="879"/>
      <c r="H27" s="879"/>
      <c r="I27" s="879"/>
      <c r="J27" s="879"/>
      <c r="K27" s="879"/>
      <c r="L27" s="879"/>
      <c r="M27" s="879"/>
      <c r="N27" s="879"/>
      <c r="O27" s="879"/>
      <c r="P27" s="879"/>
      <c r="Q27" s="879"/>
      <c r="R27" s="879"/>
      <c r="S27" s="879"/>
      <c r="T27" s="879"/>
      <c r="U27" s="879"/>
      <c r="V27" s="1137">
        <f t="shared" si="4"/>
        <v>0.65</v>
      </c>
      <c r="W27" s="893">
        <f t="shared" ca="1" si="3"/>
        <v>1.6239221610975634</v>
      </c>
      <c r="X27" s="879"/>
      <c r="Y27" s="879"/>
      <c r="Z27" s="879"/>
      <c r="AA27" s="879"/>
      <c r="AB27" s="879"/>
      <c r="AC27" s="879"/>
      <c r="AD27" s="879"/>
      <c r="AE27" s="879"/>
      <c r="AF27" s="879"/>
      <c r="AG27" s="879"/>
      <c r="AH27" s="879"/>
      <c r="AI27" s="879"/>
      <c r="AJ27" s="879"/>
      <c r="AK27" s="879"/>
      <c r="AL27" s="879"/>
      <c r="AM27" s="879"/>
      <c r="AN27" s="879"/>
      <c r="AO27" s="879"/>
      <c r="AP27" s="879"/>
      <c r="AQ27" s="879"/>
      <c r="AR27" s="879"/>
      <c r="AS27" s="879"/>
      <c r="AT27" s="879"/>
      <c r="AU27" s="879"/>
      <c r="AV27" s="879"/>
      <c r="AW27" s="879"/>
      <c r="AX27" s="879"/>
      <c r="AY27" s="879"/>
      <c r="AZ27" s="879"/>
      <c r="BA27" s="879"/>
      <c r="BB27" s="879"/>
      <c r="BC27" s="879"/>
      <c r="BD27" s="879"/>
      <c r="BE27" s="879"/>
      <c r="BF27" s="879"/>
      <c r="BG27" s="879"/>
      <c r="BH27" s="879"/>
      <c r="BI27" s="879"/>
      <c r="BJ27" s="879"/>
      <c r="BK27" s="879"/>
      <c r="BL27" s="879"/>
      <c r="BM27" s="879"/>
      <c r="BN27" s="879"/>
      <c r="BO27" s="879"/>
      <c r="BP27" s="879"/>
      <c r="BQ27" s="879"/>
      <c r="BR27" s="879"/>
      <c r="BS27" s="879"/>
      <c r="BT27" s="879"/>
      <c r="BU27" s="879"/>
    </row>
    <row r="28" spans="1:73" x14ac:dyDescent="0.25">
      <c r="A28" s="879"/>
      <c r="B28" s="879"/>
      <c r="C28" s="879"/>
      <c r="D28" s="879"/>
      <c r="E28" s="879"/>
      <c r="F28" s="879"/>
      <c r="G28" s="879"/>
      <c r="H28" s="879"/>
      <c r="I28" s="879"/>
      <c r="J28" s="879"/>
      <c r="K28" s="879"/>
      <c r="L28" s="879"/>
      <c r="M28" s="879"/>
      <c r="N28" s="879"/>
      <c r="O28" s="879"/>
      <c r="P28" s="879"/>
      <c r="Q28" s="879"/>
      <c r="R28" s="879"/>
      <c r="S28" s="879"/>
      <c r="T28" s="879"/>
      <c r="U28" s="879"/>
      <c r="V28" s="1137">
        <f t="shared" si="4"/>
        <v>0.70000000000000007</v>
      </c>
      <c r="W28" s="893">
        <f t="shared" ca="1" si="3"/>
        <v>1.6279495274499824</v>
      </c>
      <c r="X28" s="879"/>
      <c r="Y28" s="879"/>
      <c r="Z28" s="879"/>
      <c r="AA28" s="879"/>
      <c r="AB28" s="879"/>
      <c r="AC28" s="879"/>
      <c r="AD28" s="879"/>
      <c r="AE28" s="879"/>
      <c r="AF28" s="879"/>
      <c r="AG28" s="879"/>
      <c r="AH28" s="879"/>
      <c r="AI28" s="879"/>
      <c r="AJ28" s="879"/>
      <c r="AK28" s="879"/>
      <c r="AL28" s="879"/>
      <c r="AM28" s="879"/>
      <c r="AN28" s="879"/>
      <c r="AO28" s="879"/>
      <c r="AP28" s="879"/>
      <c r="AQ28" s="879"/>
      <c r="AR28" s="879"/>
      <c r="AS28" s="879"/>
      <c r="AT28" s="879"/>
      <c r="AU28" s="879"/>
      <c r="AV28" s="879"/>
      <c r="AW28" s="879"/>
      <c r="AX28" s="879"/>
      <c r="AY28" s="879"/>
      <c r="AZ28" s="879"/>
      <c r="BA28" s="879"/>
      <c r="BB28" s="879"/>
      <c r="BC28" s="879"/>
      <c r="BD28" s="879"/>
      <c r="BE28" s="879"/>
      <c r="BF28" s="879"/>
      <c r="BG28" s="879"/>
      <c r="BH28" s="879"/>
      <c r="BI28" s="879"/>
      <c r="BJ28" s="879"/>
      <c r="BK28" s="879"/>
      <c r="BL28" s="879"/>
      <c r="BM28" s="879"/>
      <c r="BN28" s="879"/>
      <c r="BO28" s="879"/>
      <c r="BP28" s="879"/>
      <c r="BQ28" s="879"/>
      <c r="BR28" s="879"/>
      <c r="BS28" s="879"/>
      <c r="BT28" s="879"/>
      <c r="BU28" s="879"/>
    </row>
    <row r="29" spans="1:73" x14ac:dyDescent="0.25">
      <c r="A29" s="879"/>
      <c r="B29" s="879"/>
      <c r="C29" s="879"/>
      <c r="D29" s="879"/>
      <c r="E29" s="879"/>
      <c r="F29" s="879"/>
      <c r="G29" s="879"/>
      <c r="H29" s="879"/>
      <c r="I29" s="879"/>
      <c r="J29" s="879"/>
      <c r="K29" s="879"/>
      <c r="L29" s="879"/>
      <c r="M29" s="879"/>
      <c r="N29" s="879"/>
      <c r="O29" s="879"/>
      <c r="P29" s="879"/>
      <c r="Q29" s="879"/>
      <c r="R29" s="879"/>
      <c r="S29" s="879"/>
      <c r="T29" s="879"/>
      <c r="U29" s="879"/>
      <c r="V29" s="1137">
        <f t="shared" si="4"/>
        <v>0.75000000000000011</v>
      </c>
      <c r="W29" s="893">
        <f t="shared" ca="1" si="3"/>
        <v>1.6316045644266235</v>
      </c>
      <c r="X29" s="879"/>
      <c r="Y29" s="879"/>
      <c r="Z29" s="879"/>
      <c r="AA29" s="879"/>
      <c r="AB29" s="879"/>
      <c r="AC29" s="879"/>
      <c r="AD29" s="879"/>
      <c r="AE29" s="879"/>
      <c r="AF29" s="879"/>
      <c r="AG29" s="879"/>
      <c r="AH29" s="879"/>
      <c r="AI29" s="879"/>
      <c r="AJ29" s="879"/>
      <c r="AK29" s="879"/>
      <c r="AL29" s="879"/>
      <c r="AM29" s="879"/>
      <c r="AN29" s="879"/>
      <c r="AO29" s="879"/>
      <c r="AP29" s="879"/>
      <c r="AQ29" s="879"/>
      <c r="AR29" s="879"/>
      <c r="AS29" s="879"/>
      <c r="AT29" s="879"/>
      <c r="AU29" s="879"/>
      <c r="AV29" s="879"/>
      <c r="AW29" s="879"/>
      <c r="AX29" s="879"/>
      <c r="AY29" s="879"/>
      <c r="AZ29" s="879"/>
      <c r="BA29" s="879"/>
      <c r="BB29" s="879"/>
      <c r="BC29" s="879"/>
      <c r="BD29" s="879"/>
      <c r="BE29" s="879"/>
      <c r="BF29" s="879"/>
      <c r="BG29" s="879"/>
      <c r="BH29" s="879"/>
      <c r="BI29" s="879"/>
      <c r="BJ29" s="879"/>
      <c r="BK29" s="879"/>
      <c r="BL29" s="879"/>
      <c r="BM29" s="879"/>
      <c r="BN29" s="879"/>
      <c r="BO29" s="879"/>
      <c r="BP29" s="879"/>
      <c r="BQ29" s="879"/>
      <c r="BR29" s="879"/>
      <c r="BS29" s="879"/>
      <c r="BT29" s="879"/>
      <c r="BU29" s="879"/>
    </row>
    <row r="30" spans="1:73" x14ac:dyDescent="0.25">
      <c r="A30" s="879"/>
      <c r="B30" s="879"/>
      <c r="C30" s="879"/>
      <c r="D30" s="879"/>
      <c r="E30" s="879"/>
      <c r="F30" s="880"/>
      <c r="G30" s="879"/>
      <c r="H30" s="879"/>
      <c r="I30" s="879"/>
      <c r="J30" s="879"/>
      <c r="K30" s="879"/>
      <c r="L30" s="879"/>
      <c r="M30" s="879"/>
      <c r="N30" s="879"/>
      <c r="O30" s="879"/>
      <c r="P30" s="879"/>
      <c r="Q30" s="879"/>
      <c r="R30" s="879"/>
      <c r="S30" s="879"/>
      <c r="T30" s="879"/>
      <c r="U30" s="879"/>
      <c r="V30" s="1137">
        <f t="shared" si="4"/>
        <v>0.80000000000000016</v>
      </c>
      <c r="W30" s="893">
        <f t="shared" ca="1" si="3"/>
        <v>1.6356064083522783</v>
      </c>
      <c r="X30" s="879"/>
      <c r="Y30" s="879"/>
      <c r="Z30" s="879"/>
      <c r="AA30" s="879"/>
      <c r="AB30" s="879"/>
      <c r="AC30" s="879"/>
      <c r="AD30" s="879"/>
      <c r="AE30" s="879"/>
      <c r="AF30" s="879"/>
      <c r="AG30" s="879"/>
      <c r="AH30" s="879"/>
      <c r="AI30" s="879"/>
      <c r="AJ30" s="879"/>
      <c r="AK30" s="879"/>
      <c r="AL30" s="879"/>
      <c r="AM30" s="879"/>
      <c r="AN30" s="879"/>
      <c r="AO30" s="879"/>
      <c r="AP30" s="879"/>
      <c r="AQ30" s="879"/>
      <c r="AR30" s="879"/>
      <c r="AS30" s="879"/>
      <c r="AT30" s="879"/>
      <c r="AU30" s="879"/>
      <c r="AV30" s="879"/>
      <c r="AW30" s="879"/>
      <c r="AX30" s="879"/>
      <c r="AY30" s="879"/>
      <c r="AZ30" s="879"/>
      <c r="BA30" s="879"/>
      <c r="BB30" s="879"/>
      <c r="BC30" s="879"/>
      <c r="BD30" s="879"/>
      <c r="BE30" s="879"/>
      <c r="BF30" s="879"/>
      <c r="BG30" s="879"/>
      <c r="BH30" s="879"/>
      <c r="BI30" s="879"/>
      <c r="BJ30" s="879"/>
      <c r="BK30" s="879"/>
      <c r="BL30" s="879"/>
      <c r="BM30" s="879"/>
      <c r="BN30" s="879"/>
      <c r="BO30" s="879"/>
      <c r="BP30" s="879"/>
      <c r="BQ30" s="879"/>
      <c r="BR30" s="879"/>
      <c r="BS30" s="879"/>
      <c r="BT30" s="879"/>
      <c r="BU30" s="879"/>
    </row>
    <row r="31" spans="1:73" x14ac:dyDescent="0.25">
      <c r="A31" s="879"/>
      <c r="B31" s="879"/>
      <c r="C31" s="879"/>
      <c r="D31" s="879"/>
      <c r="E31" s="879"/>
      <c r="F31" s="879"/>
      <c r="G31" s="879"/>
      <c r="H31" s="879"/>
      <c r="I31" s="879"/>
      <c r="J31" s="879"/>
      <c r="K31" s="879"/>
      <c r="L31" s="879"/>
      <c r="M31" s="879"/>
      <c r="N31" s="879"/>
      <c r="O31" s="879"/>
      <c r="P31" s="879"/>
      <c r="Q31" s="879"/>
      <c r="R31" s="879"/>
      <c r="S31" s="879"/>
      <c r="T31" s="879"/>
      <c r="U31" s="879"/>
      <c r="V31" s="1137">
        <f t="shared" si="4"/>
        <v>0.8500000000000002</v>
      </c>
      <c r="W31" s="893">
        <f t="shared" ca="1" si="3"/>
        <v>1.6408066992056471</v>
      </c>
      <c r="X31" s="879"/>
      <c r="Y31" s="879"/>
      <c r="Z31" s="879"/>
      <c r="AA31" s="879"/>
      <c r="AB31" s="879"/>
      <c r="AC31" s="879"/>
      <c r="AD31" s="879"/>
      <c r="AE31" s="879"/>
      <c r="AF31" s="879"/>
      <c r="AG31" s="879"/>
      <c r="AH31" s="879"/>
      <c r="AI31" s="879"/>
      <c r="AJ31" s="879"/>
      <c r="AK31" s="879"/>
      <c r="AL31" s="879"/>
      <c r="AM31" s="879"/>
      <c r="AN31" s="879"/>
      <c r="AO31" s="879"/>
      <c r="AP31" s="879"/>
      <c r="AQ31" s="879"/>
      <c r="AR31" s="879"/>
      <c r="AS31" s="879"/>
      <c r="AT31" s="879"/>
      <c r="AU31" s="879"/>
      <c r="AV31" s="879"/>
      <c r="AW31" s="879"/>
      <c r="AX31" s="879"/>
      <c r="AY31" s="879"/>
      <c r="AZ31" s="879"/>
      <c r="BA31" s="879"/>
      <c r="BB31" s="879"/>
      <c r="BC31" s="879"/>
      <c r="BD31" s="879"/>
      <c r="BE31" s="879"/>
      <c r="BF31" s="879"/>
      <c r="BG31" s="879"/>
      <c r="BH31" s="879"/>
      <c r="BI31" s="879"/>
      <c r="BJ31" s="879"/>
      <c r="BK31" s="879"/>
      <c r="BL31" s="879"/>
      <c r="BM31" s="879"/>
      <c r="BN31" s="879"/>
      <c r="BO31" s="879"/>
      <c r="BP31" s="879"/>
      <c r="BQ31" s="879"/>
      <c r="BR31" s="879"/>
      <c r="BS31" s="879"/>
      <c r="BT31" s="879"/>
      <c r="BU31" s="879"/>
    </row>
    <row r="32" spans="1:73" x14ac:dyDescent="0.25">
      <c r="A32" s="879"/>
      <c r="B32" s="879"/>
      <c r="C32" s="879"/>
      <c r="D32" s="879"/>
      <c r="E32" s="879"/>
      <c r="F32" s="879"/>
      <c r="G32" s="879"/>
      <c r="H32" s="879"/>
      <c r="I32" s="879"/>
      <c r="J32" s="879"/>
      <c r="K32" s="879"/>
      <c r="L32" s="879"/>
      <c r="M32" s="879"/>
      <c r="N32" s="879"/>
      <c r="O32" s="879"/>
      <c r="P32" s="879"/>
      <c r="Q32" s="879"/>
      <c r="R32" s="879"/>
      <c r="S32" s="879"/>
      <c r="T32" s="879"/>
      <c r="U32" s="879"/>
      <c r="V32" s="1137">
        <f t="shared" si="4"/>
        <v>0.90000000000000024</v>
      </c>
      <c r="W32" s="893">
        <f t="shared" ca="1" si="3"/>
        <v>1.6467850683786087</v>
      </c>
      <c r="X32" s="879"/>
      <c r="Y32" s="879"/>
      <c r="Z32" s="879"/>
      <c r="AA32" s="879"/>
      <c r="AB32" s="879"/>
      <c r="AC32" s="879"/>
      <c r="AD32" s="879"/>
      <c r="AE32" s="879"/>
      <c r="AF32" s="879"/>
      <c r="AG32" s="879"/>
      <c r="AH32" s="879"/>
      <c r="AI32" s="879"/>
      <c r="AJ32" s="879"/>
      <c r="AK32" s="879"/>
      <c r="AL32" s="879"/>
      <c r="AM32" s="879"/>
      <c r="AN32" s="879"/>
      <c r="AO32" s="879"/>
      <c r="AP32" s="879"/>
      <c r="AQ32" s="879"/>
      <c r="AR32" s="879"/>
      <c r="AS32" s="879"/>
      <c r="AT32" s="879"/>
      <c r="AU32" s="879"/>
      <c r="AV32" s="879"/>
      <c r="AW32" s="879"/>
      <c r="AX32" s="879"/>
      <c r="AY32" s="879"/>
      <c r="AZ32" s="879"/>
      <c r="BA32" s="879"/>
      <c r="BB32" s="879"/>
      <c r="BC32" s="879"/>
      <c r="BD32" s="879"/>
      <c r="BE32" s="879"/>
      <c r="BF32" s="879"/>
      <c r="BG32" s="879"/>
      <c r="BH32" s="879"/>
      <c r="BI32" s="879"/>
      <c r="BJ32" s="879"/>
      <c r="BK32" s="879"/>
      <c r="BL32" s="879"/>
      <c r="BM32" s="879"/>
      <c r="BN32" s="879"/>
      <c r="BO32" s="879"/>
      <c r="BP32" s="879"/>
      <c r="BQ32" s="879"/>
      <c r="BR32" s="879"/>
      <c r="BS32" s="879"/>
      <c r="BT32" s="879"/>
      <c r="BU32" s="879"/>
    </row>
    <row r="33" spans="1:73" x14ac:dyDescent="0.25">
      <c r="A33" s="879"/>
      <c r="B33" s="879"/>
      <c r="C33" s="879"/>
      <c r="D33" s="879"/>
      <c r="E33" s="879"/>
      <c r="F33" s="879"/>
      <c r="G33" s="879"/>
      <c r="H33" s="879"/>
      <c r="I33" s="879"/>
      <c r="J33" s="879"/>
      <c r="K33" s="879"/>
      <c r="L33" s="879"/>
      <c r="M33" s="879"/>
      <c r="N33" s="879"/>
      <c r="O33" s="879"/>
      <c r="P33" s="879"/>
      <c r="Q33" s="879"/>
      <c r="R33" s="879"/>
      <c r="S33" s="879"/>
      <c r="T33" s="879"/>
      <c r="U33" s="879"/>
      <c r="V33" s="1138">
        <f t="shared" si="4"/>
        <v>0.95000000000000029</v>
      </c>
      <c r="W33" s="1139">
        <f t="shared" ca="1" si="3"/>
        <v>1.6566974722982037</v>
      </c>
      <c r="X33" s="879"/>
      <c r="Y33" s="879"/>
      <c r="Z33" s="879"/>
      <c r="AA33" s="879"/>
      <c r="AB33" s="879"/>
      <c r="AC33" s="879"/>
      <c r="AD33" s="879"/>
      <c r="AE33" s="879"/>
      <c r="AF33" s="879"/>
      <c r="AG33" s="879"/>
      <c r="AH33" s="879"/>
      <c r="AI33" s="879"/>
      <c r="AJ33" s="879"/>
      <c r="AK33" s="879"/>
      <c r="AL33" s="879"/>
      <c r="AM33" s="879"/>
      <c r="AN33" s="879"/>
      <c r="AO33" s="879"/>
      <c r="AP33" s="879"/>
      <c r="AQ33" s="879"/>
      <c r="AR33" s="879"/>
      <c r="AS33" s="879"/>
      <c r="AT33" s="879"/>
      <c r="AU33" s="879"/>
      <c r="AV33" s="879"/>
      <c r="AW33" s="879"/>
      <c r="AX33" s="879"/>
      <c r="AY33" s="879"/>
      <c r="AZ33" s="879"/>
      <c r="BA33" s="879"/>
      <c r="BB33" s="879"/>
      <c r="BC33" s="879"/>
      <c r="BD33" s="879"/>
      <c r="BE33" s="879"/>
      <c r="BF33" s="879"/>
      <c r="BG33" s="879"/>
      <c r="BH33" s="879"/>
      <c r="BI33" s="879"/>
      <c r="BJ33" s="879"/>
      <c r="BK33" s="879"/>
      <c r="BL33" s="879"/>
      <c r="BM33" s="879"/>
      <c r="BN33" s="879"/>
      <c r="BO33" s="879"/>
      <c r="BP33" s="879"/>
      <c r="BQ33" s="879"/>
      <c r="BR33" s="879"/>
      <c r="BS33" s="879"/>
      <c r="BT33" s="879"/>
      <c r="BU33" s="879"/>
    </row>
    <row r="34" spans="1:73" x14ac:dyDescent="0.25">
      <c r="A34" s="879"/>
      <c r="B34" s="879"/>
      <c r="C34" s="879"/>
      <c r="D34" s="879"/>
      <c r="E34" s="879"/>
      <c r="F34" s="879"/>
      <c r="G34" s="879"/>
      <c r="H34" s="879"/>
      <c r="I34" s="879"/>
      <c r="J34" s="879"/>
      <c r="K34" s="879"/>
      <c r="L34" s="879"/>
      <c r="M34" s="879"/>
      <c r="N34" s="879"/>
      <c r="O34" s="879"/>
      <c r="P34" s="879"/>
      <c r="Q34" s="879"/>
      <c r="R34" s="879"/>
      <c r="S34" s="879"/>
      <c r="T34" s="879"/>
      <c r="U34" s="879"/>
      <c r="V34" s="1137">
        <v>1</v>
      </c>
      <c r="W34" s="893">
        <f ca="1">+MAX(OFFSET($B$251:$B$2250,0,$C$194))*$C$198</f>
        <v>1.691231340121129</v>
      </c>
      <c r="X34" s="879"/>
      <c r="Y34" s="879"/>
      <c r="Z34" s="879"/>
      <c r="AA34" s="879"/>
      <c r="AB34" s="879"/>
      <c r="AC34" s="879"/>
      <c r="AD34" s="879"/>
      <c r="AE34" s="879"/>
      <c r="AF34" s="879"/>
      <c r="AG34" s="879"/>
      <c r="AH34" s="879"/>
      <c r="AI34" s="879"/>
      <c r="AJ34" s="879"/>
      <c r="AK34" s="879"/>
      <c r="AL34" s="879"/>
      <c r="AM34" s="879"/>
      <c r="AN34" s="879"/>
      <c r="AO34" s="879"/>
      <c r="AP34" s="879"/>
      <c r="AQ34" s="879"/>
      <c r="AR34" s="879"/>
      <c r="AS34" s="879"/>
      <c r="AT34" s="879"/>
      <c r="AU34" s="879"/>
      <c r="AV34" s="879"/>
      <c r="AW34" s="879"/>
      <c r="AX34" s="879"/>
      <c r="AY34" s="879"/>
      <c r="AZ34" s="879"/>
      <c r="BA34" s="879"/>
      <c r="BB34" s="879"/>
      <c r="BC34" s="879"/>
      <c r="BD34" s="879"/>
      <c r="BE34" s="879"/>
      <c r="BF34" s="879"/>
      <c r="BG34" s="879"/>
      <c r="BH34" s="879"/>
      <c r="BI34" s="879"/>
      <c r="BJ34" s="879"/>
      <c r="BK34" s="879"/>
      <c r="BL34" s="879"/>
      <c r="BM34" s="879"/>
      <c r="BN34" s="879"/>
      <c r="BO34" s="879"/>
      <c r="BP34" s="879"/>
      <c r="BQ34" s="879"/>
      <c r="BR34" s="879"/>
      <c r="BS34" s="879"/>
      <c r="BT34" s="879"/>
      <c r="BU34" s="879"/>
    </row>
    <row r="35" spans="1:73" ht="13.8" x14ac:dyDescent="0.3">
      <c r="A35" s="879"/>
      <c r="B35" s="879"/>
      <c r="C35" s="879"/>
      <c r="D35" s="879"/>
      <c r="E35" s="879"/>
      <c r="F35" s="879"/>
      <c r="G35" s="879"/>
      <c r="H35" s="879"/>
      <c r="I35" s="879"/>
      <c r="J35" s="879"/>
      <c r="K35" s="879"/>
      <c r="L35" s="879"/>
      <c r="M35" s="1009"/>
      <c r="N35" s="879"/>
      <c r="O35" s="879"/>
      <c r="P35" s="879"/>
      <c r="Q35" s="879"/>
      <c r="R35" s="879"/>
      <c r="S35" s="879"/>
      <c r="T35" s="879"/>
      <c r="U35" s="879"/>
      <c r="V35" s="879"/>
      <c r="W35" s="879"/>
      <c r="X35" s="879"/>
      <c r="Y35" s="879"/>
      <c r="Z35" s="879"/>
      <c r="AA35" s="879"/>
      <c r="AB35" s="879"/>
      <c r="AC35" s="879"/>
      <c r="AD35" s="879"/>
      <c r="AE35" s="879"/>
      <c r="AF35" s="879"/>
      <c r="AG35" s="879"/>
      <c r="AH35" s="879"/>
      <c r="AI35" s="879"/>
      <c r="AJ35" s="879"/>
      <c r="AK35" s="879"/>
      <c r="AL35" s="879"/>
      <c r="AM35" s="879"/>
      <c r="AN35" s="879"/>
      <c r="AO35" s="879"/>
      <c r="AP35" s="879"/>
      <c r="AQ35" s="879"/>
      <c r="AR35" s="879"/>
      <c r="AS35" s="879"/>
      <c r="AT35" s="879"/>
      <c r="AU35" s="879"/>
      <c r="AV35" s="879"/>
      <c r="AW35" s="879"/>
      <c r="AX35" s="879"/>
      <c r="AY35" s="879"/>
      <c r="AZ35" s="879"/>
      <c r="BA35" s="879"/>
      <c r="BB35" s="879"/>
      <c r="BC35" s="879"/>
      <c r="BD35" s="879"/>
      <c r="BE35" s="879"/>
      <c r="BF35" s="879"/>
      <c r="BG35" s="879"/>
      <c r="BH35" s="879"/>
      <c r="BI35" s="879"/>
      <c r="BJ35" s="879"/>
      <c r="BK35" s="879"/>
      <c r="BL35" s="879"/>
      <c r="BM35" s="879"/>
      <c r="BN35" s="879"/>
      <c r="BO35" s="879"/>
      <c r="BP35" s="879"/>
      <c r="BQ35" s="879"/>
      <c r="BR35" s="879"/>
      <c r="BS35" s="879"/>
      <c r="BT35" s="879"/>
      <c r="BU35" s="879"/>
    </row>
    <row r="36" spans="1:73" x14ac:dyDescent="0.25">
      <c r="A36" s="879"/>
      <c r="B36" s="879"/>
      <c r="C36" s="879"/>
      <c r="D36" s="879"/>
      <c r="E36" s="879"/>
      <c r="F36" s="879"/>
      <c r="G36" s="879"/>
      <c r="H36" s="879"/>
      <c r="I36" s="879"/>
      <c r="J36" s="879"/>
      <c r="K36" s="879"/>
      <c r="L36" s="879"/>
      <c r="M36" s="879"/>
      <c r="N36" s="879"/>
      <c r="O36" s="879"/>
      <c r="P36" s="879"/>
      <c r="Q36" s="879"/>
      <c r="R36" s="879"/>
      <c r="S36" s="879"/>
      <c r="T36" s="879"/>
      <c r="U36" s="879"/>
      <c r="V36" s="879"/>
      <c r="W36" s="879"/>
      <c r="X36" s="879"/>
      <c r="Y36" s="879"/>
      <c r="Z36" s="879"/>
      <c r="AA36" s="879"/>
      <c r="AB36" s="879"/>
      <c r="AC36" s="879"/>
      <c r="AD36" s="879"/>
      <c r="AE36" s="879"/>
      <c r="AF36" s="879"/>
      <c r="AG36" s="879"/>
      <c r="AH36" s="879"/>
      <c r="AI36" s="879"/>
      <c r="AJ36" s="879"/>
      <c r="AK36" s="879"/>
      <c r="AL36" s="879"/>
      <c r="AM36" s="879"/>
      <c r="AN36" s="879"/>
      <c r="AO36" s="879"/>
      <c r="AP36" s="879"/>
      <c r="AQ36" s="879"/>
      <c r="AR36" s="879"/>
      <c r="AS36" s="879"/>
      <c r="AT36" s="879"/>
      <c r="AU36" s="879"/>
      <c r="AV36" s="879"/>
      <c r="AW36" s="879"/>
      <c r="AX36" s="879"/>
      <c r="AY36" s="879"/>
      <c r="AZ36" s="879"/>
      <c r="BA36" s="879"/>
      <c r="BB36" s="879"/>
      <c r="BC36" s="879"/>
      <c r="BD36" s="879"/>
      <c r="BE36" s="879"/>
      <c r="BF36" s="879"/>
      <c r="BG36" s="879"/>
      <c r="BH36" s="879"/>
      <c r="BI36" s="879"/>
      <c r="BJ36" s="879"/>
      <c r="BK36" s="879"/>
      <c r="BL36" s="879"/>
      <c r="BM36" s="879"/>
      <c r="BN36" s="879"/>
      <c r="BO36" s="879"/>
      <c r="BP36" s="879"/>
      <c r="BQ36" s="879"/>
      <c r="BR36" s="879"/>
      <c r="BS36" s="879"/>
      <c r="BT36" s="879"/>
      <c r="BU36" s="879"/>
    </row>
    <row r="37" spans="1:73" x14ac:dyDescent="0.25">
      <c r="A37" s="879"/>
      <c r="B37" s="879"/>
      <c r="C37" s="879"/>
      <c r="D37" s="879"/>
      <c r="E37" s="879"/>
      <c r="F37" s="879"/>
      <c r="G37" s="879"/>
      <c r="H37" s="879"/>
      <c r="I37" s="879"/>
      <c r="J37" s="879"/>
      <c r="K37" s="879"/>
      <c r="L37" s="879"/>
      <c r="M37" s="879"/>
      <c r="N37" s="879"/>
      <c r="O37" s="879"/>
      <c r="P37" s="879"/>
      <c r="Q37" s="879"/>
      <c r="R37" s="879"/>
      <c r="S37" s="879"/>
      <c r="T37" s="879"/>
      <c r="U37" s="879"/>
      <c r="V37" s="879"/>
      <c r="W37" s="879"/>
      <c r="X37" s="879"/>
      <c r="Y37" s="879"/>
      <c r="Z37" s="879"/>
      <c r="AA37" s="879"/>
      <c r="AB37" s="879"/>
      <c r="AC37" s="879"/>
      <c r="AD37" s="879"/>
      <c r="AE37" s="879"/>
      <c r="AF37" s="879"/>
      <c r="AG37" s="879"/>
      <c r="AH37" s="879"/>
      <c r="AI37" s="879"/>
      <c r="AJ37" s="879"/>
      <c r="AK37" s="879"/>
      <c r="AL37" s="879"/>
      <c r="AM37" s="879"/>
      <c r="AN37" s="879"/>
      <c r="AO37" s="879"/>
      <c r="AP37" s="879"/>
      <c r="AQ37" s="879"/>
      <c r="AR37" s="879"/>
      <c r="AS37" s="879"/>
      <c r="AT37" s="879"/>
      <c r="AU37" s="879"/>
      <c r="AV37" s="879"/>
      <c r="AW37" s="879"/>
      <c r="AX37" s="879"/>
      <c r="AY37" s="879"/>
      <c r="AZ37" s="879"/>
      <c r="BA37" s="879"/>
      <c r="BB37" s="879"/>
      <c r="BC37" s="879"/>
      <c r="BD37" s="879"/>
      <c r="BE37" s="879"/>
      <c r="BF37" s="879"/>
      <c r="BG37" s="879"/>
      <c r="BH37" s="879"/>
      <c r="BI37" s="879"/>
      <c r="BJ37" s="879"/>
      <c r="BK37" s="879"/>
      <c r="BL37" s="879"/>
      <c r="BM37" s="879"/>
      <c r="BN37" s="879"/>
      <c r="BO37" s="879"/>
      <c r="BP37" s="879"/>
      <c r="BQ37" s="879"/>
      <c r="BR37" s="879"/>
      <c r="BS37" s="879"/>
      <c r="BT37" s="879"/>
      <c r="BU37" s="879"/>
    </row>
    <row r="38" spans="1:73" x14ac:dyDescent="0.25">
      <c r="A38" s="879"/>
      <c r="B38" s="879"/>
      <c r="C38" s="879"/>
      <c r="D38" s="879"/>
      <c r="E38" s="879"/>
      <c r="F38" s="879"/>
      <c r="G38" s="879"/>
      <c r="H38" s="879"/>
      <c r="I38" s="879"/>
      <c r="J38" s="879"/>
      <c r="K38" s="879"/>
      <c r="L38" s="879"/>
      <c r="M38" s="879"/>
      <c r="N38" s="879"/>
      <c r="O38" s="879"/>
      <c r="P38" s="879"/>
      <c r="Q38" s="879"/>
      <c r="R38" s="879"/>
      <c r="S38" s="879"/>
      <c r="T38" s="879"/>
      <c r="U38" s="879"/>
      <c r="V38" s="879"/>
      <c r="W38" s="879"/>
      <c r="X38" s="879"/>
      <c r="Y38" s="879"/>
      <c r="Z38" s="879"/>
      <c r="AA38" s="879"/>
      <c r="AB38" s="879"/>
      <c r="AC38" s="879"/>
      <c r="AD38" s="879"/>
      <c r="AE38" s="879"/>
      <c r="AF38" s="879"/>
      <c r="AG38" s="879"/>
      <c r="AH38" s="879"/>
      <c r="AI38" s="879"/>
      <c r="AJ38" s="879"/>
      <c r="AK38" s="879"/>
      <c r="AL38" s="879"/>
      <c r="AM38" s="879"/>
      <c r="AN38" s="879"/>
      <c r="AO38" s="879"/>
      <c r="AP38" s="879"/>
      <c r="AQ38" s="879"/>
      <c r="AR38" s="879"/>
      <c r="AS38" s="879"/>
      <c r="AT38" s="879"/>
      <c r="AU38" s="879"/>
      <c r="AV38" s="879"/>
      <c r="AW38" s="879"/>
      <c r="AX38" s="879"/>
      <c r="AY38" s="879"/>
      <c r="AZ38" s="879"/>
      <c r="BA38" s="879"/>
      <c r="BB38" s="879"/>
      <c r="BC38" s="879"/>
      <c r="BD38" s="879"/>
      <c r="BE38" s="879"/>
      <c r="BF38" s="879"/>
      <c r="BG38" s="879"/>
      <c r="BH38" s="879"/>
      <c r="BI38" s="879"/>
      <c r="BJ38" s="879"/>
      <c r="BK38" s="879"/>
      <c r="BL38" s="879"/>
      <c r="BM38" s="879"/>
      <c r="BN38" s="879"/>
      <c r="BO38" s="879"/>
      <c r="BP38" s="879"/>
      <c r="BQ38" s="879"/>
      <c r="BR38" s="879"/>
      <c r="BS38" s="879"/>
      <c r="BT38" s="879"/>
      <c r="BU38" s="879"/>
    </row>
    <row r="39" spans="1:73" x14ac:dyDescent="0.25">
      <c r="A39" s="879"/>
      <c r="B39" s="879"/>
      <c r="C39" s="879"/>
      <c r="D39" s="879"/>
      <c r="E39" s="879"/>
      <c r="F39" s="879"/>
      <c r="G39" s="879"/>
      <c r="H39" s="879"/>
      <c r="I39" s="879"/>
      <c r="J39" s="879"/>
      <c r="K39" s="879"/>
      <c r="L39" s="879"/>
      <c r="M39" s="879"/>
      <c r="N39" s="879"/>
      <c r="O39" s="879"/>
      <c r="P39" s="879"/>
      <c r="Q39" s="879"/>
      <c r="R39" s="879"/>
      <c r="S39" s="879"/>
      <c r="T39" s="879"/>
      <c r="U39" s="879"/>
      <c r="V39" s="879"/>
      <c r="W39" s="879"/>
      <c r="X39" s="879"/>
      <c r="Y39" s="879"/>
      <c r="Z39" s="879"/>
      <c r="AA39" s="879"/>
      <c r="AB39" s="879"/>
      <c r="AC39" s="879"/>
      <c r="AD39" s="879"/>
      <c r="AE39" s="879"/>
      <c r="AF39" s="879"/>
      <c r="AG39" s="879"/>
      <c r="AH39" s="879"/>
      <c r="AI39" s="879"/>
      <c r="AJ39" s="879"/>
      <c r="AK39" s="879"/>
      <c r="AL39" s="879"/>
      <c r="AM39" s="879"/>
      <c r="AN39" s="879"/>
      <c r="AO39" s="879"/>
      <c r="AP39" s="879"/>
      <c r="AQ39" s="879"/>
      <c r="AR39" s="879"/>
      <c r="AS39" s="879"/>
      <c r="AT39" s="879"/>
      <c r="AU39" s="879"/>
      <c r="AV39" s="879"/>
      <c r="AW39" s="879"/>
      <c r="AX39" s="879"/>
      <c r="AY39" s="879"/>
      <c r="AZ39" s="879"/>
      <c r="BA39" s="879"/>
      <c r="BB39" s="879"/>
      <c r="BC39" s="879"/>
      <c r="BD39" s="879"/>
      <c r="BE39" s="879"/>
      <c r="BF39" s="879"/>
      <c r="BG39" s="879"/>
      <c r="BH39" s="879"/>
      <c r="BI39" s="879"/>
      <c r="BJ39" s="879"/>
      <c r="BK39" s="879"/>
      <c r="BL39" s="879"/>
      <c r="BM39" s="879"/>
      <c r="BN39" s="879"/>
      <c r="BO39" s="879"/>
      <c r="BP39" s="879"/>
      <c r="BQ39" s="879"/>
      <c r="BR39" s="879"/>
      <c r="BS39" s="879"/>
      <c r="BT39" s="879"/>
      <c r="BU39" s="879"/>
    </row>
    <row r="40" spans="1:73" x14ac:dyDescent="0.25">
      <c r="A40" s="879"/>
      <c r="B40" s="879"/>
      <c r="C40" s="879"/>
      <c r="D40" s="879"/>
      <c r="E40" s="879"/>
      <c r="F40" s="879"/>
      <c r="G40" s="879"/>
      <c r="H40" s="879"/>
      <c r="I40" s="879"/>
      <c r="J40" s="879"/>
      <c r="K40" s="879"/>
      <c r="L40" s="879"/>
      <c r="M40" s="879"/>
      <c r="N40" s="879"/>
      <c r="O40" s="879"/>
      <c r="P40" s="879"/>
      <c r="Q40" s="879"/>
      <c r="R40" s="879"/>
      <c r="S40" s="879"/>
      <c r="T40" s="879"/>
      <c r="U40" s="879"/>
      <c r="V40" s="879"/>
      <c r="W40" s="879"/>
      <c r="X40" s="879"/>
      <c r="Y40" s="879"/>
      <c r="Z40" s="879"/>
      <c r="AA40" s="879"/>
      <c r="AB40" s="879"/>
      <c r="AC40" s="879"/>
      <c r="AD40" s="879"/>
      <c r="AE40" s="879"/>
      <c r="AF40" s="879"/>
      <c r="AG40" s="879"/>
      <c r="AH40" s="879"/>
      <c r="AI40" s="879"/>
      <c r="AJ40" s="879"/>
      <c r="AK40" s="879"/>
      <c r="AL40" s="879"/>
      <c r="AM40" s="879"/>
      <c r="AN40" s="879"/>
      <c r="AO40" s="879"/>
      <c r="AP40" s="879"/>
      <c r="AQ40" s="879"/>
      <c r="AR40" s="879"/>
      <c r="AS40" s="879"/>
      <c r="AT40" s="879"/>
      <c r="AU40" s="879"/>
      <c r="AV40" s="879"/>
      <c r="AW40" s="879"/>
      <c r="AX40" s="879"/>
      <c r="AY40" s="879"/>
      <c r="AZ40" s="879"/>
      <c r="BA40" s="879"/>
      <c r="BB40" s="879"/>
      <c r="BC40" s="879"/>
      <c r="BD40" s="879"/>
      <c r="BE40" s="879"/>
      <c r="BF40" s="879"/>
      <c r="BG40" s="879"/>
      <c r="BH40" s="879"/>
      <c r="BI40" s="879"/>
      <c r="BJ40" s="879"/>
      <c r="BK40" s="879"/>
      <c r="BL40" s="879"/>
      <c r="BM40" s="879"/>
      <c r="BN40" s="879"/>
      <c r="BO40" s="879"/>
      <c r="BP40" s="879"/>
      <c r="BQ40" s="879"/>
      <c r="BR40" s="879"/>
      <c r="BS40" s="879"/>
      <c r="BT40" s="879"/>
      <c r="BU40" s="879"/>
    </row>
    <row r="41" spans="1:73" x14ac:dyDescent="0.25">
      <c r="A41" s="879"/>
      <c r="B41" s="879"/>
      <c r="C41" s="879"/>
      <c r="D41" s="879"/>
      <c r="E41" s="879"/>
      <c r="F41" s="879"/>
      <c r="G41" s="879"/>
      <c r="H41" s="879"/>
      <c r="I41" s="879"/>
      <c r="J41" s="879"/>
      <c r="K41" s="879"/>
      <c r="L41" s="879"/>
      <c r="M41" s="879"/>
      <c r="N41" s="879"/>
      <c r="O41" s="879"/>
      <c r="P41" s="879"/>
      <c r="Q41" s="879"/>
      <c r="R41" s="879"/>
      <c r="S41" s="879"/>
      <c r="T41" s="879"/>
      <c r="U41" s="879"/>
      <c r="V41" s="879"/>
      <c r="W41" s="879"/>
      <c r="X41" s="879"/>
      <c r="Y41" s="879"/>
      <c r="Z41" s="879"/>
      <c r="AA41" s="879"/>
      <c r="AB41" s="879"/>
      <c r="AC41" s="879"/>
      <c r="AD41" s="879"/>
      <c r="AE41" s="879"/>
      <c r="AF41" s="879"/>
      <c r="AG41" s="879"/>
      <c r="AH41" s="879"/>
      <c r="AI41" s="879"/>
      <c r="AJ41" s="879"/>
      <c r="AK41" s="879"/>
      <c r="AL41" s="879"/>
      <c r="AM41" s="879"/>
      <c r="AN41" s="879"/>
      <c r="AO41" s="879"/>
      <c r="AP41" s="879"/>
      <c r="AQ41" s="879"/>
      <c r="AR41" s="879"/>
      <c r="AS41" s="879"/>
      <c r="AT41" s="879"/>
      <c r="AU41" s="879"/>
      <c r="AV41" s="879"/>
      <c r="AW41" s="879"/>
      <c r="AX41" s="879"/>
      <c r="AY41" s="879"/>
      <c r="AZ41" s="879"/>
      <c r="BA41" s="879"/>
      <c r="BB41" s="879"/>
      <c r="BC41" s="879"/>
      <c r="BD41" s="879"/>
      <c r="BE41" s="879"/>
      <c r="BF41" s="879"/>
      <c r="BG41" s="879"/>
      <c r="BH41" s="879"/>
      <c r="BI41" s="879"/>
      <c r="BJ41" s="879"/>
      <c r="BK41" s="879"/>
      <c r="BL41" s="879"/>
      <c r="BM41" s="879"/>
      <c r="BN41" s="879"/>
      <c r="BO41" s="879"/>
      <c r="BP41" s="879"/>
      <c r="BQ41" s="879"/>
      <c r="BR41" s="879"/>
      <c r="BS41" s="879"/>
      <c r="BT41" s="879"/>
      <c r="BU41" s="879"/>
    </row>
    <row r="42" spans="1:73" x14ac:dyDescent="0.25">
      <c r="A42" s="879"/>
      <c r="B42" s="879"/>
      <c r="C42" s="879"/>
      <c r="D42" s="879"/>
      <c r="E42" s="879"/>
      <c r="F42" s="879"/>
      <c r="G42" s="879"/>
      <c r="H42" s="879"/>
      <c r="I42" s="879"/>
      <c r="J42" s="879"/>
      <c r="K42" s="879"/>
      <c r="L42" s="879"/>
      <c r="M42" s="879"/>
      <c r="N42" s="879"/>
      <c r="O42" s="879"/>
      <c r="P42" s="879"/>
      <c r="Q42" s="879"/>
      <c r="R42" s="879"/>
      <c r="S42" s="879"/>
      <c r="T42" s="879"/>
      <c r="U42" s="879"/>
      <c r="V42" s="879"/>
      <c r="W42" s="879"/>
      <c r="X42" s="879"/>
      <c r="Y42" s="879"/>
      <c r="Z42" s="879"/>
      <c r="AA42" s="879"/>
      <c r="AB42" s="879"/>
      <c r="AC42" s="879"/>
      <c r="AD42" s="879"/>
      <c r="AE42" s="879"/>
      <c r="AF42" s="879"/>
      <c r="AG42" s="879"/>
      <c r="AH42" s="879"/>
      <c r="AI42" s="879"/>
      <c r="AJ42" s="879"/>
      <c r="AK42" s="879"/>
      <c r="AL42" s="879"/>
      <c r="AM42" s="879"/>
      <c r="AN42" s="879"/>
      <c r="AO42" s="879"/>
      <c r="AP42" s="879"/>
      <c r="AQ42" s="879"/>
      <c r="AR42" s="879"/>
      <c r="AS42" s="879"/>
      <c r="AT42" s="879"/>
      <c r="AU42" s="879"/>
      <c r="AV42" s="879"/>
      <c r="AW42" s="879"/>
      <c r="AX42" s="879"/>
      <c r="AY42" s="879"/>
      <c r="AZ42" s="879"/>
      <c r="BA42" s="879"/>
      <c r="BB42" s="879"/>
      <c r="BC42" s="879"/>
      <c r="BD42" s="879"/>
      <c r="BE42" s="879"/>
      <c r="BF42" s="879"/>
      <c r="BG42" s="879"/>
      <c r="BH42" s="879"/>
      <c r="BI42" s="879"/>
      <c r="BJ42" s="879"/>
      <c r="BK42" s="879"/>
      <c r="BL42" s="879"/>
      <c r="BM42" s="879"/>
      <c r="BN42" s="879"/>
      <c r="BO42" s="879"/>
      <c r="BP42" s="879"/>
      <c r="BQ42" s="879"/>
      <c r="BR42" s="879"/>
      <c r="BS42" s="879"/>
      <c r="BT42" s="879"/>
      <c r="BU42" s="879"/>
    </row>
    <row r="43" spans="1:73" x14ac:dyDescent="0.25">
      <c r="A43" s="879"/>
      <c r="B43" s="879"/>
      <c r="C43" s="879"/>
      <c r="D43" s="879"/>
      <c r="E43" s="879"/>
      <c r="F43" s="879"/>
      <c r="G43" s="879"/>
      <c r="H43" s="879"/>
      <c r="I43" s="879"/>
      <c r="J43" s="879"/>
      <c r="K43" s="879"/>
      <c r="L43" s="879"/>
      <c r="M43" s="879"/>
      <c r="N43" s="879"/>
      <c r="O43" s="879"/>
      <c r="P43" s="879"/>
      <c r="Q43" s="879"/>
      <c r="R43" s="879"/>
      <c r="S43" s="879"/>
      <c r="T43" s="879"/>
      <c r="U43" s="879"/>
      <c r="V43" s="879"/>
      <c r="W43" s="879"/>
      <c r="X43" s="879"/>
      <c r="Y43" s="879"/>
      <c r="Z43" s="879"/>
      <c r="AA43" s="879"/>
      <c r="AB43" s="879"/>
      <c r="AC43" s="879"/>
      <c r="AD43" s="879"/>
      <c r="AE43" s="879"/>
      <c r="AF43" s="879"/>
      <c r="AG43" s="879"/>
      <c r="AH43" s="879"/>
      <c r="AI43" s="879"/>
      <c r="AJ43" s="879"/>
      <c r="AK43" s="879"/>
      <c r="AL43" s="879"/>
      <c r="AM43" s="879"/>
      <c r="AN43" s="879"/>
      <c r="AO43" s="879"/>
      <c r="AP43" s="879"/>
      <c r="AQ43" s="879"/>
      <c r="AR43" s="879"/>
      <c r="AS43" s="879"/>
      <c r="AT43" s="879"/>
      <c r="AU43" s="879"/>
      <c r="AV43" s="879"/>
      <c r="AW43" s="879"/>
      <c r="AX43" s="879"/>
      <c r="AY43" s="879"/>
      <c r="AZ43" s="879"/>
      <c r="BA43" s="879"/>
      <c r="BB43" s="879"/>
      <c r="BC43" s="879"/>
      <c r="BD43" s="879"/>
      <c r="BE43" s="879"/>
      <c r="BF43" s="879"/>
      <c r="BG43" s="879"/>
      <c r="BH43" s="879"/>
      <c r="BI43" s="879"/>
      <c r="BJ43" s="879"/>
      <c r="BK43" s="879"/>
      <c r="BL43" s="879"/>
      <c r="BM43" s="879"/>
      <c r="BN43" s="879"/>
      <c r="BO43" s="879"/>
      <c r="BP43" s="879"/>
      <c r="BQ43" s="879"/>
      <c r="BR43" s="879"/>
      <c r="BS43" s="879"/>
      <c r="BT43" s="879"/>
      <c r="BU43" s="879"/>
    </row>
    <row r="44" spans="1:73" x14ac:dyDescent="0.25">
      <c r="A44" s="879"/>
      <c r="B44" s="879"/>
      <c r="C44" s="879"/>
      <c r="D44" s="879"/>
      <c r="E44" s="879"/>
      <c r="F44" s="879"/>
      <c r="G44" s="879"/>
      <c r="H44" s="879"/>
      <c r="I44" s="879"/>
      <c r="J44" s="879"/>
      <c r="K44" s="879"/>
      <c r="L44" s="879"/>
      <c r="M44" s="879"/>
      <c r="N44" s="879"/>
      <c r="O44" s="879"/>
      <c r="P44" s="879"/>
      <c r="Q44" s="879"/>
      <c r="R44" s="879"/>
      <c r="S44" s="879"/>
      <c r="T44" s="879"/>
      <c r="U44" s="879"/>
      <c r="V44" s="879"/>
      <c r="W44" s="879"/>
      <c r="X44" s="879"/>
      <c r="Y44" s="879"/>
      <c r="Z44" s="879"/>
      <c r="AA44" s="879"/>
      <c r="AB44" s="879"/>
      <c r="AC44" s="879"/>
      <c r="AD44" s="879"/>
      <c r="AE44" s="879"/>
      <c r="AF44" s="879"/>
      <c r="AG44" s="879"/>
      <c r="AH44" s="879"/>
      <c r="AI44" s="879"/>
      <c r="AJ44" s="879"/>
      <c r="AK44" s="879"/>
      <c r="AL44" s="879"/>
      <c r="AM44" s="879"/>
      <c r="AN44" s="879"/>
      <c r="AO44" s="879"/>
      <c r="AP44" s="879"/>
      <c r="AQ44" s="879"/>
      <c r="AR44" s="879"/>
      <c r="AS44" s="879"/>
      <c r="AT44" s="879"/>
      <c r="AU44" s="879"/>
      <c r="AV44" s="879"/>
      <c r="AW44" s="879"/>
      <c r="AX44" s="879"/>
      <c r="AY44" s="879"/>
      <c r="AZ44" s="879"/>
      <c r="BA44" s="879"/>
      <c r="BB44" s="879"/>
      <c r="BC44" s="879"/>
      <c r="BD44" s="879"/>
      <c r="BE44" s="879"/>
      <c r="BF44" s="879"/>
      <c r="BG44" s="879"/>
      <c r="BH44" s="879"/>
      <c r="BI44" s="879"/>
      <c r="BJ44" s="879"/>
      <c r="BK44" s="879"/>
      <c r="BL44" s="879"/>
      <c r="BM44" s="879"/>
      <c r="BN44" s="879"/>
      <c r="BO44" s="879"/>
      <c r="BP44" s="879"/>
      <c r="BQ44" s="879"/>
      <c r="BR44" s="879"/>
      <c r="BS44" s="879"/>
      <c r="BT44" s="879"/>
      <c r="BU44" s="879"/>
    </row>
    <row r="45" spans="1:73" ht="13.8" thickBot="1" x14ac:dyDescent="0.3">
      <c r="A45" s="879"/>
      <c r="B45" s="976" t="s">
        <v>1225</v>
      </c>
      <c r="C45" s="976"/>
      <c r="D45" s="976"/>
      <c r="E45" s="976"/>
      <c r="F45" s="976"/>
      <c r="G45" s="976"/>
      <c r="H45" s="976"/>
      <c r="I45" s="976"/>
      <c r="J45" s="976"/>
      <c r="K45" s="976"/>
      <c r="L45" s="976"/>
      <c r="M45" s="976"/>
      <c r="N45" s="976"/>
      <c r="O45" s="976"/>
      <c r="P45" s="976"/>
      <c r="Q45" s="976"/>
      <c r="R45" s="976"/>
      <c r="S45" s="976"/>
      <c r="T45" s="976"/>
      <c r="U45" s="976"/>
      <c r="V45" s="976"/>
      <c r="W45" s="976"/>
      <c r="X45" s="976"/>
      <c r="Y45" s="879"/>
      <c r="Z45" s="879"/>
      <c r="AA45" s="879"/>
      <c r="AB45" s="879"/>
      <c r="AC45" s="879"/>
      <c r="AD45" s="879"/>
      <c r="AE45" s="879"/>
      <c r="AF45" s="879"/>
      <c r="AG45" s="879"/>
      <c r="AH45" s="879"/>
      <c r="AI45" s="879"/>
      <c r="AJ45" s="879"/>
      <c r="AK45" s="879"/>
      <c r="AL45" s="879"/>
      <c r="AM45" s="879"/>
      <c r="AN45" s="879"/>
      <c r="AO45" s="879"/>
      <c r="AP45" s="879"/>
      <c r="AQ45" s="879"/>
      <c r="AR45" s="879"/>
      <c r="AS45" s="879"/>
      <c r="AT45" s="879"/>
      <c r="AU45" s="879"/>
      <c r="AV45" s="879"/>
      <c r="AW45" s="879"/>
      <c r="AX45" s="879"/>
      <c r="AY45" s="879"/>
      <c r="AZ45" s="879"/>
      <c r="BA45" s="879"/>
      <c r="BB45" s="879"/>
      <c r="BC45" s="879"/>
      <c r="BD45" s="879"/>
      <c r="BE45" s="879"/>
      <c r="BF45" s="879"/>
      <c r="BG45" s="879"/>
      <c r="BH45" s="879"/>
      <c r="BI45" s="879"/>
      <c r="BJ45" s="879"/>
      <c r="BK45" s="879"/>
      <c r="BL45" s="879"/>
      <c r="BM45" s="879"/>
      <c r="BN45" s="879"/>
      <c r="BO45" s="879"/>
      <c r="BP45" s="879"/>
      <c r="BQ45" s="879"/>
      <c r="BR45" s="879"/>
      <c r="BS45" s="879"/>
      <c r="BT45" s="879"/>
      <c r="BU45" s="879"/>
    </row>
    <row r="46" spans="1:73" ht="13.8" thickTop="1" x14ac:dyDescent="0.25">
      <c r="A46" s="879"/>
      <c r="B46" s="879"/>
      <c r="C46" s="879"/>
      <c r="D46" s="879"/>
      <c r="E46" s="879"/>
      <c r="F46" s="879"/>
      <c r="G46" s="879"/>
      <c r="H46" s="879"/>
      <c r="I46" s="879"/>
      <c r="J46" s="879"/>
      <c r="K46" s="879"/>
      <c r="L46" s="879"/>
      <c r="M46" s="879"/>
      <c r="N46" s="879"/>
      <c r="O46" s="879"/>
      <c r="P46" s="879"/>
      <c r="Q46" s="879"/>
      <c r="R46" s="879"/>
      <c r="S46" s="879"/>
      <c r="T46" s="879"/>
      <c r="U46" s="879"/>
      <c r="V46" s="879"/>
      <c r="W46" s="879"/>
      <c r="X46" s="879"/>
      <c r="Y46" s="879"/>
      <c r="Z46" s="879"/>
      <c r="AA46" s="879"/>
      <c r="AB46" s="879"/>
      <c r="AC46" s="879"/>
      <c r="AD46" s="879"/>
      <c r="AE46" s="879"/>
      <c r="AF46" s="879"/>
      <c r="AG46" s="879"/>
      <c r="AH46" s="879"/>
      <c r="AI46" s="879"/>
      <c r="AJ46" s="879"/>
      <c r="AK46" s="879"/>
      <c r="AL46" s="879"/>
      <c r="AM46" s="879"/>
      <c r="AN46" s="879"/>
      <c r="AO46" s="879"/>
      <c r="AP46" s="879"/>
      <c r="AQ46" s="879"/>
      <c r="AR46" s="879"/>
      <c r="AS46" s="879"/>
      <c r="AT46" s="879"/>
      <c r="AU46" s="879"/>
      <c r="AV46" s="879"/>
      <c r="AW46" s="879"/>
      <c r="AX46" s="879"/>
      <c r="AY46" s="879"/>
      <c r="AZ46" s="879"/>
      <c r="BA46" s="879"/>
      <c r="BB46" s="879"/>
      <c r="BC46" s="879"/>
      <c r="BD46" s="879"/>
      <c r="BE46" s="879"/>
      <c r="BF46" s="879"/>
      <c r="BG46" s="879"/>
      <c r="BH46" s="879"/>
      <c r="BI46" s="879"/>
      <c r="BJ46" s="879"/>
      <c r="BK46" s="879"/>
      <c r="BL46" s="879"/>
      <c r="BM46" s="879"/>
      <c r="BN46" s="879"/>
      <c r="BO46" s="879"/>
      <c r="BP46" s="879"/>
      <c r="BQ46" s="879"/>
      <c r="BR46" s="879"/>
      <c r="BS46" s="879"/>
      <c r="BT46" s="879"/>
      <c r="BU46" s="879"/>
    </row>
    <row r="47" spans="1:73" x14ac:dyDescent="0.25">
      <c r="A47" s="879"/>
      <c r="B47" s="894" t="s">
        <v>1133</v>
      </c>
      <c r="C47" s="879"/>
      <c r="D47" s="879"/>
      <c r="E47" s="879"/>
      <c r="F47" s="879"/>
      <c r="G47" s="879"/>
      <c r="H47" s="879"/>
      <c r="I47" s="879"/>
      <c r="J47" s="879"/>
      <c r="K47" s="879"/>
      <c r="L47" s="879"/>
      <c r="M47" s="879"/>
      <c r="N47" s="879"/>
      <c r="O47" s="879"/>
      <c r="P47" s="879"/>
      <c r="Q47" s="879"/>
      <c r="R47" s="879"/>
      <c r="S47" s="879"/>
      <c r="T47" s="879"/>
      <c r="U47" s="879"/>
      <c r="V47" s="879"/>
      <c r="W47" s="879"/>
      <c r="X47" s="879"/>
      <c r="Y47" s="879"/>
      <c r="Z47" s="879"/>
      <c r="AA47" s="879"/>
      <c r="AB47" s="879"/>
      <c r="AC47" s="879"/>
      <c r="AD47" s="879"/>
      <c r="AE47" s="879"/>
      <c r="AF47" s="879"/>
      <c r="AG47" s="879"/>
      <c r="AH47" s="879"/>
      <c r="AI47" s="879"/>
      <c r="AJ47" s="879"/>
      <c r="AK47" s="879"/>
      <c r="AL47" s="879"/>
      <c r="AM47" s="879"/>
      <c r="AN47" s="879"/>
      <c r="AO47" s="879"/>
      <c r="AP47" s="879"/>
      <c r="AQ47" s="879"/>
      <c r="AR47" s="879"/>
      <c r="AS47" s="879"/>
      <c r="AT47" s="879"/>
      <c r="AU47" s="879"/>
      <c r="AV47" s="879"/>
      <c r="AW47" s="879"/>
      <c r="AX47" s="879"/>
      <c r="AY47" s="879"/>
      <c r="AZ47" s="879"/>
      <c r="BA47" s="879"/>
      <c r="BB47" s="879"/>
      <c r="BC47" s="879"/>
      <c r="BD47" s="879"/>
      <c r="BE47" s="879"/>
      <c r="BF47" s="879"/>
      <c r="BG47" s="879"/>
      <c r="BH47" s="879"/>
      <c r="BI47" s="879"/>
      <c r="BJ47" s="879"/>
      <c r="BK47" s="879"/>
      <c r="BL47" s="879"/>
      <c r="BM47" s="879"/>
      <c r="BN47" s="879"/>
      <c r="BO47" s="879"/>
      <c r="BP47" s="879"/>
      <c r="BQ47" s="879"/>
      <c r="BR47" s="879"/>
      <c r="BS47" s="879"/>
      <c r="BT47" s="879"/>
      <c r="BU47" s="879"/>
    </row>
    <row r="48" spans="1:73" x14ac:dyDescent="0.25">
      <c r="A48" s="879"/>
      <c r="B48" s="882">
        <v>1</v>
      </c>
      <c r="C48" s="884">
        <f t="shared" ref="C48:E48" ca="1" si="5">+OFFSET(C50,$B$48,0)</f>
        <v>1</v>
      </c>
      <c r="D48" s="884">
        <f t="shared" ca="1" si="5"/>
        <v>1</v>
      </c>
      <c r="E48" s="884">
        <f t="shared" ca="1" si="5"/>
        <v>1</v>
      </c>
      <c r="F48" s="884">
        <f ca="1">+OFFSET(F50,$B$48,0)</f>
        <v>1</v>
      </c>
      <c r="G48" s="884">
        <f ca="1">+OFFSET(G50,$B$48,0)</f>
        <v>1</v>
      </c>
      <c r="H48" s="884">
        <f ca="1">+OFFSET(H50,$B$48,0)</f>
        <v>1</v>
      </c>
      <c r="I48" s="884">
        <f ca="1">+OFFSET(I50,$B$48,0)</f>
        <v>1</v>
      </c>
      <c r="J48" s="879"/>
      <c r="K48" s="896">
        <f ca="1">+'Cash Flow Analysis'!F118</f>
        <v>1.613041943883486</v>
      </c>
      <c r="L48" s="896">
        <f ca="1">+'Cash Flow Analysis'!Q118</f>
        <v>0</v>
      </c>
      <c r="M48" s="896">
        <f ca="1">+'Cash Flow Analysis'!L118</f>
        <v>6.4102250076355253E-3</v>
      </c>
      <c r="N48" s="896">
        <f ca="1">+'Cash Flow Analysis'!H117</f>
        <v>0.11951113617208094</v>
      </c>
      <c r="O48" s="896">
        <f ca="1">+'Cash Flow Analysis'!I117</f>
        <v>3.0847670627014306E-2</v>
      </c>
      <c r="P48" s="896">
        <f ca="1">+'Cash Flow Analysis'!J117</f>
        <v>1.8331334564253857E-2</v>
      </c>
      <c r="Q48" s="896">
        <f ca="1">+'Cash Flow Analysis'!K117</f>
        <v>0</v>
      </c>
      <c r="R48" s="896">
        <f ca="1">+'Cash Flow Analysis'!M117</f>
        <v>6.4102250076355253E-3</v>
      </c>
      <c r="S48" s="896">
        <f ca="1">+'Cash Flow Analysis'!N117</f>
        <v>0.16870131664336135</v>
      </c>
      <c r="T48" s="896">
        <f ca="1">+'Cash Flow Analysis'!O117</f>
        <v>1.1859544970057232</v>
      </c>
      <c r="U48" s="896">
        <f ca="1">+'Cash Flow Analysis'!P117</f>
        <v>0</v>
      </c>
      <c r="V48" s="896">
        <f ca="1">+'Cash Flow Analysis'!R117</f>
        <v>1.585391162923162E-2</v>
      </c>
      <c r="W48" s="896">
        <f ca="1">+'Cash Flow Analysis'!S117</f>
        <v>6.2902365970455856E-2</v>
      </c>
      <c r="X48" s="896">
        <f ca="1">+'Cash Flow Analysis'!X117</f>
        <v>-1.545645433256042E-2</v>
      </c>
      <c r="Y48" s="896">
        <f ca="1">+'Cash Flow Analysis'!Z117</f>
        <v>2.6396165603925568E-2</v>
      </c>
      <c r="Z48" s="879"/>
      <c r="AA48" s="879"/>
      <c r="AB48" s="879"/>
      <c r="AC48" s="879"/>
      <c r="AD48" s="879"/>
      <c r="AE48" s="879"/>
      <c r="AF48" s="879"/>
      <c r="AG48" s="879"/>
      <c r="AH48" s="879"/>
      <c r="AI48" s="879"/>
      <c r="AJ48" s="879"/>
      <c r="AK48" s="879"/>
      <c r="AL48" s="879"/>
      <c r="AM48" s="879"/>
      <c r="AN48" s="879"/>
      <c r="AO48" s="879"/>
      <c r="AP48" s="879"/>
      <c r="AQ48" s="879"/>
      <c r="AR48" s="879"/>
      <c r="AS48" s="879"/>
      <c r="AT48" s="879"/>
      <c r="AU48" s="879"/>
      <c r="AV48" s="879"/>
      <c r="AW48" s="879"/>
      <c r="AX48" s="879"/>
      <c r="AY48" s="879"/>
      <c r="AZ48" s="879"/>
      <c r="BA48" s="879"/>
      <c r="BB48" s="879"/>
      <c r="BC48" s="879"/>
      <c r="BD48" s="879"/>
      <c r="BE48" s="879"/>
      <c r="BF48" s="879"/>
      <c r="BG48" s="879"/>
      <c r="BH48" s="879"/>
      <c r="BI48" s="879"/>
      <c r="BJ48" s="879"/>
      <c r="BK48" s="879"/>
      <c r="BL48" s="879"/>
      <c r="BM48" s="879"/>
      <c r="BN48" s="879"/>
      <c r="BO48" s="879"/>
      <c r="BP48" s="879"/>
      <c r="BQ48" s="879"/>
      <c r="BR48" s="879"/>
      <c r="BS48" s="879"/>
      <c r="BT48" s="879"/>
      <c r="BU48" s="879"/>
    </row>
    <row r="49" spans="1:73" x14ac:dyDescent="0.25">
      <c r="A49" s="879"/>
      <c r="B49" s="881"/>
      <c r="C49" s="881"/>
      <c r="D49" s="881"/>
      <c r="E49" s="881"/>
      <c r="F49" s="881"/>
      <c r="G49" s="881"/>
      <c r="H49" s="881"/>
      <c r="I49" s="881"/>
      <c r="J49" s="881"/>
      <c r="K49" s="881"/>
      <c r="L49" s="881"/>
      <c r="M49" s="881"/>
      <c r="N49" s="879"/>
      <c r="O49" s="879"/>
      <c r="P49" s="879"/>
      <c r="Q49" s="879"/>
      <c r="R49" s="879"/>
      <c r="S49" s="879"/>
      <c r="T49" s="879"/>
      <c r="U49" s="879"/>
      <c r="V49" s="879"/>
      <c r="W49" s="879"/>
      <c r="X49" s="879"/>
      <c r="Y49" s="879"/>
      <c r="Z49" s="879"/>
      <c r="AA49" s="879"/>
      <c r="AB49" s="879"/>
      <c r="AC49" s="879"/>
      <c r="AD49" s="879"/>
      <c r="AE49" s="879"/>
      <c r="AF49" s="879"/>
      <c r="AG49" s="879"/>
      <c r="AH49" s="879"/>
      <c r="AI49" s="879"/>
      <c r="AJ49" s="879"/>
      <c r="AK49" s="879"/>
      <c r="AL49" s="879"/>
      <c r="AM49" s="879"/>
      <c r="AN49" s="879"/>
      <c r="AO49" s="879"/>
      <c r="AP49" s="879"/>
      <c r="AQ49" s="879"/>
      <c r="AR49" s="879"/>
      <c r="AS49" s="879"/>
      <c r="AT49" s="879"/>
      <c r="AU49" s="879"/>
      <c r="AV49" s="879"/>
      <c r="AW49" s="879"/>
      <c r="AX49" s="879"/>
      <c r="AY49" s="879"/>
      <c r="AZ49" s="879"/>
      <c r="BA49" s="879"/>
      <c r="BB49" s="879"/>
      <c r="BC49" s="879"/>
      <c r="BD49" s="879"/>
      <c r="BE49" s="879"/>
      <c r="BF49" s="879"/>
      <c r="BG49" s="879"/>
      <c r="BH49" s="879"/>
      <c r="BI49" s="879"/>
      <c r="BJ49" s="879"/>
      <c r="BK49" s="879"/>
      <c r="BL49" s="879"/>
      <c r="BM49" s="879"/>
      <c r="BN49" s="879"/>
      <c r="BO49" s="879"/>
      <c r="BP49" s="879"/>
      <c r="BQ49" s="879"/>
      <c r="BR49" s="879"/>
      <c r="BS49" s="879"/>
      <c r="BT49" s="879"/>
      <c r="BU49" s="879"/>
    </row>
    <row r="50" spans="1:73" ht="52.8" x14ac:dyDescent="0.25">
      <c r="A50" s="879"/>
      <c r="B50" s="890" t="s">
        <v>1117</v>
      </c>
      <c r="C50" s="890" t="s">
        <v>1226</v>
      </c>
      <c r="D50" s="890" t="s">
        <v>1227</v>
      </c>
      <c r="E50" s="890" t="s">
        <v>1228</v>
      </c>
      <c r="F50" s="890" t="s">
        <v>1229</v>
      </c>
      <c r="G50" s="890" t="s">
        <v>1230</v>
      </c>
      <c r="H50" s="890" t="s">
        <v>1246</v>
      </c>
      <c r="I50" s="890" t="s">
        <v>1245</v>
      </c>
      <c r="J50" s="879"/>
      <c r="K50" s="890" t="s">
        <v>1247</v>
      </c>
      <c r="L50" s="890" t="s">
        <v>1231</v>
      </c>
      <c r="M50" s="890" t="s">
        <v>1232</v>
      </c>
      <c r="N50" s="890" t="s">
        <v>1233</v>
      </c>
      <c r="O50" s="890" t="s">
        <v>1234</v>
      </c>
      <c r="P50" s="890" t="s">
        <v>1235</v>
      </c>
      <c r="Q50" s="890" t="s">
        <v>1236</v>
      </c>
      <c r="R50" s="890" t="s">
        <v>1237</v>
      </c>
      <c r="S50" s="890" t="s">
        <v>1238</v>
      </c>
      <c r="T50" s="890" t="s">
        <v>1239</v>
      </c>
      <c r="U50" s="890" t="s">
        <v>1240</v>
      </c>
      <c r="V50" s="890" t="s">
        <v>1241</v>
      </c>
      <c r="W50" s="890" t="s">
        <v>1242</v>
      </c>
      <c r="X50" s="890" t="s">
        <v>1243</v>
      </c>
      <c r="Y50" s="890" t="s">
        <v>1244</v>
      </c>
      <c r="Z50" s="879"/>
      <c r="AA50" s="879"/>
      <c r="AB50" s="879"/>
      <c r="AC50" s="879"/>
      <c r="AD50" s="879"/>
      <c r="AE50" s="879"/>
      <c r="AF50" s="879"/>
      <c r="AG50" s="879"/>
      <c r="AH50" s="879"/>
      <c r="AI50" s="879"/>
      <c r="AJ50" s="879"/>
      <c r="AK50" s="879"/>
      <c r="AL50" s="879"/>
      <c r="AM50" s="879"/>
      <c r="AN50" s="879"/>
      <c r="AO50" s="879"/>
      <c r="AP50" s="879"/>
      <c r="AQ50" s="879"/>
      <c r="AR50" s="879"/>
      <c r="AS50" s="879"/>
      <c r="AT50" s="879"/>
      <c r="AU50" s="879"/>
      <c r="AV50" s="879"/>
      <c r="AW50" s="879"/>
      <c r="AX50" s="879"/>
      <c r="AY50" s="879"/>
      <c r="AZ50" s="879"/>
      <c r="BA50" s="879"/>
      <c r="BB50" s="879"/>
      <c r="BC50" s="879"/>
      <c r="BD50" s="879"/>
      <c r="BE50" s="879"/>
      <c r="BF50" s="879"/>
      <c r="BG50" s="879"/>
      <c r="BH50" s="879"/>
      <c r="BI50" s="879"/>
      <c r="BJ50" s="879"/>
      <c r="BK50" s="879"/>
      <c r="BL50" s="879"/>
      <c r="BM50" s="879"/>
      <c r="BN50" s="879"/>
      <c r="BO50" s="879"/>
      <c r="BP50" s="879"/>
      <c r="BQ50" s="879"/>
      <c r="BR50" s="879"/>
      <c r="BS50" s="879"/>
      <c r="BT50" s="879"/>
      <c r="BU50" s="879"/>
    </row>
    <row r="51" spans="1:73" x14ac:dyDescent="0.25">
      <c r="A51" s="879"/>
      <c r="B51" s="891">
        <v>1</v>
      </c>
      <c r="C51" s="884">
        <v>1</v>
      </c>
      <c r="D51" s="884">
        <v>1</v>
      </c>
      <c r="E51" s="884">
        <v>1</v>
      </c>
      <c r="F51" s="884">
        <v>1</v>
      </c>
      <c r="G51" s="884">
        <v>1</v>
      </c>
      <c r="H51" s="884">
        <v>1</v>
      </c>
      <c r="I51" s="884">
        <v>1</v>
      </c>
      <c r="J51" s="879"/>
      <c r="K51" s="897">
        <v>1.613041943883486</v>
      </c>
      <c r="L51" s="898">
        <v>0</v>
      </c>
      <c r="M51" s="898">
        <v>6.4102250076355253E-3</v>
      </c>
      <c r="N51" s="898">
        <v>0.11951113617208094</v>
      </c>
      <c r="O51" s="898">
        <v>3.0847670627014306E-2</v>
      </c>
      <c r="P51" s="898">
        <v>1.8331334564253857E-2</v>
      </c>
      <c r="Q51" s="898">
        <v>0</v>
      </c>
      <c r="R51" s="898">
        <v>6.4102250076355253E-3</v>
      </c>
      <c r="S51" s="898">
        <v>0.16870131664336135</v>
      </c>
      <c r="T51" s="898">
        <v>1.1859544970057232</v>
      </c>
      <c r="U51" s="898">
        <v>0</v>
      </c>
      <c r="V51" s="898">
        <v>1.585391162923162E-2</v>
      </c>
      <c r="W51" s="898">
        <v>6.2902365970455856E-2</v>
      </c>
      <c r="X51" s="898">
        <v>-1.545645433256042E-2</v>
      </c>
      <c r="Y51" s="898">
        <v>2.6396165603925568E-2</v>
      </c>
      <c r="Z51" s="1008"/>
      <c r="AA51" s="879"/>
      <c r="AB51" s="879"/>
      <c r="AC51" s="879"/>
      <c r="AD51" s="879"/>
      <c r="AE51" s="879"/>
      <c r="AF51" s="879"/>
      <c r="AG51" s="879"/>
      <c r="AH51" s="879"/>
      <c r="AI51" s="879"/>
      <c r="AJ51" s="879"/>
      <c r="AK51" s="879"/>
      <c r="AL51" s="879"/>
      <c r="AM51" s="879"/>
      <c r="AN51" s="879"/>
      <c r="AO51" s="879"/>
      <c r="AP51" s="879"/>
      <c r="AQ51" s="879"/>
      <c r="AR51" s="879"/>
      <c r="AS51" s="879"/>
      <c r="AT51" s="879"/>
      <c r="AU51" s="879"/>
      <c r="AV51" s="879"/>
      <c r="AW51" s="879"/>
      <c r="AX51" s="879"/>
      <c r="AY51" s="879"/>
      <c r="AZ51" s="879"/>
      <c r="BA51" s="879"/>
      <c r="BB51" s="879"/>
      <c r="BC51" s="879"/>
      <c r="BD51" s="879"/>
      <c r="BE51" s="879"/>
      <c r="BF51" s="879"/>
      <c r="BG51" s="879"/>
      <c r="BH51" s="879"/>
      <c r="BI51" s="879"/>
      <c r="BJ51" s="879"/>
      <c r="BK51" s="879"/>
      <c r="BL51" s="879"/>
      <c r="BM51" s="879"/>
      <c r="BN51" s="879"/>
      <c r="BO51" s="879"/>
      <c r="BP51" s="879"/>
      <c r="BQ51" s="879"/>
      <c r="BR51" s="879"/>
      <c r="BS51" s="879"/>
      <c r="BT51" s="879"/>
      <c r="BU51" s="879"/>
    </row>
    <row r="52" spans="1:73" x14ac:dyDescent="0.25">
      <c r="A52" s="879"/>
      <c r="B52" s="899">
        <f>+B51+1</f>
        <v>2</v>
      </c>
      <c r="C52" s="900">
        <f>+F3</f>
        <v>1.05</v>
      </c>
      <c r="D52" s="900">
        <v>1</v>
      </c>
      <c r="E52" s="900">
        <v>1</v>
      </c>
      <c r="F52" s="900">
        <v>1</v>
      </c>
      <c r="G52" s="900">
        <v>1</v>
      </c>
      <c r="H52" s="900">
        <v>1</v>
      </c>
      <c r="I52" s="900">
        <v>1</v>
      </c>
      <c r="J52" s="879"/>
      <c r="K52" s="897">
        <v>1.5942256665851611</v>
      </c>
      <c r="L52" s="898">
        <v>0</v>
      </c>
      <c r="M52" s="898">
        <v>6.1049761977481206E-3</v>
      </c>
      <c r="N52" s="898">
        <v>0.11382012968769614</v>
      </c>
      <c r="O52" s="898">
        <v>2.9378733930489821E-2</v>
      </c>
      <c r="P52" s="898">
        <v>1.8220227330927201E-2</v>
      </c>
      <c r="Q52" s="898">
        <v>0</v>
      </c>
      <c r="R52" s="898">
        <v>6.1049761977481206E-3</v>
      </c>
      <c r="S52" s="898">
        <v>0.16066792061272508</v>
      </c>
      <c r="T52" s="898">
        <v>1.1859544970057232</v>
      </c>
      <c r="U52" s="898">
        <v>0</v>
      </c>
      <c r="V52" s="898">
        <v>1.5594310398978378E-2</v>
      </c>
      <c r="W52" s="898">
        <v>5.9907015209957969E-2</v>
      </c>
      <c r="X52" s="898">
        <v>-1.4456372928409292E-2</v>
      </c>
      <c r="Y52" s="898">
        <v>2.5139205337071976E-2</v>
      </c>
      <c r="Z52" s="1008"/>
      <c r="AA52" s="879"/>
      <c r="AB52" s="879"/>
      <c r="AC52" s="879"/>
      <c r="AD52" s="879"/>
      <c r="AE52" s="879"/>
      <c r="AF52" s="879"/>
      <c r="AG52" s="879"/>
      <c r="AH52" s="879"/>
      <c r="AI52" s="879"/>
      <c r="AJ52" s="879"/>
      <c r="AK52" s="879"/>
      <c r="AL52" s="879"/>
      <c r="AM52" s="879"/>
      <c r="AN52" s="879"/>
      <c r="AO52" s="879"/>
      <c r="AP52" s="879"/>
      <c r="AQ52" s="879"/>
      <c r="AR52" s="879"/>
      <c r="AS52" s="879"/>
      <c r="AT52" s="879"/>
      <c r="AU52" s="879"/>
      <c r="AV52" s="879"/>
      <c r="AW52" s="879"/>
      <c r="AX52" s="879"/>
      <c r="AY52" s="879"/>
      <c r="AZ52" s="879"/>
      <c r="BA52" s="879"/>
      <c r="BB52" s="879"/>
      <c r="BC52" s="879"/>
      <c r="BD52" s="879"/>
      <c r="BE52" s="879"/>
      <c r="BF52" s="879"/>
      <c r="BG52" s="879"/>
      <c r="BH52" s="879"/>
      <c r="BI52" s="879"/>
      <c r="BJ52" s="879"/>
      <c r="BK52" s="879"/>
      <c r="BL52" s="879"/>
      <c r="BM52" s="879"/>
      <c r="BN52" s="879"/>
      <c r="BO52" s="879"/>
      <c r="BP52" s="879"/>
      <c r="BQ52" s="879"/>
      <c r="BR52" s="879"/>
      <c r="BS52" s="879"/>
      <c r="BT52" s="879"/>
      <c r="BU52" s="879"/>
    </row>
    <row r="53" spans="1:73" x14ac:dyDescent="0.25">
      <c r="A53" s="879"/>
      <c r="B53" s="899">
        <f t="shared" ref="B53:B70" si="6">+B52+1</f>
        <v>3</v>
      </c>
      <c r="C53" s="900">
        <f>+G3</f>
        <v>0.95</v>
      </c>
      <c r="D53" s="900">
        <v>1</v>
      </c>
      <c r="E53" s="900">
        <v>1</v>
      </c>
      <c r="F53" s="900">
        <v>1</v>
      </c>
      <c r="G53" s="900">
        <v>1</v>
      </c>
      <c r="H53" s="900">
        <v>1</v>
      </c>
      <c r="I53" s="900">
        <v>1</v>
      </c>
      <c r="J53" s="879"/>
      <c r="K53" s="897">
        <v>1.6338388819500587</v>
      </c>
      <c r="L53" s="898">
        <v>0</v>
      </c>
      <c r="M53" s="898">
        <v>6.7476052711952913E-3</v>
      </c>
      <c r="N53" s="898">
        <v>0.12580119597061154</v>
      </c>
      <c r="O53" s="898">
        <v>3.2471232238962436E-2</v>
      </c>
      <c r="P53" s="898">
        <v>1.8454137295825429E-2</v>
      </c>
      <c r="Q53" s="898">
        <v>0</v>
      </c>
      <c r="R53" s="898">
        <v>6.7476052711952913E-3</v>
      </c>
      <c r="S53" s="898">
        <v>0.17758033330880146</v>
      </c>
      <c r="T53" s="898">
        <v>1.1859544970057236</v>
      </c>
      <c r="U53" s="898">
        <v>0</v>
      </c>
      <c r="V53" s="898">
        <v>1.6140839304774685E-2</v>
      </c>
      <c r="W53" s="898">
        <v>6.6213016811006192E-2</v>
      </c>
      <c r="X53" s="898">
        <v>-1.6561807463463984E-2</v>
      </c>
      <c r="Y53" s="898">
        <v>2.7785437477816401E-2</v>
      </c>
      <c r="Z53" s="1008"/>
      <c r="AA53" s="879"/>
      <c r="AB53" s="879"/>
      <c r="AC53" s="879"/>
      <c r="AD53" s="879"/>
      <c r="AE53" s="879"/>
      <c r="AF53" s="879"/>
      <c r="AG53" s="879"/>
      <c r="AH53" s="879"/>
      <c r="AI53" s="879"/>
      <c r="AJ53" s="879"/>
      <c r="AK53" s="879"/>
      <c r="AL53" s="879"/>
      <c r="AM53" s="879"/>
      <c r="AN53" s="879"/>
      <c r="AO53" s="879"/>
      <c r="AP53" s="879"/>
      <c r="AQ53" s="879"/>
      <c r="AR53" s="879"/>
      <c r="AS53" s="879"/>
      <c r="AT53" s="879"/>
      <c r="AU53" s="879"/>
      <c r="AV53" s="879"/>
      <c r="AW53" s="879"/>
      <c r="AX53" s="879"/>
      <c r="AY53" s="879"/>
      <c r="AZ53" s="879"/>
      <c r="BA53" s="879"/>
      <c r="BB53" s="879"/>
      <c r="BC53" s="879"/>
      <c r="BD53" s="879"/>
      <c r="BE53" s="879"/>
      <c r="BF53" s="879"/>
      <c r="BG53" s="879"/>
      <c r="BH53" s="879"/>
      <c r="BI53" s="879"/>
      <c r="BJ53" s="879"/>
      <c r="BK53" s="879"/>
      <c r="BL53" s="879"/>
      <c r="BM53" s="879"/>
      <c r="BN53" s="879"/>
      <c r="BO53" s="879"/>
      <c r="BP53" s="879"/>
      <c r="BQ53" s="879"/>
      <c r="BR53" s="879"/>
      <c r="BS53" s="879"/>
      <c r="BT53" s="879"/>
      <c r="BU53" s="879"/>
    </row>
    <row r="54" spans="1:73" x14ac:dyDescent="0.25">
      <c r="A54" s="879"/>
      <c r="B54" s="891">
        <f t="shared" si="6"/>
        <v>4</v>
      </c>
      <c r="C54" s="884">
        <v>1</v>
      </c>
      <c r="D54" s="884">
        <f>+F4</f>
        <v>1.05</v>
      </c>
      <c r="E54" s="884">
        <v>1</v>
      </c>
      <c r="F54" s="884">
        <v>1</v>
      </c>
      <c r="G54" s="884">
        <v>1</v>
      </c>
      <c r="H54" s="884">
        <v>1</v>
      </c>
      <c r="I54" s="884">
        <v>1</v>
      </c>
      <c r="J54" s="879"/>
      <c r="K54" s="897">
        <v>1.6079482607095905</v>
      </c>
      <c r="L54" s="898">
        <v>0</v>
      </c>
      <c r="M54" s="898">
        <v>6.272419355331015E-3</v>
      </c>
      <c r="N54" s="898">
        <v>0.11694191121379484</v>
      </c>
      <c r="O54" s="898">
        <v>3.0251480798608638E-2</v>
      </c>
      <c r="P54" s="898">
        <v>1.8324988164119461E-2</v>
      </c>
      <c r="Q54" s="898">
        <v>0</v>
      </c>
      <c r="R54" s="898">
        <v>6.272419355331015E-3</v>
      </c>
      <c r="S54" s="898">
        <v>0.16822762804932911</v>
      </c>
      <c r="T54" s="898">
        <v>1.1859544970057232</v>
      </c>
      <c r="U54" s="898">
        <v>0</v>
      </c>
      <c r="V54" s="898">
        <v>1.5853911629231617E-2</v>
      </c>
      <c r="W54" s="898">
        <v>6.1550104300431722E-2</v>
      </c>
      <c r="X54" s="898">
        <v>-1.4984966907876422E-2</v>
      </c>
      <c r="Y54" s="898">
        <v>2.5828706456227316E-2</v>
      </c>
      <c r="Z54" s="1008"/>
      <c r="AA54" s="879"/>
      <c r="AB54" s="879"/>
      <c r="AC54" s="879"/>
      <c r="AD54" s="879"/>
      <c r="AE54" s="879"/>
      <c r="AF54" s="879"/>
      <c r="AG54" s="879"/>
      <c r="AH54" s="879"/>
      <c r="AI54" s="879"/>
      <c r="AJ54" s="879"/>
      <c r="AK54" s="879"/>
      <c r="AL54" s="879"/>
      <c r="AM54" s="879"/>
      <c r="AN54" s="879"/>
      <c r="AO54" s="879"/>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row>
    <row r="55" spans="1:73" x14ac:dyDescent="0.25">
      <c r="A55" s="879"/>
      <c r="B55" s="891">
        <f t="shared" si="6"/>
        <v>5</v>
      </c>
      <c r="C55" s="884">
        <v>1</v>
      </c>
      <c r="D55" s="884">
        <f>+G4</f>
        <v>0.95</v>
      </c>
      <c r="E55" s="884">
        <v>1</v>
      </c>
      <c r="F55" s="884">
        <v>1</v>
      </c>
      <c r="G55" s="884">
        <v>1</v>
      </c>
      <c r="H55" s="884">
        <v>1</v>
      </c>
      <c r="I55" s="884">
        <v>1</v>
      </c>
      <c r="J55" s="879"/>
      <c r="K55" s="897">
        <v>1.6185660291574699</v>
      </c>
      <c r="L55" s="898">
        <v>0</v>
      </c>
      <c r="M55" s="898">
        <v>6.558795991011509E-3</v>
      </c>
      <c r="N55" s="898">
        <v>0.12228106811742098</v>
      </c>
      <c r="O55" s="898">
        <v>3.1487120912283811E-2</v>
      </c>
      <c r="P55" s="898">
        <v>1.8338651004427005E-2</v>
      </c>
      <c r="Q55" s="898">
        <v>0</v>
      </c>
      <c r="R55" s="898">
        <v>6.558795991011509E-3</v>
      </c>
      <c r="S55" s="898">
        <v>0.16924740799996399</v>
      </c>
      <c r="T55" s="898">
        <v>1.1859544970057236</v>
      </c>
      <c r="U55" s="898">
        <v>0</v>
      </c>
      <c r="V55" s="898">
        <v>1.585391162923162E-2</v>
      </c>
      <c r="W55" s="898">
        <v>6.4360265865978233E-2</v>
      </c>
      <c r="X55" s="898">
        <v>-1.5964847846379162E-2</v>
      </c>
      <c r="Y55" s="898">
        <v>2.7007954468818648E-2</v>
      </c>
      <c r="Z55" s="1008"/>
      <c r="AA55" s="879"/>
      <c r="AB55" s="879"/>
      <c r="AC55" s="879"/>
      <c r="AD55" s="879"/>
      <c r="AE55" s="879"/>
      <c r="AF55" s="879"/>
      <c r="AG55" s="879"/>
      <c r="AH55" s="879"/>
      <c r="AI55" s="879"/>
      <c r="AJ55" s="879"/>
      <c r="AK55" s="879"/>
      <c r="AL55" s="879"/>
      <c r="AM55" s="879"/>
      <c r="AN55" s="879"/>
      <c r="AO55" s="879"/>
      <c r="AP55" s="879"/>
      <c r="AQ55" s="879"/>
      <c r="AR55" s="879"/>
      <c r="AS55" s="879"/>
      <c r="AT55" s="879"/>
      <c r="AU55" s="879"/>
      <c r="AV55" s="879"/>
      <c r="AW55" s="879"/>
      <c r="AX55" s="879"/>
      <c r="AY55" s="879"/>
      <c r="AZ55" s="879"/>
      <c r="BA55" s="879"/>
      <c r="BB55" s="879"/>
      <c r="BC55" s="879"/>
      <c r="BD55" s="879"/>
      <c r="BE55" s="879"/>
      <c r="BF55" s="879"/>
      <c r="BG55" s="879"/>
      <c r="BH55" s="879"/>
      <c r="BI55" s="879"/>
      <c r="BJ55" s="879"/>
      <c r="BK55" s="879"/>
      <c r="BL55" s="879"/>
      <c r="BM55" s="879"/>
      <c r="BN55" s="879"/>
      <c r="BO55" s="879"/>
      <c r="BP55" s="879"/>
      <c r="BQ55" s="879"/>
      <c r="BR55" s="879"/>
      <c r="BS55" s="879"/>
      <c r="BT55" s="879"/>
      <c r="BU55" s="879"/>
    </row>
    <row r="56" spans="1:73" x14ac:dyDescent="0.25">
      <c r="A56" s="879"/>
      <c r="B56" s="899">
        <f t="shared" si="6"/>
        <v>6</v>
      </c>
      <c r="C56" s="900">
        <v>1</v>
      </c>
      <c r="D56" s="900">
        <v>1</v>
      </c>
      <c r="E56" s="900">
        <f>+F5</f>
        <v>0.95</v>
      </c>
      <c r="F56" s="900">
        <v>1</v>
      </c>
      <c r="G56" s="900">
        <v>1</v>
      </c>
      <c r="H56" s="900">
        <v>1</v>
      </c>
      <c r="I56" s="900">
        <v>1</v>
      </c>
      <c r="J56" s="879"/>
      <c r="K56" s="897">
        <v>1.6107217244721268</v>
      </c>
      <c r="L56" s="898">
        <v>0</v>
      </c>
      <c r="M56" s="898">
        <v>6.695612660104734E-3</v>
      </c>
      <c r="N56" s="898">
        <v>0.11590328356539081</v>
      </c>
      <c r="O56" s="898">
        <v>3.0886553632149417E-2</v>
      </c>
      <c r="P56" s="898">
        <v>1.7645913557536169E-2</v>
      </c>
      <c r="Q56" s="898">
        <v>0</v>
      </c>
      <c r="R56" s="898">
        <v>6.695612660104734E-3</v>
      </c>
      <c r="S56" s="898">
        <v>0.16864781931460818</v>
      </c>
      <c r="T56" s="898">
        <v>1.1868891986533301</v>
      </c>
      <c r="U56" s="898">
        <v>0</v>
      </c>
      <c r="V56" s="898">
        <v>1.585391162923162E-2</v>
      </c>
      <c r="W56" s="898">
        <v>6.2553205990220823E-2</v>
      </c>
      <c r="X56" s="898">
        <v>-1.5229503030025826E-2</v>
      </c>
      <c r="Y56" s="898">
        <v>2.7571341159685268E-2</v>
      </c>
      <c r="Z56" s="1008"/>
      <c r="AA56" s="879"/>
      <c r="AB56" s="879"/>
      <c r="AC56" s="879"/>
      <c r="AD56" s="879"/>
      <c r="AE56" s="879"/>
      <c r="AF56" s="879"/>
      <c r="AG56" s="879"/>
      <c r="AH56" s="879"/>
      <c r="AI56" s="879"/>
      <c r="AJ56" s="879"/>
      <c r="AK56" s="879"/>
      <c r="AL56" s="879"/>
      <c r="AM56" s="879"/>
      <c r="AN56" s="879"/>
      <c r="AO56" s="879"/>
      <c r="AP56" s="879"/>
      <c r="AQ56" s="879"/>
      <c r="AR56" s="879"/>
      <c r="AS56" s="879"/>
      <c r="AT56" s="879"/>
      <c r="AU56" s="879"/>
      <c r="AV56" s="879"/>
      <c r="AW56" s="879"/>
      <c r="AX56" s="879"/>
      <c r="AY56" s="879"/>
      <c r="AZ56" s="879"/>
      <c r="BA56" s="879"/>
      <c r="BB56" s="879"/>
      <c r="BC56" s="879"/>
      <c r="BD56" s="879"/>
      <c r="BE56" s="879"/>
      <c r="BF56" s="879"/>
      <c r="BG56" s="879"/>
      <c r="BH56" s="879"/>
      <c r="BI56" s="879"/>
      <c r="BJ56" s="879"/>
      <c r="BK56" s="879"/>
      <c r="BL56" s="879"/>
      <c r="BM56" s="879"/>
      <c r="BN56" s="879"/>
      <c r="BO56" s="879"/>
      <c r="BP56" s="879"/>
      <c r="BQ56" s="879"/>
      <c r="BR56" s="879"/>
      <c r="BS56" s="879"/>
      <c r="BT56" s="879"/>
      <c r="BU56" s="879"/>
    </row>
    <row r="57" spans="1:73" x14ac:dyDescent="0.25">
      <c r="A57" s="879"/>
      <c r="B57" s="899">
        <f t="shared" si="6"/>
        <v>7</v>
      </c>
      <c r="C57" s="900">
        <v>1</v>
      </c>
      <c r="D57" s="900">
        <v>1</v>
      </c>
      <c r="E57" s="900">
        <f>+G5</f>
        <v>1.05</v>
      </c>
      <c r="F57" s="900">
        <v>1</v>
      </c>
      <c r="G57" s="900">
        <v>1</v>
      </c>
      <c r="H57" s="900">
        <v>1</v>
      </c>
      <c r="I57" s="900">
        <v>1</v>
      </c>
      <c r="J57" s="879"/>
      <c r="K57" s="897">
        <v>1.6154905399516624</v>
      </c>
      <c r="L57" s="898">
        <v>0</v>
      </c>
      <c r="M57" s="898">
        <v>6.1355417013961872E-3</v>
      </c>
      <c r="N57" s="898">
        <v>0.12316818666354515</v>
      </c>
      <c r="O57" s="898">
        <v>3.0801500655956111E-2</v>
      </c>
      <c r="P57" s="898">
        <v>1.9011715228992046E-2</v>
      </c>
      <c r="Q57" s="898">
        <v>0</v>
      </c>
      <c r="R57" s="898">
        <v>6.1355417013961872E-3</v>
      </c>
      <c r="S57" s="898">
        <v>0.16875524454518548</v>
      </c>
      <c r="T57" s="898">
        <v>1.1850307596519649</v>
      </c>
      <c r="U57" s="898">
        <v>0</v>
      </c>
      <c r="V57" s="898">
        <v>1.5853911629231627E-2</v>
      </c>
      <c r="W57" s="898">
        <v>6.325316217468735E-2</v>
      </c>
      <c r="X57" s="898">
        <v>-1.5649009238539374E-2</v>
      </c>
      <c r="Y57" s="898">
        <v>2.5265068640637881E-2</v>
      </c>
      <c r="Z57" s="1008"/>
      <c r="AA57" s="879"/>
      <c r="AB57" s="879"/>
      <c r="AC57" s="879"/>
      <c r="AD57" s="879"/>
      <c r="AE57" s="879"/>
      <c r="AF57" s="879"/>
      <c r="AG57" s="879"/>
      <c r="AH57" s="879"/>
      <c r="AI57" s="879"/>
      <c r="AJ57" s="879"/>
      <c r="AK57" s="879"/>
      <c r="AL57" s="879"/>
      <c r="AM57" s="879"/>
      <c r="AN57" s="879"/>
      <c r="AO57" s="879"/>
      <c r="AP57" s="879"/>
      <c r="AQ57" s="879"/>
      <c r="AR57" s="879"/>
      <c r="AS57" s="879"/>
      <c r="AT57" s="879"/>
      <c r="AU57" s="879"/>
      <c r="AV57" s="879"/>
      <c r="AW57" s="879"/>
      <c r="AX57" s="879"/>
      <c r="AY57" s="879"/>
      <c r="AZ57" s="879"/>
      <c r="BA57" s="879"/>
      <c r="BB57" s="879"/>
      <c r="BC57" s="879"/>
      <c r="BD57" s="879"/>
      <c r="BE57" s="879"/>
      <c r="BF57" s="879"/>
      <c r="BG57" s="879"/>
      <c r="BH57" s="879"/>
      <c r="BI57" s="879"/>
      <c r="BJ57" s="879"/>
      <c r="BK57" s="879"/>
      <c r="BL57" s="879"/>
      <c r="BM57" s="879"/>
      <c r="BN57" s="879"/>
      <c r="BO57" s="879"/>
      <c r="BP57" s="879"/>
      <c r="BQ57" s="879"/>
      <c r="BR57" s="879"/>
      <c r="BS57" s="879"/>
      <c r="BT57" s="879"/>
      <c r="BU57" s="879"/>
    </row>
    <row r="58" spans="1:73" x14ac:dyDescent="0.25">
      <c r="A58" s="879"/>
      <c r="B58" s="891">
        <f t="shared" si="6"/>
        <v>8</v>
      </c>
      <c r="C58" s="884">
        <v>1</v>
      </c>
      <c r="D58" s="884">
        <v>1</v>
      </c>
      <c r="E58" s="884">
        <v>1</v>
      </c>
      <c r="F58" s="884">
        <f>+F6</f>
        <v>0.95</v>
      </c>
      <c r="G58" s="884">
        <v>1</v>
      </c>
      <c r="H58" s="884">
        <v>1</v>
      </c>
      <c r="I58" s="884">
        <v>1</v>
      </c>
      <c r="J58" s="879"/>
      <c r="K58" s="897">
        <v>1.552676433372211</v>
      </c>
      <c r="L58" s="898">
        <v>0</v>
      </c>
      <c r="M58" s="898">
        <v>6.4102250076355253E-3</v>
      </c>
      <c r="N58" s="898">
        <v>0.11951113617208094</v>
      </c>
      <c r="O58" s="898">
        <v>3.0847670627014306E-2</v>
      </c>
      <c r="P58" s="898">
        <v>1.7538396932402882E-2</v>
      </c>
      <c r="Q58" s="898">
        <v>0</v>
      </c>
      <c r="R58" s="898">
        <v>6.4102250076355253E-3</v>
      </c>
      <c r="S58" s="898">
        <v>0.16870131664336135</v>
      </c>
      <c r="T58" s="898">
        <v>1.1266567721554372</v>
      </c>
      <c r="U58" s="898">
        <v>0</v>
      </c>
      <c r="V58" s="898">
        <v>1.585391162923162E-2</v>
      </c>
      <c r="W58" s="898">
        <v>6.2902365970455856E-2</v>
      </c>
      <c r="X58" s="898">
        <v>-1.5731302361699066E-2</v>
      </c>
      <c r="Y58" s="898">
        <v>2.6396165603925568E-2</v>
      </c>
      <c r="Z58" s="1008"/>
      <c r="AA58" s="879"/>
      <c r="AB58" s="879"/>
      <c r="AC58" s="879"/>
      <c r="AD58" s="879"/>
      <c r="AE58" s="879"/>
      <c r="AF58" s="879"/>
      <c r="AG58" s="879"/>
      <c r="AH58" s="879"/>
      <c r="AI58" s="879"/>
      <c r="AJ58" s="879"/>
      <c r="AK58" s="879"/>
      <c r="AL58" s="879"/>
      <c r="AM58" s="879"/>
      <c r="AN58" s="879"/>
      <c r="AO58" s="879"/>
      <c r="AP58" s="879"/>
      <c r="AQ58" s="879"/>
      <c r="AR58" s="879"/>
      <c r="AS58" s="879"/>
      <c r="AT58" s="879"/>
      <c r="AU58" s="879"/>
      <c r="AV58" s="879"/>
      <c r="AW58" s="879"/>
      <c r="AX58" s="879"/>
      <c r="AY58" s="879"/>
      <c r="AZ58" s="879"/>
      <c r="BA58" s="879"/>
      <c r="BB58" s="879"/>
      <c r="BC58" s="879"/>
      <c r="BD58" s="879"/>
      <c r="BE58" s="879"/>
      <c r="BF58" s="879"/>
      <c r="BG58" s="879"/>
      <c r="BH58" s="879"/>
      <c r="BI58" s="879"/>
      <c r="BJ58" s="879"/>
      <c r="BK58" s="879"/>
      <c r="BL58" s="879"/>
      <c r="BM58" s="879"/>
      <c r="BN58" s="879"/>
      <c r="BO58" s="879"/>
      <c r="BP58" s="879"/>
      <c r="BQ58" s="879"/>
      <c r="BR58" s="879"/>
      <c r="BS58" s="879"/>
      <c r="BT58" s="879"/>
      <c r="BU58" s="879"/>
    </row>
    <row r="59" spans="1:73" x14ac:dyDescent="0.25">
      <c r="A59" s="879"/>
      <c r="B59" s="891">
        <f t="shared" si="6"/>
        <v>9</v>
      </c>
      <c r="C59" s="884">
        <v>1</v>
      </c>
      <c r="D59" s="884">
        <v>1</v>
      </c>
      <c r="E59" s="884">
        <v>1</v>
      </c>
      <c r="F59" s="884">
        <f>+G6</f>
        <v>1.05</v>
      </c>
      <c r="G59" s="884">
        <v>1</v>
      </c>
      <c r="H59" s="884">
        <v>1</v>
      </c>
      <c r="I59" s="884">
        <v>1</v>
      </c>
      <c r="J59" s="879"/>
      <c r="K59" s="897">
        <v>1.6734074543947626</v>
      </c>
      <c r="L59" s="898">
        <v>0</v>
      </c>
      <c r="M59" s="898">
        <v>6.4102250076355253E-3</v>
      </c>
      <c r="N59" s="898">
        <v>0.11951113617208094</v>
      </c>
      <c r="O59" s="898">
        <v>3.0847670627014306E-2</v>
      </c>
      <c r="P59" s="898">
        <v>1.9124272196104842E-2</v>
      </c>
      <c r="Q59" s="898">
        <v>0</v>
      </c>
      <c r="R59" s="898">
        <v>6.4102250076355253E-3</v>
      </c>
      <c r="S59" s="898">
        <v>0.16870131664336135</v>
      </c>
      <c r="T59" s="898">
        <v>1.2452522218560089</v>
      </c>
      <c r="U59" s="898">
        <v>0</v>
      </c>
      <c r="V59" s="898">
        <v>1.585391162923162E-2</v>
      </c>
      <c r="W59" s="898">
        <v>6.2902365970455856E-2</v>
      </c>
      <c r="X59" s="898">
        <v>-1.5181606303421628E-2</v>
      </c>
      <c r="Y59" s="898">
        <v>2.6396165603925568E-2</v>
      </c>
      <c r="Z59" s="1008"/>
      <c r="AA59" s="879"/>
      <c r="AB59" s="879"/>
      <c r="AC59" s="879"/>
      <c r="AD59" s="879"/>
      <c r="AE59" s="879"/>
      <c r="AF59" s="879"/>
      <c r="AG59" s="879"/>
      <c r="AH59" s="879"/>
      <c r="AI59" s="879"/>
      <c r="AJ59" s="879"/>
      <c r="AK59" s="879"/>
      <c r="AL59" s="879"/>
      <c r="AM59" s="879"/>
      <c r="AN59" s="879"/>
      <c r="AO59" s="879"/>
      <c r="AP59" s="879"/>
      <c r="AQ59" s="879"/>
      <c r="AR59" s="879"/>
      <c r="AS59" s="879"/>
      <c r="AT59" s="879"/>
      <c r="AU59" s="879"/>
      <c r="AV59" s="879"/>
      <c r="AW59" s="879"/>
      <c r="AX59" s="879"/>
      <c r="AY59" s="879"/>
      <c r="AZ59" s="879"/>
      <c r="BA59" s="879"/>
      <c r="BB59" s="879"/>
      <c r="BC59" s="879"/>
      <c r="BD59" s="879"/>
      <c r="BE59" s="879"/>
      <c r="BF59" s="879"/>
      <c r="BG59" s="879"/>
      <c r="BH59" s="879"/>
      <c r="BI59" s="879"/>
      <c r="BJ59" s="879"/>
      <c r="BK59" s="879"/>
      <c r="BL59" s="879"/>
      <c r="BM59" s="879"/>
      <c r="BN59" s="879"/>
      <c r="BO59" s="879"/>
      <c r="BP59" s="879"/>
      <c r="BQ59" s="879"/>
      <c r="BR59" s="879"/>
      <c r="BS59" s="879"/>
      <c r="BT59" s="879"/>
      <c r="BU59" s="879"/>
    </row>
    <row r="60" spans="1:73" x14ac:dyDescent="0.25">
      <c r="A60" s="879"/>
      <c r="B60" s="899">
        <f t="shared" si="6"/>
        <v>10</v>
      </c>
      <c r="C60" s="900">
        <v>1</v>
      </c>
      <c r="D60" s="900">
        <v>1</v>
      </c>
      <c r="E60" s="900">
        <v>1</v>
      </c>
      <c r="F60" s="900">
        <v>1</v>
      </c>
      <c r="G60" s="900">
        <f>+F7</f>
        <v>0.95</v>
      </c>
      <c r="H60" s="900">
        <v>1</v>
      </c>
      <c r="I60" s="900">
        <v>1</v>
      </c>
      <c r="J60" s="879"/>
      <c r="K60" s="897">
        <v>1.613041943883486</v>
      </c>
      <c r="L60" s="898">
        <v>0</v>
      </c>
      <c r="M60" s="898">
        <v>6.4102250076355253E-3</v>
      </c>
      <c r="N60" s="898">
        <v>0.11951113617208094</v>
      </c>
      <c r="O60" s="898">
        <v>3.0847670627014306E-2</v>
      </c>
      <c r="P60" s="898">
        <v>1.8331334564253857E-2</v>
      </c>
      <c r="Q60" s="898">
        <v>0</v>
      </c>
      <c r="R60" s="898">
        <v>6.4102250076355253E-3</v>
      </c>
      <c r="S60" s="898">
        <v>0.16870131664336135</v>
      </c>
      <c r="T60" s="898">
        <v>1.1859544970057232</v>
      </c>
      <c r="U60" s="898">
        <v>0</v>
      </c>
      <c r="V60" s="898">
        <v>1.585391162923162E-2</v>
      </c>
      <c r="W60" s="898">
        <v>6.2902365970455856E-2</v>
      </c>
      <c r="X60" s="898">
        <v>-1.545645433256042E-2</v>
      </c>
      <c r="Y60" s="898">
        <v>2.6396165603925568E-2</v>
      </c>
      <c r="Z60" s="1008"/>
      <c r="AA60" s="879"/>
      <c r="AB60" s="879"/>
      <c r="AC60" s="879"/>
      <c r="AD60" s="879"/>
      <c r="AE60" s="879"/>
      <c r="AF60" s="879"/>
      <c r="AG60" s="879"/>
      <c r="AH60" s="879"/>
      <c r="AI60" s="879"/>
      <c r="AJ60" s="879"/>
      <c r="AK60" s="879"/>
      <c r="AL60" s="879"/>
      <c r="AM60" s="879"/>
      <c r="AN60" s="879"/>
      <c r="AO60" s="879"/>
      <c r="AP60" s="879"/>
      <c r="AQ60" s="879"/>
      <c r="AR60" s="879"/>
      <c r="AS60" s="879"/>
      <c r="AT60" s="879"/>
      <c r="AU60" s="879"/>
      <c r="AV60" s="879"/>
      <c r="AW60" s="879"/>
      <c r="AX60" s="879"/>
      <c r="AY60" s="879"/>
      <c r="AZ60" s="879"/>
      <c r="BA60" s="879"/>
      <c r="BB60" s="879"/>
      <c r="BC60" s="879"/>
      <c r="BD60" s="879"/>
      <c r="BE60" s="879"/>
      <c r="BF60" s="879"/>
      <c r="BG60" s="879"/>
      <c r="BH60" s="879"/>
      <c r="BI60" s="879"/>
      <c r="BJ60" s="879"/>
      <c r="BK60" s="879"/>
      <c r="BL60" s="879"/>
      <c r="BM60" s="879"/>
      <c r="BN60" s="879"/>
      <c r="BO60" s="879"/>
      <c r="BP60" s="879"/>
      <c r="BQ60" s="879"/>
      <c r="BR60" s="879"/>
      <c r="BS60" s="879"/>
      <c r="BT60" s="879"/>
      <c r="BU60" s="879"/>
    </row>
    <row r="61" spans="1:73" x14ac:dyDescent="0.25">
      <c r="A61" s="879"/>
      <c r="B61" s="899">
        <f t="shared" si="6"/>
        <v>11</v>
      </c>
      <c r="C61" s="900">
        <v>1</v>
      </c>
      <c r="D61" s="900">
        <v>1</v>
      </c>
      <c r="E61" s="900">
        <v>1</v>
      </c>
      <c r="F61" s="900">
        <v>1</v>
      </c>
      <c r="G61" s="900">
        <f>+G6</f>
        <v>1.05</v>
      </c>
      <c r="H61" s="900">
        <v>1</v>
      </c>
      <c r="I61" s="900">
        <v>1</v>
      </c>
      <c r="J61" s="879"/>
      <c r="K61" s="897">
        <v>1.613041943883486</v>
      </c>
      <c r="L61" s="898">
        <v>0</v>
      </c>
      <c r="M61" s="898">
        <v>6.4102250076355253E-3</v>
      </c>
      <c r="N61" s="898">
        <v>0.11951113617208094</v>
      </c>
      <c r="O61" s="898">
        <v>3.0847670627014306E-2</v>
      </c>
      <c r="P61" s="898">
        <v>1.8331334564253857E-2</v>
      </c>
      <c r="Q61" s="898">
        <v>0</v>
      </c>
      <c r="R61" s="898">
        <v>6.4102250076355253E-3</v>
      </c>
      <c r="S61" s="898">
        <v>0.16870131664336135</v>
      </c>
      <c r="T61" s="898">
        <v>1.1859544970057232</v>
      </c>
      <c r="U61" s="898">
        <v>0</v>
      </c>
      <c r="V61" s="898">
        <v>1.585391162923162E-2</v>
      </c>
      <c r="W61" s="898">
        <v>6.2902365970455856E-2</v>
      </c>
      <c r="X61" s="898">
        <v>-1.545645433256042E-2</v>
      </c>
      <c r="Y61" s="898">
        <v>2.6396165603925568E-2</v>
      </c>
      <c r="Z61" s="1008"/>
      <c r="AA61" s="879"/>
      <c r="AB61" s="879"/>
      <c r="AC61" s="879"/>
      <c r="AD61" s="879"/>
      <c r="AE61" s="879"/>
      <c r="AF61" s="879"/>
      <c r="AG61" s="879"/>
      <c r="AH61" s="879"/>
      <c r="AI61" s="879"/>
      <c r="AJ61" s="879"/>
      <c r="AK61" s="879"/>
      <c r="AL61" s="879"/>
      <c r="AM61" s="879"/>
      <c r="AN61" s="879"/>
      <c r="AO61" s="879"/>
      <c r="AP61" s="879"/>
      <c r="AQ61" s="879"/>
      <c r="AR61" s="879"/>
      <c r="AS61" s="879"/>
      <c r="AT61" s="879"/>
      <c r="AU61" s="879"/>
      <c r="AV61" s="879"/>
      <c r="AW61" s="879"/>
      <c r="AX61" s="879"/>
      <c r="AY61" s="879"/>
      <c r="AZ61" s="879"/>
      <c r="BA61" s="879"/>
      <c r="BB61" s="879"/>
      <c r="BC61" s="879"/>
      <c r="BD61" s="879"/>
      <c r="BE61" s="879"/>
      <c r="BF61" s="879"/>
      <c r="BG61" s="879"/>
      <c r="BH61" s="879"/>
      <c r="BI61" s="879"/>
      <c r="BJ61" s="879"/>
      <c r="BK61" s="879"/>
      <c r="BL61" s="879"/>
      <c r="BM61" s="879"/>
      <c r="BN61" s="879"/>
      <c r="BO61" s="879"/>
      <c r="BP61" s="879"/>
      <c r="BQ61" s="879"/>
      <c r="BR61" s="879"/>
      <c r="BS61" s="879"/>
      <c r="BT61" s="879"/>
      <c r="BU61" s="879"/>
    </row>
    <row r="62" spans="1:73" x14ac:dyDescent="0.25">
      <c r="A62" s="879"/>
      <c r="B62" s="891">
        <f t="shared" si="6"/>
        <v>12</v>
      </c>
      <c r="C62" s="884">
        <v>1</v>
      </c>
      <c r="D62" s="884">
        <v>1</v>
      </c>
      <c r="E62" s="884">
        <v>1</v>
      </c>
      <c r="F62" s="884">
        <v>1</v>
      </c>
      <c r="G62" s="884">
        <v>1</v>
      </c>
      <c r="H62" s="884">
        <f>+F8</f>
        <v>0.95</v>
      </c>
      <c r="I62" s="884">
        <v>1</v>
      </c>
      <c r="J62" s="879"/>
      <c r="K62" s="897">
        <v>1.6008516158864692</v>
      </c>
      <c r="L62" s="898">
        <v>0</v>
      </c>
      <c r="M62" s="898">
        <v>6.0897137572537476E-3</v>
      </c>
      <c r="N62" s="898">
        <v>0.11353557936347687</v>
      </c>
      <c r="O62" s="898">
        <v>3.0847670627014306E-2</v>
      </c>
      <c r="P62" s="898">
        <v>1.8292496070326614E-2</v>
      </c>
      <c r="Q62" s="898">
        <v>0</v>
      </c>
      <c r="R62" s="898">
        <v>6.0897137572537476E-3</v>
      </c>
      <c r="S62" s="898">
        <v>0.16580245253250647</v>
      </c>
      <c r="T62" s="898">
        <v>1.1859544970057232</v>
      </c>
      <c r="U62" s="898">
        <v>0</v>
      </c>
      <c r="V62" s="898">
        <v>1.585391162923162E-2</v>
      </c>
      <c r="W62" s="898">
        <v>5.9757247671933064E-2</v>
      </c>
      <c r="X62" s="898">
        <v>-1.426859633747255E-2</v>
      </c>
      <c r="Y62" s="898">
        <v>2.507635732372929E-2</v>
      </c>
      <c r="Z62" s="1008"/>
      <c r="AA62" s="879"/>
      <c r="AB62" s="879"/>
      <c r="AC62" s="879"/>
      <c r="AD62" s="879"/>
      <c r="AE62" s="879"/>
      <c r="AF62" s="879"/>
      <c r="AG62" s="879"/>
      <c r="AH62" s="879"/>
      <c r="AI62" s="879"/>
      <c r="AJ62" s="879"/>
      <c r="AK62" s="879"/>
      <c r="AL62" s="879"/>
      <c r="AM62" s="879"/>
      <c r="AN62" s="879"/>
      <c r="AO62" s="879"/>
      <c r="AP62" s="879"/>
      <c r="AQ62" s="879"/>
      <c r="AR62" s="879"/>
      <c r="AS62" s="879"/>
      <c r="AT62" s="879"/>
      <c r="AU62" s="879"/>
      <c r="AV62" s="879"/>
      <c r="AW62" s="879"/>
      <c r="AX62" s="879"/>
      <c r="AY62" s="879"/>
      <c r="AZ62" s="879"/>
      <c r="BA62" s="879"/>
      <c r="BB62" s="879"/>
      <c r="BC62" s="879"/>
      <c r="BD62" s="879"/>
      <c r="BE62" s="879"/>
      <c r="BF62" s="879"/>
      <c r="BG62" s="879"/>
      <c r="BH62" s="879"/>
      <c r="BI62" s="879"/>
      <c r="BJ62" s="879"/>
      <c r="BK62" s="879"/>
      <c r="BL62" s="879"/>
      <c r="BM62" s="879"/>
      <c r="BN62" s="879"/>
      <c r="BO62" s="879"/>
      <c r="BP62" s="879"/>
      <c r="BQ62" s="879"/>
      <c r="BR62" s="879"/>
      <c r="BS62" s="879"/>
      <c r="BT62" s="879"/>
      <c r="BU62" s="879"/>
    </row>
    <row r="63" spans="1:73" x14ac:dyDescent="0.25">
      <c r="A63" s="879"/>
      <c r="B63" s="891">
        <f t="shared" si="6"/>
        <v>13</v>
      </c>
      <c r="C63" s="884">
        <v>1</v>
      </c>
      <c r="D63" s="884">
        <v>1</v>
      </c>
      <c r="E63" s="884">
        <v>1</v>
      </c>
      <c r="F63" s="884">
        <v>1</v>
      </c>
      <c r="G63" s="884">
        <v>1</v>
      </c>
      <c r="H63" s="884">
        <f>+G8</f>
        <v>1.05</v>
      </c>
      <c r="I63" s="884">
        <v>1</v>
      </c>
      <c r="J63" s="879"/>
      <c r="K63" s="897">
        <v>1.6252322718805035</v>
      </c>
      <c r="L63" s="898">
        <v>0</v>
      </c>
      <c r="M63" s="898">
        <v>6.7307362580173004E-3</v>
      </c>
      <c r="N63" s="898">
        <v>0.12548669298068496</v>
      </c>
      <c r="O63" s="898">
        <v>3.0847670627014306E-2</v>
      </c>
      <c r="P63" s="898">
        <v>1.8370173058181109E-2</v>
      </c>
      <c r="Q63" s="898">
        <v>0</v>
      </c>
      <c r="R63" s="898">
        <v>6.7307362580173004E-3</v>
      </c>
      <c r="S63" s="898">
        <v>0.17160018075421613</v>
      </c>
      <c r="T63" s="898">
        <v>1.1859544970057232</v>
      </c>
      <c r="U63" s="898">
        <v>0</v>
      </c>
      <c r="V63" s="898">
        <v>1.585391162923162E-2</v>
      </c>
      <c r="W63" s="898">
        <v>6.6047484268978676E-2</v>
      </c>
      <c r="X63" s="898">
        <v>-1.6644312327648094E-2</v>
      </c>
      <c r="Y63" s="898">
        <v>2.771597388412185E-2</v>
      </c>
      <c r="Z63" s="1008"/>
      <c r="AA63" s="879"/>
      <c r="AB63" s="879"/>
      <c r="AC63" s="879"/>
      <c r="AD63" s="879"/>
      <c r="AE63" s="879"/>
      <c r="AF63" s="879"/>
      <c r="AG63" s="879"/>
      <c r="AH63" s="879"/>
      <c r="AI63" s="879"/>
      <c r="AJ63" s="879"/>
      <c r="AK63" s="879"/>
      <c r="AL63" s="879"/>
      <c r="AM63" s="879"/>
      <c r="AN63" s="879"/>
      <c r="AO63" s="879"/>
      <c r="AP63" s="879"/>
      <c r="AQ63" s="879"/>
      <c r="AR63" s="879"/>
      <c r="AS63" s="879"/>
      <c r="AT63" s="879"/>
      <c r="AU63" s="879"/>
      <c r="AV63" s="879"/>
      <c r="AW63" s="879"/>
      <c r="AX63" s="879"/>
      <c r="AY63" s="879"/>
      <c r="AZ63" s="879"/>
      <c r="BA63" s="879"/>
      <c r="BB63" s="879"/>
      <c r="BC63" s="879"/>
      <c r="BD63" s="879"/>
      <c r="BE63" s="879"/>
      <c r="BF63" s="879"/>
      <c r="BG63" s="879"/>
      <c r="BH63" s="879"/>
      <c r="BI63" s="879"/>
      <c r="BJ63" s="879"/>
      <c r="BK63" s="879"/>
      <c r="BL63" s="879"/>
      <c r="BM63" s="879"/>
      <c r="BN63" s="879"/>
      <c r="BO63" s="879"/>
      <c r="BP63" s="879"/>
      <c r="BQ63" s="879"/>
      <c r="BR63" s="879"/>
      <c r="BS63" s="879"/>
      <c r="BT63" s="879"/>
      <c r="BU63" s="879"/>
    </row>
    <row r="64" spans="1:73" x14ac:dyDescent="0.25">
      <c r="A64" s="879"/>
      <c r="B64" s="899">
        <f t="shared" si="6"/>
        <v>14</v>
      </c>
      <c r="C64" s="884">
        <v>1</v>
      </c>
      <c r="D64" s="884">
        <v>1</v>
      </c>
      <c r="E64" s="884">
        <v>1</v>
      </c>
      <c r="F64" s="884">
        <v>1</v>
      </c>
      <c r="G64" s="884">
        <v>1</v>
      </c>
      <c r="H64" s="884">
        <v>1</v>
      </c>
      <c r="I64" s="884">
        <f>+F9</f>
        <v>0.95</v>
      </c>
      <c r="J64" s="879"/>
      <c r="K64" s="897">
        <v>1.6044546943808315</v>
      </c>
      <c r="L64" s="898">
        <v>0</v>
      </c>
      <c r="M64" s="898">
        <v>6.4102250076355253E-3</v>
      </c>
      <c r="N64" s="898">
        <v>0.11951113617208094</v>
      </c>
      <c r="O64" s="898">
        <v>3.0847670627014306E-2</v>
      </c>
      <c r="P64" s="898">
        <v>1.821832297055E-2</v>
      </c>
      <c r="Q64" s="898">
        <v>0</v>
      </c>
      <c r="R64" s="898">
        <v>6.4102250076355253E-3</v>
      </c>
      <c r="S64" s="898">
        <v>0.16026625081119328</v>
      </c>
      <c r="T64" s="898">
        <v>1.1859544970057232</v>
      </c>
      <c r="U64" s="898">
        <v>0</v>
      </c>
      <c r="V64" s="898">
        <v>1.585391162923162E-2</v>
      </c>
      <c r="W64" s="898">
        <v>6.2902365970455856E-2</v>
      </c>
      <c r="X64" s="898">
        <v>-1.5495626409343705E-2</v>
      </c>
      <c r="Y64" s="898">
        <v>2.6396165603925568E-2</v>
      </c>
      <c r="Z64" s="1008"/>
      <c r="AA64" s="879"/>
      <c r="AB64" s="879"/>
      <c r="AC64" s="879"/>
      <c r="AD64" s="879"/>
      <c r="AE64" s="879"/>
      <c r="AF64" s="879"/>
      <c r="AG64" s="879"/>
      <c r="AH64" s="879"/>
      <c r="AI64" s="879"/>
      <c r="AJ64" s="879"/>
      <c r="AK64" s="879"/>
      <c r="AL64" s="879"/>
      <c r="AM64" s="879"/>
      <c r="AN64" s="879"/>
      <c r="AO64" s="879"/>
      <c r="AP64" s="879"/>
      <c r="AQ64" s="879"/>
      <c r="AR64" s="879"/>
      <c r="AS64" s="879"/>
      <c r="AT64" s="879"/>
      <c r="AU64" s="879"/>
      <c r="AV64" s="879"/>
      <c r="AW64" s="879"/>
      <c r="AX64" s="879"/>
      <c r="AY64" s="879"/>
      <c r="AZ64" s="879"/>
      <c r="BA64" s="879"/>
      <c r="BB64" s="879"/>
      <c r="BC64" s="879"/>
      <c r="BD64" s="879"/>
      <c r="BE64" s="879"/>
      <c r="BF64" s="879"/>
      <c r="BG64" s="879"/>
      <c r="BH64" s="879"/>
      <c r="BI64" s="879"/>
      <c r="BJ64" s="879"/>
      <c r="BK64" s="879"/>
      <c r="BL64" s="879"/>
      <c r="BM64" s="879"/>
      <c r="BN64" s="879"/>
      <c r="BO64" s="879"/>
      <c r="BP64" s="879"/>
      <c r="BQ64" s="879"/>
      <c r="BR64" s="879"/>
      <c r="BS64" s="879"/>
      <c r="BT64" s="879"/>
      <c r="BU64" s="879"/>
    </row>
    <row r="65" spans="1:73" ht="13.8" thickBot="1" x14ac:dyDescent="0.3">
      <c r="A65" s="879"/>
      <c r="B65" s="997">
        <f t="shared" si="6"/>
        <v>15</v>
      </c>
      <c r="C65" s="998">
        <v>1</v>
      </c>
      <c r="D65" s="998">
        <v>1</v>
      </c>
      <c r="E65" s="998">
        <v>1</v>
      </c>
      <c r="F65" s="998">
        <v>1</v>
      </c>
      <c r="G65" s="998">
        <v>1</v>
      </c>
      <c r="H65" s="998">
        <v>1</v>
      </c>
      <c r="I65" s="998">
        <f>+G9</f>
        <v>1.05</v>
      </c>
      <c r="J65" s="999"/>
      <c r="K65" s="1000">
        <v>1.6216291933861418</v>
      </c>
      <c r="L65" s="1001">
        <v>0</v>
      </c>
      <c r="M65" s="1001">
        <v>6.4102250076355253E-3</v>
      </c>
      <c r="N65" s="1001">
        <v>0.11951113617208094</v>
      </c>
      <c r="O65" s="1001">
        <v>3.0847670627014306E-2</v>
      </c>
      <c r="P65" s="1001">
        <v>1.8444346157957706E-2</v>
      </c>
      <c r="Q65" s="1001">
        <v>0</v>
      </c>
      <c r="R65" s="1001">
        <v>6.4102250076355253E-3</v>
      </c>
      <c r="S65" s="1001">
        <v>0.17713638247552935</v>
      </c>
      <c r="T65" s="1001">
        <v>1.1859544970057232</v>
      </c>
      <c r="U65" s="1001">
        <v>0</v>
      </c>
      <c r="V65" s="1001">
        <v>1.585391162923162E-2</v>
      </c>
      <c r="W65" s="1001">
        <v>6.2902365970455856E-2</v>
      </c>
      <c r="X65" s="1001">
        <v>-1.5417282255776968E-2</v>
      </c>
      <c r="Y65" s="1001">
        <v>2.6396165603925568E-2</v>
      </c>
      <c r="Z65" s="1008"/>
      <c r="AA65" s="879"/>
      <c r="AB65" s="879"/>
      <c r="AC65" s="879"/>
      <c r="AD65" s="879"/>
      <c r="AE65" s="879"/>
      <c r="AF65" s="879"/>
      <c r="AG65" s="879"/>
      <c r="AH65" s="879"/>
      <c r="AI65" s="879"/>
      <c r="AJ65" s="879"/>
      <c r="AK65" s="879"/>
      <c r="AL65" s="879"/>
      <c r="AM65" s="879"/>
      <c r="AN65" s="879"/>
      <c r="AO65" s="879"/>
      <c r="AP65" s="879"/>
      <c r="AQ65" s="879"/>
      <c r="AR65" s="879"/>
      <c r="AS65" s="879"/>
      <c r="AT65" s="879"/>
      <c r="AU65" s="879"/>
      <c r="AV65" s="879"/>
      <c r="AW65" s="879"/>
      <c r="AX65" s="879"/>
      <c r="AY65" s="879"/>
      <c r="AZ65" s="879"/>
      <c r="BA65" s="879"/>
      <c r="BB65" s="879"/>
      <c r="BC65" s="879"/>
      <c r="BD65" s="879"/>
      <c r="BE65" s="879"/>
      <c r="BF65" s="879"/>
      <c r="BG65" s="879"/>
      <c r="BH65" s="879"/>
      <c r="BI65" s="879"/>
      <c r="BJ65" s="879"/>
      <c r="BK65" s="879"/>
      <c r="BL65" s="879"/>
      <c r="BM65" s="879"/>
      <c r="BN65" s="879"/>
      <c r="BO65" s="879"/>
      <c r="BP65" s="879"/>
      <c r="BQ65" s="879"/>
      <c r="BR65" s="879"/>
      <c r="BS65" s="879"/>
      <c r="BT65" s="879"/>
      <c r="BU65" s="879"/>
    </row>
    <row r="66" spans="1:73" ht="13.8" thickTop="1" x14ac:dyDescent="0.25">
      <c r="A66" s="879"/>
      <c r="B66" s="993">
        <f t="shared" si="6"/>
        <v>16</v>
      </c>
      <c r="C66" s="994">
        <f>(C$72=1)*$F$3
+(C$72=2)
+(C$72=3)
+(C$72=4)
+(C$72=5)</f>
        <v>1</v>
      </c>
      <c r="D66" s="994">
        <v>1</v>
      </c>
      <c r="E66" s="994">
        <v>1</v>
      </c>
      <c r="F66" s="994">
        <f>(F$72=1)*$F$6
+(F$72=2)
+(F$72=3)
+(F$72=4)
+(F$72=5)</f>
        <v>0.95</v>
      </c>
      <c r="G66" s="994">
        <f>(G$72=1)*$F$7
+(G$72=2)
+(G$72=3)
+(G$72=4)
+(G$72=5)</f>
        <v>1</v>
      </c>
      <c r="H66" s="994">
        <f>(H$72=1)*$F$8
+(H$72=2)
+(H$72=3)
+(H$72=4)
+(H$72=5)</f>
        <v>1</v>
      </c>
      <c r="I66" s="994">
        <f>(I$72=1)*$F$9
+(I$72=2)
+(I$72=3)
+(I$72=4)
+(I$72=5)</f>
        <v>1</v>
      </c>
      <c r="J66" s="879"/>
      <c r="K66" s="995">
        <v>1.552676433372211</v>
      </c>
      <c r="L66" s="996">
        <v>0</v>
      </c>
      <c r="M66" s="996">
        <v>6.4102250076355253E-3</v>
      </c>
      <c r="N66" s="996">
        <v>0.11951113617208094</v>
      </c>
      <c r="O66" s="996">
        <v>3.0847670627014306E-2</v>
      </c>
      <c r="P66" s="996">
        <v>1.7538396932402882E-2</v>
      </c>
      <c r="Q66" s="996">
        <v>0</v>
      </c>
      <c r="R66" s="996">
        <v>6.4102250076355253E-3</v>
      </c>
      <c r="S66" s="996">
        <v>0.16870131664336135</v>
      </c>
      <c r="T66" s="996">
        <v>1.1266567721554372</v>
      </c>
      <c r="U66" s="996">
        <v>0</v>
      </c>
      <c r="V66" s="996">
        <v>1.585391162923162E-2</v>
      </c>
      <c r="W66" s="996">
        <v>6.2902365970455856E-2</v>
      </c>
      <c r="X66" s="996">
        <v>-1.5731302361699066E-2</v>
      </c>
      <c r="Y66" s="996">
        <v>2.6396165603925568E-2</v>
      </c>
      <c r="Z66" s="1008"/>
      <c r="AA66" s="879"/>
      <c r="AB66" s="879"/>
      <c r="AC66" s="879"/>
      <c r="AD66" s="879"/>
      <c r="AE66" s="879"/>
      <c r="AF66" s="879"/>
      <c r="AG66" s="879"/>
      <c r="AH66" s="879"/>
      <c r="AI66" s="879"/>
      <c r="AJ66" s="879"/>
      <c r="AK66" s="879"/>
      <c r="AL66" s="879"/>
      <c r="AM66" s="879"/>
      <c r="AN66" s="879"/>
      <c r="AO66" s="879"/>
      <c r="AP66" s="879"/>
      <c r="AQ66" s="879"/>
      <c r="AR66" s="879"/>
      <c r="AS66" s="879"/>
      <c r="AT66" s="879"/>
      <c r="AU66" s="879"/>
      <c r="AV66" s="879"/>
      <c r="AW66" s="879"/>
      <c r="AX66" s="879"/>
      <c r="AY66" s="879"/>
      <c r="AZ66" s="879"/>
      <c r="BA66" s="879"/>
      <c r="BB66" s="879"/>
      <c r="BC66" s="879"/>
      <c r="BD66" s="879"/>
      <c r="BE66" s="879"/>
      <c r="BF66" s="879"/>
      <c r="BG66" s="879"/>
      <c r="BH66" s="879"/>
      <c r="BI66" s="879"/>
      <c r="BJ66" s="879"/>
      <c r="BK66" s="879"/>
      <c r="BL66" s="879"/>
      <c r="BM66" s="879"/>
      <c r="BN66" s="879"/>
      <c r="BO66" s="879"/>
      <c r="BP66" s="879"/>
      <c r="BQ66" s="879"/>
      <c r="BR66" s="879"/>
      <c r="BS66" s="879"/>
      <c r="BT66" s="879"/>
      <c r="BU66" s="879"/>
    </row>
    <row r="67" spans="1:73" x14ac:dyDescent="0.25">
      <c r="A67" s="879"/>
      <c r="B67" s="891">
        <f t="shared" si="6"/>
        <v>17</v>
      </c>
      <c r="C67" s="994">
        <f>(C$72=1)*$F$3
+(C$72=2)*$F$3
+(C$72=3)
+(C$72=4)
+(C$72=5)</f>
        <v>1.05</v>
      </c>
      <c r="D67" s="884">
        <v>1</v>
      </c>
      <c r="E67" s="884">
        <v>1</v>
      </c>
      <c r="F67" s="994">
        <f>(F$72=1)*$F$6
+(F$72=2)*$F$6
+(F$72=3)
+(F$72=4)
+(F$72=5)</f>
        <v>0.95</v>
      </c>
      <c r="G67" s="994">
        <f>(G$72=1)*$F$7
+(G$72=2)*$F$7
+(G$72=3)
+(G$72=4)
+(G$72=5)</f>
        <v>1</v>
      </c>
      <c r="H67" s="994">
        <f>(H$72=1)*$F$8
+(H$72=2)*$F$8
+(H$72=3)
+(H$72=4)
+(H$72=5)</f>
        <v>1</v>
      </c>
      <c r="I67" s="994">
        <f>(I$72=1)*$F$9
+(I$72=2)*$F$9
+(I$72=3)
+(I$72=4)
+(I$72=5)</f>
        <v>1</v>
      </c>
      <c r="J67" s="879"/>
      <c r="K67" s="897">
        <v>1.5338601560738854</v>
      </c>
      <c r="L67" s="898">
        <v>0</v>
      </c>
      <c r="M67" s="898">
        <v>6.1049761977481206E-3</v>
      </c>
      <c r="N67" s="898">
        <v>0.11382012968769614</v>
      </c>
      <c r="O67" s="898">
        <v>2.9378733930489821E-2</v>
      </c>
      <c r="P67" s="898">
        <v>1.7427289699076223E-2</v>
      </c>
      <c r="Q67" s="898">
        <v>0</v>
      </c>
      <c r="R67" s="898">
        <v>6.1049761977481206E-3</v>
      </c>
      <c r="S67" s="898">
        <v>0.16066792061272508</v>
      </c>
      <c r="T67" s="898">
        <v>1.126656772155437</v>
      </c>
      <c r="U67" s="898">
        <v>0</v>
      </c>
      <c r="V67" s="898">
        <v>1.5594310398978378E-2</v>
      </c>
      <c r="W67" s="898">
        <v>5.9907015209957969E-2</v>
      </c>
      <c r="X67" s="898">
        <v>-1.4731220957547966E-2</v>
      </c>
      <c r="Y67" s="898">
        <v>2.5139205337071976E-2</v>
      </c>
      <c r="Z67" s="1008"/>
      <c r="AA67" s="879"/>
      <c r="AB67" s="879"/>
      <c r="AC67" s="879"/>
      <c r="AD67" s="879"/>
      <c r="AE67" s="879"/>
      <c r="AF67" s="879"/>
      <c r="AG67" s="879"/>
      <c r="AH67" s="879"/>
      <c r="AI67" s="879"/>
      <c r="AJ67" s="879"/>
      <c r="AK67" s="879"/>
      <c r="AL67" s="879"/>
      <c r="AM67" s="879"/>
      <c r="AN67" s="879"/>
      <c r="AO67" s="879"/>
      <c r="AP67" s="879"/>
      <c r="AQ67" s="879"/>
      <c r="AR67" s="879"/>
      <c r="AS67" s="879"/>
      <c r="AT67" s="879"/>
      <c r="AU67" s="879"/>
      <c r="AV67" s="879"/>
      <c r="AW67" s="879"/>
      <c r="AX67" s="879"/>
      <c r="AY67" s="879"/>
      <c r="AZ67" s="879"/>
      <c r="BA67" s="879"/>
      <c r="BB67" s="879"/>
      <c r="BC67" s="879"/>
      <c r="BD67" s="879"/>
      <c r="BE67" s="879"/>
      <c r="BF67" s="879"/>
      <c r="BG67" s="879"/>
      <c r="BH67" s="879"/>
      <c r="BI67" s="879"/>
      <c r="BJ67" s="879"/>
      <c r="BK67" s="879"/>
      <c r="BL67" s="879"/>
      <c r="BM67" s="879"/>
      <c r="BN67" s="879"/>
      <c r="BO67" s="879"/>
      <c r="BP67" s="879"/>
      <c r="BQ67" s="879"/>
      <c r="BR67" s="879"/>
      <c r="BS67" s="879"/>
      <c r="BT67" s="879"/>
      <c r="BU67" s="879"/>
    </row>
    <row r="68" spans="1:73" x14ac:dyDescent="0.25">
      <c r="A68" s="879"/>
      <c r="B68" s="899">
        <f t="shared" si="6"/>
        <v>18</v>
      </c>
      <c r="C68" s="994">
        <f>(C$72=1)*$F$3
+(C$72=2)*$F$3
+(C$72=3)*$F$3
+(C$72=4)
+(C$72=5)</f>
        <v>1.05</v>
      </c>
      <c r="D68" s="884">
        <v>1</v>
      </c>
      <c r="E68" s="884">
        <v>1</v>
      </c>
      <c r="F68" s="994">
        <f>(F$72=1)*$F$6
+(F$72=2)*$F$6
+(F$72=3)*$F$6
+(F$72=4)
+(F$72=5)</f>
        <v>0.95</v>
      </c>
      <c r="G68" s="994">
        <f>(G$72=1)*$F$7
+(G$72=2)*$F$7
+(G$72=3)*$F$7
+(G$72=4)
+(G$72=5)</f>
        <v>1</v>
      </c>
      <c r="H68" s="994">
        <f>(H$72=1)*$F$8
+(H$72=2)*$F$8
+(H$72=3)*$F$8
+(H$72=4)
+(H$72=5)</f>
        <v>0.95</v>
      </c>
      <c r="I68" s="994">
        <f>(I$72=1)*$F$9
+(I$72=2)*$F$9
+(I$72=3)*$F$9
+(I$72=4)
+(I$72=5)</f>
        <v>1</v>
      </c>
      <c r="J68" s="879"/>
      <c r="K68" s="897">
        <v>1.52225031988625</v>
      </c>
      <c r="L68" s="898">
        <v>0</v>
      </c>
      <c r="M68" s="898">
        <v>5.7997273878607125E-3</v>
      </c>
      <c r="N68" s="898">
        <v>0.10812912320331132</v>
      </c>
      <c r="O68" s="898">
        <v>2.9378733930489821E-2</v>
      </c>
      <c r="P68" s="898">
        <v>1.7390300657240752E-2</v>
      </c>
      <c r="Q68" s="898">
        <v>0</v>
      </c>
      <c r="R68" s="898">
        <v>5.7997273878607125E-3</v>
      </c>
      <c r="S68" s="898">
        <v>0.15790709765000618</v>
      </c>
      <c r="T68" s="898">
        <v>1.126656772155437</v>
      </c>
      <c r="U68" s="898">
        <v>0</v>
      </c>
      <c r="V68" s="898">
        <v>1.5594310398978378E-2</v>
      </c>
      <c r="W68" s="898">
        <v>5.6911664449460067E-2</v>
      </c>
      <c r="X68" s="898">
        <v>-1.3599927628892951E-2</v>
      </c>
      <c r="Y68" s="898">
        <v>2.3882245070218376E-2</v>
      </c>
      <c r="Z68" s="1008"/>
      <c r="AA68" s="879"/>
      <c r="AB68" s="879"/>
      <c r="AC68" s="879"/>
      <c r="AD68" s="879"/>
      <c r="AE68" s="879"/>
      <c r="AF68" s="879"/>
      <c r="AG68" s="879"/>
      <c r="AH68" s="879"/>
      <c r="AI68" s="879"/>
      <c r="AJ68" s="879"/>
      <c r="AK68" s="879"/>
      <c r="AL68" s="879"/>
      <c r="AM68" s="879"/>
      <c r="AN68" s="879"/>
      <c r="AO68" s="879"/>
      <c r="AP68" s="879"/>
      <c r="AQ68" s="879"/>
      <c r="AR68" s="879"/>
      <c r="AS68" s="879"/>
      <c r="AT68" s="879"/>
      <c r="AU68" s="879"/>
      <c r="AV68" s="879"/>
      <c r="AW68" s="879"/>
      <c r="AX68" s="879"/>
      <c r="AY68" s="879"/>
      <c r="AZ68" s="879"/>
      <c r="BA68" s="879"/>
      <c r="BB68" s="879"/>
      <c r="BC68" s="879"/>
      <c r="BD68" s="879"/>
      <c r="BE68" s="879"/>
      <c r="BF68" s="879"/>
      <c r="BG68" s="879"/>
      <c r="BH68" s="879"/>
      <c r="BI68" s="879"/>
      <c r="BJ68" s="879"/>
      <c r="BK68" s="879"/>
      <c r="BL68" s="879"/>
      <c r="BM68" s="879"/>
      <c r="BN68" s="879"/>
      <c r="BO68" s="879"/>
      <c r="BP68" s="879"/>
      <c r="BQ68" s="879"/>
      <c r="BR68" s="879"/>
      <c r="BS68" s="879"/>
      <c r="BT68" s="879"/>
      <c r="BU68" s="879"/>
    </row>
    <row r="69" spans="1:73" x14ac:dyDescent="0.25">
      <c r="A69" s="879"/>
      <c r="B69" s="899">
        <f t="shared" si="6"/>
        <v>19</v>
      </c>
      <c r="C69" s="994">
        <f>(C$72=1)*$F$3
+(C$72=2)*$F$3
+(C$72=3)*$F$3
+(C$72=4)*$F$3
+(C$72=5)</f>
        <v>1.05</v>
      </c>
      <c r="D69" s="884">
        <v>1</v>
      </c>
      <c r="E69" s="884">
        <v>1</v>
      </c>
      <c r="F69" s="994">
        <f>(F$72=1)*$F$6
+(F$72=2)*$F$6
+(F$72=3)*$F$6
+(F$72=4)*$F$6
+(F$72=5)</f>
        <v>0.95</v>
      </c>
      <c r="G69" s="994">
        <f>(G$72=1)*$F$7
+(G$72=2)*$F$7
+(G$72=3)*$F$7
+(G$72=4)*$F$7
+(G$72=5)</f>
        <v>1</v>
      </c>
      <c r="H69" s="994">
        <f>(H$72=1)*$F$8
+(H$72=2)*$F$8
+(H$72=3)*$F$8
+(H$72=4)*$F$8
+(H$72=5)</f>
        <v>0.95</v>
      </c>
      <c r="I69" s="994">
        <f>(I$72=1)*$F$9
+(I$72=2)*$F$9
+(I$72=3)*$F$9
+(I$72=4)*$F$9
+(I$72=5)</f>
        <v>0.95</v>
      </c>
      <c r="J69" s="879"/>
      <c r="K69" s="897">
        <v>1.5142125186838609</v>
      </c>
      <c r="L69" s="898">
        <v>0</v>
      </c>
      <c r="M69" s="898">
        <v>5.7997273878607125E-3</v>
      </c>
      <c r="N69" s="898">
        <v>0.10812912320331132</v>
      </c>
      <c r="O69" s="898">
        <v>2.9378733930489821E-2</v>
      </c>
      <c r="P69" s="898">
        <v>1.7284520020090753E-2</v>
      </c>
      <c r="Q69" s="898">
        <v>0</v>
      </c>
      <c r="R69" s="898">
        <v>5.7997273878607125E-3</v>
      </c>
      <c r="S69" s="898">
        <v>0.15001174276750592</v>
      </c>
      <c r="T69" s="898">
        <v>1.126656772155437</v>
      </c>
      <c r="U69" s="898">
        <v>0</v>
      </c>
      <c r="V69" s="898">
        <v>1.5594310398978378E-2</v>
      </c>
      <c r="W69" s="898">
        <v>5.6911664449460067E-2</v>
      </c>
      <c r="X69" s="898">
        <v>-1.3636593311632561E-2</v>
      </c>
      <c r="Y69" s="898">
        <v>2.3882245070218376E-2</v>
      </c>
      <c r="Z69" s="1008"/>
      <c r="AA69" s="879"/>
      <c r="AB69" s="879"/>
      <c r="AC69" s="879"/>
      <c r="AD69" s="879"/>
      <c r="AE69" s="879"/>
      <c r="AF69" s="879"/>
      <c r="AG69" s="879"/>
      <c r="AH69" s="879"/>
      <c r="AI69" s="879"/>
      <c r="AJ69" s="879"/>
      <c r="AK69" s="879"/>
      <c r="AL69" s="879"/>
      <c r="AM69" s="879"/>
      <c r="AN69" s="879"/>
      <c r="AO69" s="879"/>
      <c r="AP69" s="879"/>
      <c r="AQ69" s="879"/>
      <c r="AR69" s="879"/>
      <c r="AS69" s="879"/>
      <c r="AT69" s="879"/>
      <c r="AU69" s="879"/>
      <c r="AV69" s="879"/>
      <c r="AW69" s="879"/>
      <c r="AX69" s="879"/>
      <c r="AY69" s="879"/>
      <c r="AZ69" s="879"/>
      <c r="BA69" s="879"/>
      <c r="BB69" s="879"/>
      <c r="BC69" s="879"/>
      <c r="BD69" s="879"/>
      <c r="BE69" s="879"/>
      <c r="BF69" s="879"/>
      <c r="BG69" s="879"/>
      <c r="BH69" s="879"/>
      <c r="BI69" s="879"/>
      <c r="BJ69" s="879"/>
      <c r="BK69" s="879"/>
      <c r="BL69" s="879"/>
      <c r="BM69" s="879"/>
      <c r="BN69" s="879"/>
      <c r="BO69" s="879"/>
      <c r="BP69" s="879"/>
      <c r="BQ69" s="879"/>
      <c r="BR69" s="879"/>
      <c r="BS69" s="879"/>
      <c r="BT69" s="879"/>
      <c r="BU69" s="879"/>
    </row>
    <row r="70" spans="1:73" x14ac:dyDescent="0.25">
      <c r="A70" s="879"/>
      <c r="B70" s="891">
        <f t="shared" si="6"/>
        <v>20</v>
      </c>
      <c r="C70" s="994">
        <f>(C$72=1)*$F$3
+(C$72=2)*$F$3
+(C$72=3)*$F$3
+(C$72=4)*$F$3
+(C$72=5)*$F$3</f>
        <v>1.05</v>
      </c>
      <c r="D70" s="884">
        <v>1</v>
      </c>
      <c r="E70" s="884">
        <v>1</v>
      </c>
      <c r="F70" s="994">
        <f>(F$72=1)*$F$6
+(F$72=2)*$F$6
+(F$72=3)*$F$6
+(F$72=4)*$F$6
+(F$72=5)*$F$6</f>
        <v>0.95</v>
      </c>
      <c r="G70" s="994">
        <f>(G$72=1)*$F$7
+(G$72=2)*$F$7
+(G$72=3)*$F$7
+(G$72=4)*$F$7
+(G$72=5)*$F$7</f>
        <v>0.95</v>
      </c>
      <c r="H70" s="994">
        <f>(H$72=1)*$F$8
+(H$72=2)*$F$8
+(H$72=3)*$F$8
+(H$72=4)*$F$8
+(H$72=5)*$F$8</f>
        <v>0.95</v>
      </c>
      <c r="I70" s="994">
        <f>(I$72=1)*$F$9
+(I$72=2)*$F$9
+(I$72=3)*$F$9
+(I$72=4)*$F$9
+(I$72=5)*$F$9</f>
        <v>0.95</v>
      </c>
      <c r="J70" s="879"/>
      <c r="K70" s="897">
        <v>1.5142125186838609</v>
      </c>
      <c r="L70" s="898">
        <v>0</v>
      </c>
      <c r="M70" s="898">
        <v>5.7997273878607125E-3</v>
      </c>
      <c r="N70" s="898">
        <v>0.10812912320331132</v>
      </c>
      <c r="O70" s="898">
        <v>2.9378733930489821E-2</v>
      </c>
      <c r="P70" s="898">
        <v>1.7284520020090753E-2</v>
      </c>
      <c r="Q70" s="898">
        <v>0</v>
      </c>
      <c r="R70" s="898">
        <v>5.7997273878607125E-3</v>
      </c>
      <c r="S70" s="898">
        <v>0.15001174276750592</v>
      </c>
      <c r="T70" s="898">
        <v>1.126656772155437</v>
      </c>
      <c r="U70" s="898">
        <v>0</v>
      </c>
      <c r="V70" s="898">
        <v>1.5594310398978378E-2</v>
      </c>
      <c r="W70" s="898">
        <v>5.6911664449460067E-2</v>
      </c>
      <c r="X70" s="898">
        <v>-1.3636593311632561E-2</v>
      </c>
      <c r="Y70" s="898">
        <v>2.3882245070218376E-2</v>
      </c>
      <c r="Z70" s="1008"/>
      <c r="AA70" s="879"/>
      <c r="AB70" s="879"/>
      <c r="AC70" s="879"/>
      <c r="AD70" s="879"/>
      <c r="AE70" s="879"/>
      <c r="AF70" s="879"/>
      <c r="AG70" s="879"/>
      <c r="AH70" s="879"/>
      <c r="AI70" s="879"/>
      <c r="AJ70" s="879"/>
      <c r="AK70" s="879"/>
      <c r="AL70" s="879"/>
      <c r="AM70" s="879"/>
      <c r="AN70" s="879"/>
      <c r="AO70" s="879"/>
      <c r="AP70" s="879"/>
      <c r="AQ70" s="879"/>
      <c r="AR70" s="879"/>
      <c r="AS70" s="879"/>
      <c r="AT70" s="879"/>
      <c r="AU70" s="879"/>
      <c r="AV70" s="879"/>
      <c r="AW70" s="879"/>
      <c r="AX70" s="879"/>
      <c r="AY70" s="879"/>
      <c r="AZ70" s="879"/>
      <c r="BA70" s="879"/>
      <c r="BB70" s="879"/>
      <c r="BC70" s="879"/>
      <c r="BD70" s="879"/>
      <c r="BE70" s="879"/>
      <c r="BF70" s="879"/>
      <c r="BG70" s="879"/>
      <c r="BH70" s="879"/>
      <c r="BI70" s="879"/>
      <c r="BJ70" s="879"/>
      <c r="BK70" s="879"/>
      <c r="BL70" s="879"/>
      <c r="BM70" s="879"/>
      <c r="BN70" s="879"/>
      <c r="BO70" s="879"/>
      <c r="BP70" s="879"/>
      <c r="BQ70" s="879"/>
      <c r="BR70" s="879"/>
      <c r="BS70" s="879"/>
      <c r="BT70" s="879"/>
      <c r="BU70" s="879"/>
    </row>
    <row r="71" spans="1:73" x14ac:dyDescent="0.25">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c r="AA71" s="879"/>
      <c r="AB71" s="879"/>
      <c r="AC71" s="879"/>
      <c r="AD71" s="879"/>
      <c r="AE71" s="879"/>
      <c r="AF71" s="879"/>
      <c r="AG71" s="879"/>
      <c r="AH71" s="879"/>
      <c r="AI71" s="879"/>
      <c r="AJ71" s="879"/>
      <c r="AK71" s="879"/>
      <c r="AL71" s="879"/>
      <c r="AM71" s="879"/>
      <c r="AN71" s="879"/>
      <c r="AO71" s="879"/>
      <c r="AP71" s="879"/>
      <c r="AQ71" s="879"/>
      <c r="AR71" s="879"/>
      <c r="AS71" s="879"/>
      <c r="AT71" s="879"/>
      <c r="AU71" s="879"/>
      <c r="AV71" s="879"/>
      <c r="AW71" s="879"/>
      <c r="AX71" s="879"/>
      <c r="AY71" s="879"/>
      <c r="AZ71" s="879"/>
      <c r="BA71" s="879"/>
      <c r="BB71" s="879"/>
      <c r="BC71" s="879"/>
      <c r="BD71" s="879"/>
      <c r="BE71" s="879"/>
      <c r="BF71" s="879"/>
      <c r="BG71" s="879"/>
      <c r="BH71" s="879"/>
      <c r="BI71" s="879"/>
      <c r="BJ71" s="879"/>
      <c r="BK71" s="879"/>
      <c r="BL71" s="879"/>
      <c r="BM71" s="879"/>
      <c r="BN71" s="879"/>
      <c r="BO71" s="879"/>
      <c r="BP71" s="879"/>
      <c r="BQ71" s="879"/>
      <c r="BR71" s="879"/>
      <c r="BS71" s="879"/>
      <c r="BT71" s="879"/>
      <c r="BU71" s="879"/>
    </row>
    <row r="72" spans="1:73" x14ac:dyDescent="0.25">
      <c r="A72" s="879"/>
      <c r="B72" s="1002" t="s">
        <v>1163</v>
      </c>
      <c r="C72" s="883">
        <f>6-RANK($N$101,($N$101,$N$104:$N$107))</f>
        <v>2</v>
      </c>
      <c r="D72" s="1003"/>
      <c r="E72" s="1003"/>
      <c r="F72" s="883">
        <f>6-RANK($N$104,($N$101,$N$104:$N$107))</f>
        <v>1</v>
      </c>
      <c r="G72" s="883">
        <f>6-RANK($N$105,($N$101,$N$104:$N$107))</f>
        <v>5</v>
      </c>
      <c r="H72" s="883">
        <f>6-RANK($N$106,($N$101,$N$104:$N$107))</f>
        <v>3</v>
      </c>
      <c r="I72" s="883">
        <f>6-RANK($N$107,($N$101,$N$104:$N$107))</f>
        <v>4</v>
      </c>
      <c r="J72" s="879"/>
      <c r="K72" s="879"/>
      <c r="L72" s="879"/>
      <c r="M72" s="879"/>
      <c r="N72" s="879"/>
      <c r="O72" s="879"/>
      <c r="P72" s="879"/>
      <c r="Q72" s="879"/>
      <c r="R72" s="879"/>
      <c r="S72" s="879"/>
      <c r="T72" s="879"/>
      <c r="U72" s="879"/>
      <c r="V72" s="879"/>
      <c r="W72" s="879"/>
      <c r="X72" s="879"/>
      <c r="Y72" s="879"/>
      <c r="Z72" s="879"/>
      <c r="AA72" s="879"/>
      <c r="AB72" s="879"/>
      <c r="AC72" s="879"/>
      <c r="AD72" s="879"/>
      <c r="AE72" s="879"/>
      <c r="AF72" s="879"/>
      <c r="AG72" s="879"/>
      <c r="AH72" s="879"/>
      <c r="AI72" s="879"/>
      <c r="AJ72" s="879"/>
      <c r="AK72" s="879"/>
      <c r="AL72" s="879"/>
      <c r="AM72" s="879"/>
      <c r="AN72" s="879"/>
      <c r="AO72" s="879"/>
      <c r="AP72" s="879"/>
      <c r="AQ72" s="879"/>
      <c r="AR72" s="879"/>
      <c r="AS72" s="879"/>
      <c r="AT72" s="879"/>
      <c r="AU72" s="879"/>
      <c r="AV72" s="879"/>
      <c r="AW72" s="879"/>
      <c r="AX72" s="879"/>
      <c r="AY72" s="879"/>
      <c r="AZ72" s="879"/>
      <c r="BA72" s="879"/>
      <c r="BB72" s="879"/>
      <c r="BC72" s="879"/>
      <c r="BD72" s="879"/>
      <c r="BE72" s="879"/>
      <c r="BF72" s="879"/>
      <c r="BG72" s="879"/>
      <c r="BH72" s="879"/>
      <c r="BI72" s="879"/>
      <c r="BJ72" s="879"/>
      <c r="BK72" s="879"/>
      <c r="BL72" s="879"/>
      <c r="BM72" s="879"/>
      <c r="BN72" s="879"/>
      <c r="BO72" s="879"/>
      <c r="BP72" s="879"/>
      <c r="BQ72" s="879"/>
      <c r="BR72" s="879"/>
      <c r="BS72" s="879"/>
      <c r="BT72" s="879"/>
      <c r="BU72" s="879"/>
    </row>
    <row r="73" spans="1:73" x14ac:dyDescent="0.25">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c r="AA73" s="879"/>
      <c r="AB73" s="879"/>
      <c r="AC73" s="879"/>
      <c r="AD73" s="879"/>
      <c r="AE73" s="879"/>
      <c r="AF73" s="879"/>
      <c r="AG73" s="879"/>
      <c r="AH73" s="879"/>
      <c r="AI73" s="879"/>
      <c r="AJ73" s="879"/>
      <c r="AK73" s="879"/>
      <c r="AL73" s="879"/>
      <c r="AM73" s="879"/>
      <c r="AN73" s="879"/>
      <c r="AO73" s="879"/>
      <c r="AP73" s="879"/>
      <c r="AQ73" s="879"/>
      <c r="AR73" s="879"/>
      <c r="AS73" s="879"/>
      <c r="AT73" s="879"/>
      <c r="AU73" s="879"/>
      <c r="AV73" s="879"/>
      <c r="AW73" s="879"/>
      <c r="AX73" s="879"/>
      <c r="AY73" s="879"/>
      <c r="AZ73" s="879"/>
      <c r="BA73" s="879"/>
      <c r="BB73" s="879"/>
      <c r="BC73" s="879"/>
      <c r="BD73" s="879"/>
      <c r="BE73" s="879"/>
      <c r="BF73" s="879"/>
      <c r="BG73" s="879"/>
      <c r="BH73" s="879"/>
      <c r="BI73" s="879"/>
      <c r="BJ73" s="879"/>
      <c r="BK73" s="879"/>
      <c r="BL73" s="879"/>
      <c r="BM73" s="879"/>
      <c r="BN73" s="879"/>
      <c r="BO73" s="879"/>
      <c r="BP73" s="879"/>
      <c r="BQ73" s="879"/>
      <c r="BR73" s="879"/>
      <c r="BS73" s="879"/>
      <c r="BT73" s="879"/>
      <c r="BU73" s="879"/>
    </row>
    <row r="74" spans="1:73" x14ac:dyDescent="0.25">
      <c r="A74" s="879"/>
      <c r="B74" s="881" t="s">
        <v>1127</v>
      </c>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c r="AA74" s="879"/>
      <c r="AB74" s="879"/>
      <c r="AC74" s="879"/>
      <c r="AD74" s="879"/>
      <c r="AE74" s="879"/>
      <c r="AF74" s="879"/>
      <c r="AG74" s="879"/>
      <c r="AH74" s="879"/>
      <c r="AI74" s="879"/>
      <c r="AJ74" s="879"/>
      <c r="AK74" s="879"/>
      <c r="AL74" s="879"/>
      <c r="AM74" s="879"/>
      <c r="AN74" s="879"/>
      <c r="AO74" s="879"/>
      <c r="AP74" s="879"/>
      <c r="AQ74" s="879"/>
      <c r="AR74" s="879"/>
      <c r="AS74" s="879"/>
      <c r="AT74" s="879"/>
      <c r="AU74" s="879"/>
      <c r="AV74" s="879"/>
      <c r="AW74" s="879"/>
      <c r="AX74" s="879"/>
      <c r="AY74" s="879"/>
      <c r="AZ74" s="879"/>
      <c r="BA74" s="879"/>
      <c r="BB74" s="879"/>
      <c r="BC74" s="879"/>
      <c r="BD74" s="879"/>
      <c r="BE74" s="879"/>
      <c r="BF74" s="879"/>
      <c r="BG74" s="879"/>
      <c r="BH74" s="879"/>
      <c r="BI74" s="879"/>
      <c r="BJ74" s="879"/>
      <c r="BK74" s="879"/>
      <c r="BL74" s="879"/>
      <c r="BM74" s="879"/>
      <c r="BN74" s="879"/>
      <c r="BO74" s="879"/>
      <c r="BP74" s="879"/>
      <c r="BQ74" s="879"/>
      <c r="BR74" s="879"/>
      <c r="BS74" s="879"/>
      <c r="BT74" s="879"/>
      <c r="BU74" s="879"/>
    </row>
    <row r="75" spans="1:73" x14ac:dyDescent="0.25">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c r="AA75" s="879"/>
      <c r="AB75" s="879"/>
      <c r="AC75" s="879"/>
      <c r="AD75" s="879"/>
      <c r="AE75" s="879"/>
      <c r="AF75" s="879"/>
      <c r="AG75" s="879"/>
      <c r="AH75" s="879"/>
      <c r="AI75" s="879"/>
      <c r="AJ75" s="879"/>
      <c r="AK75" s="879"/>
      <c r="AL75" s="879"/>
      <c r="AM75" s="879"/>
      <c r="AN75" s="879"/>
      <c r="AO75" s="879"/>
      <c r="AP75" s="879"/>
      <c r="AQ75" s="879"/>
      <c r="AR75" s="879"/>
      <c r="AS75" s="879"/>
      <c r="AT75" s="879"/>
      <c r="AU75" s="879"/>
      <c r="AV75" s="879"/>
      <c r="AW75" s="879"/>
      <c r="AX75" s="879"/>
      <c r="AY75" s="879"/>
      <c r="AZ75" s="879"/>
      <c r="BA75" s="879"/>
      <c r="BB75" s="879"/>
      <c r="BC75" s="879"/>
      <c r="BD75" s="879"/>
      <c r="BE75" s="879"/>
      <c r="BF75" s="879"/>
      <c r="BG75" s="879"/>
      <c r="BH75" s="879"/>
      <c r="BI75" s="879"/>
      <c r="BJ75" s="879"/>
      <c r="BK75" s="879"/>
      <c r="BL75" s="879"/>
      <c r="BM75" s="879"/>
      <c r="BN75" s="879"/>
      <c r="BO75" s="879"/>
      <c r="BP75" s="879"/>
      <c r="BQ75" s="879"/>
      <c r="BR75" s="879"/>
      <c r="BS75" s="879"/>
      <c r="BT75" s="879"/>
      <c r="BU75" s="879"/>
    </row>
    <row r="76" spans="1:73" ht="52.8" x14ac:dyDescent="0.25">
      <c r="A76" s="879"/>
      <c r="B76" s="890" t="s">
        <v>1124</v>
      </c>
      <c r="C76" s="890" t="s">
        <v>1125</v>
      </c>
      <c r="D76" s="890" t="s">
        <v>1126</v>
      </c>
      <c r="E76" s="890" t="s">
        <v>1113</v>
      </c>
      <c r="F76" s="890" t="s">
        <v>1114</v>
      </c>
      <c r="G76" s="890" t="s">
        <v>976</v>
      </c>
      <c r="H76" s="890" t="s">
        <v>121</v>
      </c>
      <c r="I76" s="890" t="s">
        <v>122</v>
      </c>
      <c r="J76" s="890" t="s">
        <v>1152</v>
      </c>
      <c r="K76" s="890" t="s">
        <v>134</v>
      </c>
      <c r="L76" s="890" t="s">
        <v>83</v>
      </c>
      <c r="M76" s="890" t="s">
        <v>135</v>
      </c>
      <c r="N76" s="890" t="s">
        <v>1112</v>
      </c>
      <c r="O76" s="890" t="s">
        <v>136</v>
      </c>
      <c r="P76" s="890" t="s">
        <v>137</v>
      </c>
      <c r="Q76" s="890" t="s">
        <v>138</v>
      </c>
      <c r="R76" s="890" t="s">
        <v>1118</v>
      </c>
      <c r="S76" s="890" t="s">
        <v>44</v>
      </c>
      <c r="T76" s="879"/>
      <c r="U76" s="879"/>
      <c r="V76" s="879"/>
      <c r="W76" s="879"/>
      <c r="X76" s="879"/>
      <c r="Y76" s="879"/>
      <c r="Z76" s="879"/>
      <c r="AA76" s="879"/>
      <c r="AB76" s="879"/>
      <c r="AC76" s="879"/>
      <c r="AD76" s="879"/>
      <c r="AE76" s="879"/>
      <c r="AF76" s="879"/>
      <c r="AG76" s="879"/>
      <c r="AH76" s="879"/>
      <c r="AI76" s="879"/>
      <c r="AJ76" s="879"/>
      <c r="AK76" s="879"/>
      <c r="AL76" s="879"/>
      <c r="AM76" s="879"/>
      <c r="AN76" s="879"/>
      <c r="AO76" s="879"/>
      <c r="AP76" s="879"/>
      <c r="AQ76" s="879"/>
      <c r="AR76" s="879"/>
      <c r="AS76" s="879"/>
      <c r="AT76" s="879"/>
      <c r="AU76" s="879"/>
      <c r="AV76" s="879"/>
      <c r="AW76" s="879"/>
      <c r="AX76" s="879"/>
      <c r="AY76" s="879"/>
      <c r="AZ76" s="879"/>
      <c r="BA76" s="879"/>
      <c r="BB76" s="879"/>
      <c r="BC76" s="879"/>
      <c r="BD76" s="879"/>
      <c r="BE76" s="879"/>
      <c r="BF76" s="879"/>
      <c r="BG76" s="879"/>
      <c r="BH76" s="879"/>
      <c r="BI76" s="879"/>
      <c r="BJ76" s="879"/>
      <c r="BK76" s="879"/>
      <c r="BL76" s="879"/>
      <c r="BM76" s="879"/>
      <c r="BN76" s="879"/>
      <c r="BO76" s="879"/>
      <c r="BP76" s="879"/>
      <c r="BQ76" s="879"/>
      <c r="BR76" s="879"/>
      <c r="BS76" s="879"/>
      <c r="BT76" s="879"/>
      <c r="BU76" s="879"/>
    </row>
    <row r="77" spans="1:73" x14ac:dyDescent="0.25">
      <c r="A77" s="879"/>
      <c r="B77" s="883" t="str">
        <f>+$B$3</f>
        <v>Operating Capacity Factor</v>
      </c>
      <c r="C77" s="892">
        <f ca="1">+H3</f>
        <v>0.90300000000000002</v>
      </c>
      <c r="D77" s="892" t="str">
        <f ca="1">+B77&amp;" = "&amp;C77*100&amp;"%"</f>
        <v>Operating Capacity Factor = 90.3%</v>
      </c>
      <c r="E77" s="896">
        <f t="shared" ref="E77:S77" si="7">+K52</f>
        <v>1.5942256665851611</v>
      </c>
      <c r="F77" s="896">
        <f t="shared" si="7"/>
        <v>0</v>
      </c>
      <c r="G77" s="896">
        <f t="shared" si="7"/>
        <v>6.1049761977481206E-3</v>
      </c>
      <c r="H77" s="896">
        <f t="shared" si="7"/>
        <v>0.11382012968769614</v>
      </c>
      <c r="I77" s="896">
        <f t="shared" si="7"/>
        <v>2.9378733930489821E-2</v>
      </c>
      <c r="J77" s="896">
        <f t="shared" si="7"/>
        <v>1.8220227330927201E-2</v>
      </c>
      <c r="K77" s="896">
        <f t="shared" si="7"/>
        <v>0</v>
      </c>
      <c r="L77" s="896">
        <f t="shared" si="7"/>
        <v>6.1049761977481206E-3</v>
      </c>
      <c r="M77" s="896">
        <f t="shared" si="7"/>
        <v>0.16066792061272508</v>
      </c>
      <c r="N77" s="896">
        <f t="shared" si="7"/>
        <v>1.1859544970057232</v>
      </c>
      <c r="O77" s="896">
        <f t="shared" si="7"/>
        <v>0</v>
      </c>
      <c r="P77" s="896">
        <f t="shared" si="7"/>
        <v>1.5594310398978378E-2</v>
      </c>
      <c r="Q77" s="896">
        <f t="shared" si="7"/>
        <v>5.9907015209957969E-2</v>
      </c>
      <c r="R77" s="896">
        <f t="shared" si="7"/>
        <v>-1.4456372928409292E-2</v>
      </c>
      <c r="S77" s="896">
        <f t="shared" si="7"/>
        <v>2.5139205337071976E-2</v>
      </c>
      <c r="T77" s="879"/>
      <c r="U77" s="879"/>
      <c r="V77" s="879"/>
      <c r="W77" s="879"/>
      <c r="X77" s="879"/>
      <c r="Y77" s="879"/>
      <c r="Z77" s="879"/>
      <c r="AA77" s="879"/>
      <c r="AB77" s="879"/>
      <c r="AC77" s="879"/>
      <c r="AD77" s="879"/>
      <c r="AE77" s="879"/>
      <c r="AF77" s="879"/>
      <c r="AG77" s="879"/>
      <c r="AH77" s="879"/>
      <c r="AI77" s="879"/>
      <c r="AJ77" s="879"/>
      <c r="AK77" s="879"/>
      <c r="AL77" s="879"/>
      <c r="AM77" s="879"/>
      <c r="AN77" s="879"/>
      <c r="AO77" s="879"/>
      <c r="AP77" s="879"/>
      <c r="AQ77" s="879"/>
      <c r="AR77" s="879"/>
      <c r="AS77" s="879"/>
      <c r="AT77" s="879"/>
      <c r="AU77" s="879"/>
      <c r="AV77" s="879"/>
      <c r="AW77" s="879"/>
      <c r="AX77" s="879"/>
      <c r="AY77" s="879"/>
      <c r="AZ77" s="879"/>
      <c r="BA77" s="879"/>
      <c r="BB77" s="879"/>
      <c r="BC77" s="879"/>
      <c r="BD77" s="879"/>
      <c r="BE77" s="879"/>
      <c r="BF77" s="879"/>
      <c r="BG77" s="879"/>
      <c r="BH77" s="879"/>
      <c r="BI77" s="879"/>
      <c r="BJ77" s="879"/>
      <c r="BK77" s="879"/>
      <c r="BL77" s="879"/>
      <c r="BM77" s="879"/>
      <c r="BN77" s="879"/>
      <c r="BO77" s="879"/>
      <c r="BP77" s="879"/>
      <c r="BQ77" s="879"/>
      <c r="BR77" s="879"/>
      <c r="BS77" s="879"/>
      <c r="BT77" s="879"/>
      <c r="BU77" s="879"/>
    </row>
    <row r="78" spans="1:73" x14ac:dyDescent="0.25">
      <c r="A78" s="879"/>
      <c r="B78" s="883" t="str">
        <f t="shared" ref="B78:B79" si="8">+$B$3</f>
        <v>Operating Capacity Factor</v>
      </c>
      <c r="C78" s="892">
        <f ca="1">+C3</f>
        <v>0.86</v>
      </c>
      <c r="D78" s="883" t="str">
        <f t="shared" ref="D78:D79" ca="1" si="9">+B78&amp;" = "&amp;C78*100&amp;"%"</f>
        <v>Operating Capacity Factor = 86%</v>
      </c>
      <c r="E78" s="896">
        <f t="shared" ref="E78:S78" si="10">+K$51</f>
        <v>1.613041943883486</v>
      </c>
      <c r="F78" s="896">
        <f t="shared" si="10"/>
        <v>0</v>
      </c>
      <c r="G78" s="896">
        <f t="shared" si="10"/>
        <v>6.4102250076355253E-3</v>
      </c>
      <c r="H78" s="896">
        <f t="shared" si="10"/>
        <v>0.11951113617208094</v>
      </c>
      <c r="I78" s="896">
        <f t="shared" si="10"/>
        <v>3.0847670627014306E-2</v>
      </c>
      <c r="J78" s="896">
        <f t="shared" si="10"/>
        <v>1.8331334564253857E-2</v>
      </c>
      <c r="K78" s="896">
        <f t="shared" si="10"/>
        <v>0</v>
      </c>
      <c r="L78" s="896">
        <f t="shared" si="10"/>
        <v>6.4102250076355253E-3</v>
      </c>
      <c r="M78" s="896">
        <f t="shared" si="10"/>
        <v>0.16870131664336135</v>
      </c>
      <c r="N78" s="896">
        <f t="shared" si="10"/>
        <v>1.1859544970057232</v>
      </c>
      <c r="O78" s="896">
        <f t="shared" si="10"/>
        <v>0</v>
      </c>
      <c r="P78" s="896">
        <f t="shared" si="10"/>
        <v>1.585391162923162E-2</v>
      </c>
      <c r="Q78" s="896">
        <f t="shared" si="10"/>
        <v>6.2902365970455856E-2</v>
      </c>
      <c r="R78" s="896">
        <f t="shared" si="10"/>
        <v>-1.545645433256042E-2</v>
      </c>
      <c r="S78" s="896">
        <f t="shared" si="10"/>
        <v>2.6396165603925568E-2</v>
      </c>
      <c r="T78" s="879"/>
      <c r="U78" s="879"/>
      <c r="V78" s="879"/>
      <c r="W78" s="879"/>
      <c r="X78" s="879"/>
      <c r="Y78" s="879"/>
      <c r="Z78" s="879"/>
      <c r="AA78" s="879"/>
      <c r="AB78" s="879"/>
      <c r="AC78" s="879"/>
      <c r="AD78" s="879"/>
      <c r="AE78" s="879"/>
      <c r="AF78" s="879"/>
      <c r="AG78" s="879"/>
      <c r="AH78" s="879"/>
      <c r="AI78" s="879"/>
      <c r="AJ78" s="879"/>
      <c r="AK78" s="879"/>
      <c r="AL78" s="879"/>
      <c r="AM78" s="879"/>
      <c r="AN78" s="879"/>
      <c r="AO78" s="879"/>
      <c r="AP78" s="879"/>
      <c r="AQ78" s="879"/>
      <c r="AR78" s="879"/>
      <c r="AS78" s="879"/>
      <c r="AT78" s="879"/>
      <c r="AU78" s="879"/>
      <c r="AV78" s="879"/>
      <c r="AW78" s="879"/>
      <c r="AX78" s="879"/>
      <c r="AY78" s="879"/>
      <c r="AZ78" s="879"/>
      <c r="BA78" s="879"/>
      <c r="BB78" s="879"/>
      <c r="BC78" s="879"/>
      <c r="BD78" s="879"/>
      <c r="BE78" s="879"/>
      <c r="BF78" s="879"/>
      <c r="BG78" s="879"/>
      <c r="BH78" s="879"/>
      <c r="BI78" s="879"/>
      <c r="BJ78" s="879"/>
      <c r="BK78" s="879"/>
      <c r="BL78" s="879"/>
      <c r="BM78" s="879"/>
      <c r="BN78" s="879"/>
      <c r="BO78" s="879"/>
      <c r="BP78" s="879"/>
      <c r="BQ78" s="879"/>
      <c r="BR78" s="879"/>
      <c r="BS78" s="879"/>
      <c r="BT78" s="879"/>
      <c r="BU78" s="879"/>
    </row>
    <row r="79" spans="1:73" x14ac:dyDescent="0.25">
      <c r="A79" s="879"/>
      <c r="B79" s="883" t="str">
        <f t="shared" si="8"/>
        <v>Operating Capacity Factor</v>
      </c>
      <c r="C79" s="892">
        <f ca="1">+I3</f>
        <v>0.81699999999999995</v>
      </c>
      <c r="D79" s="883" t="str">
        <f t="shared" ca="1" si="9"/>
        <v>Operating Capacity Factor = 81.7%</v>
      </c>
      <c r="E79" s="896">
        <f t="shared" ref="E79:S80" si="11">+K53</f>
        <v>1.6338388819500587</v>
      </c>
      <c r="F79" s="896">
        <f t="shared" si="11"/>
        <v>0</v>
      </c>
      <c r="G79" s="896">
        <f t="shared" si="11"/>
        <v>6.7476052711952913E-3</v>
      </c>
      <c r="H79" s="896">
        <f t="shared" si="11"/>
        <v>0.12580119597061154</v>
      </c>
      <c r="I79" s="896">
        <f t="shared" si="11"/>
        <v>3.2471232238962436E-2</v>
      </c>
      <c r="J79" s="896">
        <f t="shared" si="11"/>
        <v>1.8454137295825429E-2</v>
      </c>
      <c r="K79" s="896">
        <f t="shared" si="11"/>
        <v>0</v>
      </c>
      <c r="L79" s="896">
        <f t="shared" si="11"/>
        <v>6.7476052711952913E-3</v>
      </c>
      <c r="M79" s="896">
        <f t="shared" si="11"/>
        <v>0.17758033330880146</v>
      </c>
      <c r="N79" s="896">
        <f t="shared" si="11"/>
        <v>1.1859544970057236</v>
      </c>
      <c r="O79" s="896">
        <f t="shared" si="11"/>
        <v>0</v>
      </c>
      <c r="P79" s="896">
        <f t="shared" si="11"/>
        <v>1.6140839304774685E-2</v>
      </c>
      <c r="Q79" s="896">
        <f t="shared" si="11"/>
        <v>6.6213016811006192E-2</v>
      </c>
      <c r="R79" s="896">
        <f t="shared" si="11"/>
        <v>-1.6561807463463984E-2</v>
      </c>
      <c r="S79" s="896">
        <f t="shared" si="11"/>
        <v>2.7785437477816401E-2</v>
      </c>
      <c r="T79" s="879"/>
      <c r="U79" s="879"/>
      <c r="V79" s="879"/>
      <c r="W79" s="879"/>
      <c r="X79" s="879"/>
      <c r="Y79" s="879"/>
      <c r="Z79" s="879"/>
      <c r="AA79" s="879"/>
      <c r="AB79" s="879"/>
      <c r="AC79" s="879"/>
      <c r="AD79" s="879"/>
      <c r="AE79" s="879"/>
      <c r="AF79" s="879"/>
      <c r="AG79" s="879"/>
      <c r="AH79" s="879"/>
      <c r="AI79" s="879"/>
      <c r="AJ79" s="879"/>
      <c r="AK79" s="879"/>
      <c r="AL79" s="879"/>
      <c r="AM79" s="879"/>
      <c r="AN79" s="879"/>
      <c r="AO79" s="879"/>
      <c r="AP79" s="879"/>
      <c r="AQ79" s="879"/>
      <c r="AR79" s="879"/>
      <c r="AS79" s="879"/>
      <c r="AT79" s="879"/>
      <c r="AU79" s="879"/>
      <c r="AV79" s="879"/>
      <c r="AW79" s="879"/>
      <c r="AX79" s="879"/>
      <c r="AY79" s="879"/>
      <c r="AZ79" s="879"/>
      <c r="BA79" s="879"/>
      <c r="BB79" s="879"/>
      <c r="BC79" s="879"/>
      <c r="BD79" s="879"/>
      <c r="BE79" s="879"/>
      <c r="BF79" s="879"/>
      <c r="BG79" s="879"/>
      <c r="BH79" s="879"/>
      <c r="BI79" s="879"/>
      <c r="BJ79" s="879"/>
      <c r="BK79" s="879"/>
      <c r="BL79" s="879"/>
      <c r="BM79" s="879"/>
      <c r="BN79" s="879"/>
      <c r="BO79" s="879"/>
      <c r="BP79" s="879"/>
      <c r="BQ79" s="879"/>
      <c r="BR79" s="879"/>
      <c r="BS79" s="879"/>
      <c r="BT79" s="879"/>
      <c r="BU79" s="879"/>
    </row>
    <row r="80" spans="1:73" x14ac:dyDescent="0.25">
      <c r="A80" s="879"/>
      <c r="B80" s="883" t="str">
        <f>+$B$4</f>
        <v>Plant Design Capacity (kg of H2/day)</v>
      </c>
      <c r="C80" s="901">
        <f ca="1">ROUND(H4,0)</f>
        <v>1575</v>
      </c>
      <c r="D80" s="883" t="str">
        <f ca="1">+B80&amp;" = "&amp;TEXT(C80,"0,000")</f>
        <v>Plant Design Capacity (kg of H2/day) = 1,575</v>
      </c>
      <c r="E80" s="896">
        <f t="shared" si="11"/>
        <v>1.6079482607095905</v>
      </c>
      <c r="F80" s="896">
        <f t="shared" si="11"/>
        <v>0</v>
      </c>
      <c r="G80" s="896">
        <f t="shared" si="11"/>
        <v>6.272419355331015E-3</v>
      </c>
      <c r="H80" s="896">
        <f t="shared" si="11"/>
        <v>0.11694191121379484</v>
      </c>
      <c r="I80" s="896">
        <f t="shared" si="11"/>
        <v>3.0251480798608638E-2</v>
      </c>
      <c r="J80" s="896">
        <f t="shared" si="11"/>
        <v>1.8324988164119461E-2</v>
      </c>
      <c r="K80" s="896">
        <f t="shared" si="11"/>
        <v>0</v>
      </c>
      <c r="L80" s="896">
        <f t="shared" si="11"/>
        <v>6.272419355331015E-3</v>
      </c>
      <c r="M80" s="896">
        <f t="shared" si="11"/>
        <v>0.16822762804932911</v>
      </c>
      <c r="N80" s="896">
        <f t="shared" si="11"/>
        <v>1.1859544970057232</v>
      </c>
      <c r="O80" s="896">
        <f t="shared" si="11"/>
        <v>0</v>
      </c>
      <c r="P80" s="896">
        <f t="shared" si="11"/>
        <v>1.5853911629231617E-2</v>
      </c>
      <c r="Q80" s="896">
        <f t="shared" si="11"/>
        <v>6.1550104300431722E-2</v>
      </c>
      <c r="R80" s="896">
        <f t="shared" si="11"/>
        <v>-1.4984966907876422E-2</v>
      </c>
      <c r="S80" s="896">
        <f t="shared" si="11"/>
        <v>2.5828706456227316E-2</v>
      </c>
      <c r="T80" s="879"/>
      <c r="U80" s="879"/>
      <c r="V80" s="879"/>
      <c r="W80" s="879"/>
      <c r="X80" s="879"/>
      <c r="Y80" s="879"/>
      <c r="Z80" s="879"/>
      <c r="AA80" s="879"/>
      <c r="AB80" s="879"/>
      <c r="AC80" s="879"/>
      <c r="AD80" s="879"/>
      <c r="AE80" s="879"/>
      <c r="AF80" s="879"/>
      <c r="AG80" s="879"/>
      <c r="AH80" s="879"/>
      <c r="AI80" s="879"/>
      <c r="AJ80" s="879"/>
      <c r="AK80" s="879"/>
      <c r="AL80" s="879"/>
      <c r="AM80" s="879"/>
      <c r="AN80" s="879"/>
      <c r="AO80" s="879"/>
      <c r="AP80" s="879"/>
      <c r="AQ80" s="879"/>
      <c r="AR80" s="879"/>
      <c r="AS80" s="879"/>
      <c r="AT80" s="879"/>
      <c r="AU80" s="879"/>
      <c r="AV80" s="879"/>
      <c r="AW80" s="879"/>
      <c r="AX80" s="879"/>
      <c r="AY80" s="879"/>
      <c r="AZ80" s="879"/>
      <c r="BA80" s="879"/>
      <c r="BB80" s="879"/>
      <c r="BC80" s="879"/>
      <c r="BD80" s="879"/>
      <c r="BE80" s="879"/>
      <c r="BF80" s="879"/>
      <c r="BG80" s="879"/>
      <c r="BH80" s="879"/>
      <c r="BI80" s="879"/>
      <c r="BJ80" s="879"/>
      <c r="BK80" s="879"/>
      <c r="BL80" s="879"/>
      <c r="BM80" s="879"/>
      <c r="BN80" s="879"/>
      <c r="BO80" s="879"/>
      <c r="BP80" s="879"/>
      <c r="BQ80" s="879"/>
      <c r="BR80" s="879"/>
      <c r="BS80" s="879"/>
      <c r="BT80" s="879"/>
      <c r="BU80" s="879"/>
    </row>
    <row r="81" spans="1:73" x14ac:dyDescent="0.25">
      <c r="A81" s="879"/>
      <c r="B81" s="883" t="str">
        <f t="shared" ref="B81:B82" si="12">+$B$4</f>
        <v>Plant Design Capacity (kg of H2/day)</v>
      </c>
      <c r="C81" s="901">
        <f ca="1">+ROUND(C4,0)</f>
        <v>1500</v>
      </c>
      <c r="D81" s="883" t="str">
        <f t="shared" ref="D81:D82" ca="1" si="13">+B81&amp;" = "&amp;TEXT(C81,"0,000")</f>
        <v>Plant Design Capacity (kg of H2/day) = 1,500</v>
      </c>
      <c r="E81" s="896">
        <f t="shared" ref="E81:S81" si="14">+K$51</f>
        <v>1.613041943883486</v>
      </c>
      <c r="F81" s="896">
        <f t="shared" si="14"/>
        <v>0</v>
      </c>
      <c r="G81" s="896">
        <f t="shared" si="14"/>
        <v>6.4102250076355253E-3</v>
      </c>
      <c r="H81" s="896">
        <f t="shared" si="14"/>
        <v>0.11951113617208094</v>
      </c>
      <c r="I81" s="896">
        <f t="shared" si="14"/>
        <v>3.0847670627014306E-2</v>
      </c>
      <c r="J81" s="896">
        <f t="shared" si="14"/>
        <v>1.8331334564253857E-2</v>
      </c>
      <c r="K81" s="896">
        <f t="shared" si="14"/>
        <v>0</v>
      </c>
      <c r="L81" s="896">
        <f t="shared" si="14"/>
        <v>6.4102250076355253E-3</v>
      </c>
      <c r="M81" s="896">
        <f t="shared" si="14"/>
        <v>0.16870131664336135</v>
      </c>
      <c r="N81" s="896">
        <f t="shared" si="14"/>
        <v>1.1859544970057232</v>
      </c>
      <c r="O81" s="896">
        <f t="shared" si="14"/>
        <v>0</v>
      </c>
      <c r="P81" s="896">
        <f t="shared" si="14"/>
        <v>1.585391162923162E-2</v>
      </c>
      <c r="Q81" s="896">
        <f t="shared" si="14"/>
        <v>6.2902365970455856E-2</v>
      </c>
      <c r="R81" s="896">
        <f t="shared" si="14"/>
        <v>-1.545645433256042E-2</v>
      </c>
      <c r="S81" s="896">
        <f t="shared" si="14"/>
        <v>2.6396165603925568E-2</v>
      </c>
      <c r="T81" s="879"/>
      <c r="U81" s="879"/>
      <c r="V81" s="879"/>
      <c r="W81" s="879"/>
      <c r="X81" s="879"/>
      <c r="Y81" s="879"/>
      <c r="Z81" s="879"/>
      <c r="AA81" s="879"/>
      <c r="AB81" s="879"/>
      <c r="AC81" s="879"/>
      <c r="AD81" s="879"/>
      <c r="AE81" s="879"/>
      <c r="AF81" s="879"/>
      <c r="AG81" s="879"/>
      <c r="AH81" s="879"/>
      <c r="AI81" s="879"/>
      <c r="AJ81" s="879"/>
      <c r="AK81" s="879"/>
      <c r="AL81" s="879"/>
      <c r="AM81" s="879"/>
      <c r="AN81" s="879"/>
      <c r="AO81" s="879"/>
      <c r="AP81" s="879"/>
      <c r="AQ81" s="879"/>
      <c r="AR81" s="879"/>
      <c r="AS81" s="879"/>
      <c r="AT81" s="879"/>
      <c r="AU81" s="879"/>
      <c r="AV81" s="879"/>
      <c r="AW81" s="879"/>
      <c r="AX81" s="879"/>
      <c r="AY81" s="879"/>
      <c r="AZ81" s="879"/>
      <c r="BA81" s="879"/>
      <c r="BB81" s="879"/>
      <c r="BC81" s="879"/>
      <c r="BD81" s="879"/>
      <c r="BE81" s="879"/>
      <c r="BF81" s="879"/>
      <c r="BG81" s="879"/>
      <c r="BH81" s="879"/>
      <c r="BI81" s="879"/>
      <c r="BJ81" s="879"/>
      <c r="BK81" s="879"/>
      <c r="BL81" s="879"/>
      <c r="BM81" s="879"/>
      <c r="BN81" s="879"/>
      <c r="BO81" s="879"/>
      <c r="BP81" s="879"/>
      <c r="BQ81" s="879"/>
      <c r="BR81" s="879"/>
      <c r="BS81" s="879"/>
      <c r="BT81" s="879"/>
      <c r="BU81" s="879"/>
    </row>
    <row r="82" spans="1:73" x14ac:dyDescent="0.25">
      <c r="A82" s="879"/>
      <c r="B82" s="883" t="str">
        <f t="shared" si="12"/>
        <v>Plant Design Capacity (kg of H2/day)</v>
      </c>
      <c r="C82" s="901">
        <f ca="1">ROUND(I4,0)</f>
        <v>1425</v>
      </c>
      <c r="D82" s="883" t="str">
        <f t="shared" ca="1" si="13"/>
        <v>Plant Design Capacity (kg of H2/day) = 1,425</v>
      </c>
      <c r="E82" s="896">
        <f t="shared" ref="E82:S83" si="15">+K55</f>
        <v>1.6185660291574699</v>
      </c>
      <c r="F82" s="896">
        <f t="shared" si="15"/>
        <v>0</v>
      </c>
      <c r="G82" s="896">
        <f t="shared" si="15"/>
        <v>6.558795991011509E-3</v>
      </c>
      <c r="H82" s="896">
        <f t="shared" si="15"/>
        <v>0.12228106811742098</v>
      </c>
      <c r="I82" s="896">
        <f t="shared" si="15"/>
        <v>3.1487120912283811E-2</v>
      </c>
      <c r="J82" s="896">
        <f t="shared" si="15"/>
        <v>1.8338651004427005E-2</v>
      </c>
      <c r="K82" s="896">
        <f t="shared" si="15"/>
        <v>0</v>
      </c>
      <c r="L82" s="896">
        <f t="shared" si="15"/>
        <v>6.558795991011509E-3</v>
      </c>
      <c r="M82" s="896">
        <f t="shared" si="15"/>
        <v>0.16924740799996399</v>
      </c>
      <c r="N82" s="896">
        <f t="shared" si="15"/>
        <v>1.1859544970057236</v>
      </c>
      <c r="O82" s="896">
        <f t="shared" si="15"/>
        <v>0</v>
      </c>
      <c r="P82" s="896">
        <f t="shared" si="15"/>
        <v>1.585391162923162E-2</v>
      </c>
      <c r="Q82" s="896">
        <f t="shared" si="15"/>
        <v>6.4360265865978233E-2</v>
      </c>
      <c r="R82" s="896">
        <f t="shared" si="15"/>
        <v>-1.5964847846379162E-2</v>
      </c>
      <c r="S82" s="896">
        <f t="shared" si="15"/>
        <v>2.7007954468818648E-2</v>
      </c>
      <c r="T82" s="879"/>
      <c r="U82" s="879"/>
      <c r="V82" s="879"/>
      <c r="W82" s="879"/>
      <c r="X82" s="879"/>
      <c r="Y82" s="879"/>
      <c r="Z82" s="879"/>
      <c r="AA82" s="879"/>
      <c r="AB82" s="879"/>
      <c r="AC82" s="879"/>
      <c r="AD82" s="879"/>
      <c r="AE82" s="879"/>
      <c r="AF82" s="879"/>
      <c r="AG82" s="879"/>
      <c r="AH82" s="879"/>
      <c r="AI82" s="879"/>
      <c r="AJ82" s="879"/>
      <c r="AK82" s="879"/>
      <c r="AL82" s="879"/>
      <c r="AM82" s="879"/>
      <c r="AN82" s="879"/>
      <c r="AO82" s="879"/>
      <c r="AP82" s="879"/>
      <c r="AQ82" s="879"/>
      <c r="AR82" s="879"/>
      <c r="AS82" s="879"/>
      <c r="AT82" s="879"/>
      <c r="AU82" s="879"/>
      <c r="AV82" s="879"/>
      <c r="AW82" s="879"/>
      <c r="AX82" s="879"/>
      <c r="AY82" s="879"/>
      <c r="AZ82" s="879"/>
      <c r="BA82" s="879"/>
      <c r="BB82" s="879"/>
      <c r="BC82" s="879"/>
      <c r="BD82" s="879"/>
      <c r="BE82" s="879"/>
      <c r="BF82" s="879"/>
      <c r="BG82" s="879"/>
      <c r="BH82" s="879"/>
      <c r="BI82" s="879"/>
      <c r="BJ82" s="879"/>
      <c r="BK82" s="879"/>
      <c r="BL82" s="879"/>
      <c r="BM82" s="879"/>
      <c r="BN82" s="879"/>
      <c r="BO82" s="879"/>
      <c r="BP82" s="879"/>
      <c r="BQ82" s="879"/>
      <c r="BR82" s="879"/>
      <c r="BS82" s="879"/>
      <c r="BT82" s="879"/>
      <c r="BU82" s="879"/>
    </row>
    <row r="83" spans="1:73" x14ac:dyDescent="0.25">
      <c r="A83" s="879"/>
      <c r="B83" s="883" t="str">
        <f>+$B$5</f>
        <v>After-tax Real IRR</v>
      </c>
      <c r="C83" s="892">
        <f ca="1">+ROUND(H5,2)</f>
        <v>0.08</v>
      </c>
      <c r="D83" s="883" t="str">
        <f t="shared" ref="D83:D85" ca="1" si="16">+B83&amp;" = "&amp;C83*100&amp;"%"</f>
        <v>After-tax Real IRR = 8%</v>
      </c>
      <c r="E83" s="896">
        <f t="shared" si="15"/>
        <v>1.6107217244721268</v>
      </c>
      <c r="F83" s="896">
        <f t="shared" si="15"/>
        <v>0</v>
      </c>
      <c r="G83" s="896">
        <f t="shared" si="15"/>
        <v>6.695612660104734E-3</v>
      </c>
      <c r="H83" s="896">
        <f t="shared" si="15"/>
        <v>0.11590328356539081</v>
      </c>
      <c r="I83" s="896">
        <f t="shared" si="15"/>
        <v>3.0886553632149417E-2</v>
      </c>
      <c r="J83" s="896">
        <f t="shared" si="15"/>
        <v>1.7645913557536169E-2</v>
      </c>
      <c r="K83" s="896">
        <f t="shared" si="15"/>
        <v>0</v>
      </c>
      <c r="L83" s="896">
        <f t="shared" si="15"/>
        <v>6.695612660104734E-3</v>
      </c>
      <c r="M83" s="896">
        <f t="shared" si="15"/>
        <v>0.16864781931460818</v>
      </c>
      <c r="N83" s="896">
        <f t="shared" si="15"/>
        <v>1.1868891986533301</v>
      </c>
      <c r="O83" s="896">
        <f t="shared" si="15"/>
        <v>0</v>
      </c>
      <c r="P83" s="896">
        <f t="shared" si="15"/>
        <v>1.585391162923162E-2</v>
      </c>
      <c r="Q83" s="896">
        <f t="shared" si="15"/>
        <v>6.2553205990220823E-2</v>
      </c>
      <c r="R83" s="896">
        <f t="shared" si="15"/>
        <v>-1.5229503030025826E-2</v>
      </c>
      <c r="S83" s="896">
        <f t="shared" si="15"/>
        <v>2.7571341159685268E-2</v>
      </c>
      <c r="T83" s="879"/>
      <c r="U83" s="879"/>
      <c r="V83" s="879"/>
      <c r="W83" s="879"/>
      <c r="X83" s="879"/>
      <c r="Y83" s="879"/>
      <c r="Z83" s="879"/>
      <c r="AA83" s="879"/>
      <c r="AB83" s="879"/>
      <c r="AC83" s="879"/>
      <c r="AD83" s="879"/>
      <c r="AE83" s="879"/>
      <c r="AF83" s="879"/>
      <c r="AG83" s="879"/>
      <c r="AH83" s="879"/>
      <c r="AI83" s="879"/>
      <c r="AJ83" s="879"/>
      <c r="AK83" s="879"/>
      <c r="AL83" s="879"/>
      <c r="AM83" s="879"/>
      <c r="AN83" s="879"/>
      <c r="AO83" s="879"/>
      <c r="AP83" s="879"/>
      <c r="AQ83" s="879"/>
      <c r="AR83" s="879"/>
      <c r="AS83" s="879"/>
      <c r="AT83" s="879"/>
      <c r="AU83" s="879"/>
      <c r="AV83" s="879"/>
      <c r="AW83" s="879"/>
      <c r="AX83" s="879"/>
      <c r="AY83" s="879"/>
      <c r="AZ83" s="879"/>
      <c r="BA83" s="879"/>
      <c r="BB83" s="879"/>
      <c r="BC83" s="879"/>
      <c r="BD83" s="879"/>
      <c r="BE83" s="879"/>
      <c r="BF83" s="879"/>
      <c r="BG83" s="879"/>
      <c r="BH83" s="879"/>
      <c r="BI83" s="879"/>
      <c r="BJ83" s="879"/>
      <c r="BK83" s="879"/>
      <c r="BL83" s="879"/>
      <c r="BM83" s="879"/>
      <c r="BN83" s="879"/>
      <c r="BO83" s="879"/>
      <c r="BP83" s="879"/>
      <c r="BQ83" s="879"/>
      <c r="BR83" s="879"/>
      <c r="BS83" s="879"/>
      <c r="BT83" s="879"/>
      <c r="BU83" s="879"/>
    </row>
    <row r="84" spans="1:73" x14ac:dyDescent="0.25">
      <c r="A84" s="879"/>
      <c r="B84" s="883" t="str">
        <f t="shared" ref="B84:B85" si="17">+$B$5</f>
        <v>After-tax Real IRR</v>
      </c>
      <c r="C84" s="892">
        <f ca="1">ROUND(C5,2)</f>
        <v>0.08</v>
      </c>
      <c r="D84" s="883" t="str">
        <f t="shared" ca="1" si="16"/>
        <v>After-tax Real IRR = 8%</v>
      </c>
      <c r="E84" s="896">
        <f t="shared" ref="E84:S84" si="18">+K$51</f>
        <v>1.613041943883486</v>
      </c>
      <c r="F84" s="896">
        <f t="shared" si="18"/>
        <v>0</v>
      </c>
      <c r="G84" s="896">
        <f t="shared" si="18"/>
        <v>6.4102250076355253E-3</v>
      </c>
      <c r="H84" s="896">
        <f t="shared" si="18"/>
        <v>0.11951113617208094</v>
      </c>
      <c r="I84" s="896">
        <f t="shared" si="18"/>
        <v>3.0847670627014306E-2</v>
      </c>
      <c r="J84" s="896">
        <f t="shared" si="18"/>
        <v>1.8331334564253857E-2</v>
      </c>
      <c r="K84" s="896">
        <f t="shared" si="18"/>
        <v>0</v>
      </c>
      <c r="L84" s="896">
        <f t="shared" si="18"/>
        <v>6.4102250076355253E-3</v>
      </c>
      <c r="M84" s="896">
        <f t="shared" si="18"/>
        <v>0.16870131664336135</v>
      </c>
      <c r="N84" s="896">
        <f t="shared" si="18"/>
        <v>1.1859544970057232</v>
      </c>
      <c r="O84" s="896">
        <f t="shared" si="18"/>
        <v>0</v>
      </c>
      <c r="P84" s="896">
        <f t="shared" si="18"/>
        <v>1.585391162923162E-2</v>
      </c>
      <c r="Q84" s="896">
        <f t="shared" si="18"/>
        <v>6.2902365970455856E-2</v>
      </c>
      <c r="R84" s="896">
        <f t="shared" si="18"/>
        <v>-1.545645433256042E-2</v>
      </c>
      <c r="S84" s="896">
        <f t="shared" si="18"/>
        <v>2.6396165603925568E-2</v>
      </c>
      <c r="T84" s="879"/>
      <c r="U84" s="879"/>
      <c r="V84" s="879"/>
      <c r="W84" s="879"/>
      <c r="X84" s="879"/>
      <c r="Y84" s="879"/>
      <c r="Z84" s="879"/>
      <c r="AA84" s="879"/>
      <c r="AB84" s="879"/>
      <c r="AC84" s="879"/>
      <c r="AD84" s="879"/>
      <c r="AE84" s="879"/>
      <c r="AF84" s="879"/>
      <c r="AG84" s="879"/>
      <c r="AH84" s="879"/>
      <c r="AI84" s="879"/>
      <c r="AJ84" s="879"/>
      <c r="AK84" s="879"/>
      <c r="AL84" s="879"/>
      <c r="AM84" s="879"/>
      <c r="AN84" s="879"/>
      <c r="AO84" s="879"/>
      <c r="AP84" s="879"/>
      <c r="AQ84" s="879"/>
      <c r="AR84" s="879"/>
      <c r="AS84" s="879"/>
      <c r="AT84" s="879"/>
      <c r="AU84" s="879"/>
      <c r="AV84" s="879"/>
      <c r="AW84" s="879"/>
      <c r="AX84" s="879"/>
      <c r="AY84" s="879"/>
      <c r="AZ84" s="879"/>
      <c r="BA84" s="879"/>
      <c r="BB84" s="879"/>
      <c r="BC84" s="879"/>
      <c r="BD84" s="879"/>
      <c r="BE84" s="879"/>
      <c r="BF84" s="879"/>
      <c r="BG84" s="879"/>
      <c r="BH84" s="879"/>
      <c r="BI84" s="879"/>
      <c r="BJ84" s="879"/>
      <c r="BK84" s="879"/>
      <c r="BL84" s="879"/>
      <c r="BM84" s="879"/>
      <c r="BN84" s="879"/>
      <c r="BO84" s="879"/>
      <c r="BP84" s="879"/>
      <c r="BQ84" s="879"/>
      <c r="BR84" s="879"/>
      <c r="BS84" s="879"/>
      <c r="BT84" s="879"/>
      <c r="BU84" s="879"/>
    </row>
    <row r="85" spans="1:73" x14ac:dyDescent="0.25">
      <c r="A85" s="879"/>
      <c r="B85" s="883" t="str">
        <f t="shared" si="17"/>
        <v>After-tax Real IRR</v>
      </c>
      <c r="C85" s="892">
        <f ca="1">ROUND(I5,2)</f>
        <v>0.08</v>
      </c>
      <c r="D85" s="883" t="str">
        <f t="shared" ca="1" si="16"/>
        <v>After-tax Real IRR = 8%</v>
      </c>
      <c r="E85" s="896">
        <f t="shared" ref="E85:S86" si="19">+K57</f>
        <v>1.6154905399516624</v>
      </c>
      <c r="F85" s="896">
        <f t="shared" si="19"/>
        <v>0</v>
      </c>
      <c r="G85" s="896">
        <f t="shared" si="19"/>
        <v>6.1355417013961872E-3</v>
      </c>
      <c r="H85" s="896">
        <f t="shared" si="19"/>
        <v>0.12316818666354515</v>
      </c>
      <c r="I85" s="896">
        <f t="shared" si="19"/>
        <v>3.0801500655956111E-2</v>
      </c>
      <c r="J85" s="896">
        <f t="shared" si="19"/>
        <v>1.9011715228992046E-2</v>
      </c>
      <c r="K85" s="896">
        <f t="shared" si="19"/>
        <v>0</v>
      </c>
      <c r="L85" s="896">
        <f t="shared" si="19"/>
        <v>6.1355417013961872E-3</v>
      </c>
      <c r="M85" s="896">
        <f t="shared" si="19"/>
        <v>0.16875524454518548</v>
      </c>
      <c r="N85" s="896">
        <f t="shared" si="19"/>
        <v>1.1850307596519649</v>
      </c>
      <c r="O85" s="896">
        <f t="shared" si="19"/>
        <v>0</v>
      </c>
      <c r="P85" s="896">
        <f t="shared" si="19"/>
        <v>1.5853911629231627E-2</v>
      </c>
      <c r="Q85" s="896">
        <f t="shared" si="19"/>
        <v>6.325316217468735E-2</v>
      </c>
      <c r="R85" s="896">
        <f t="shared" si="19"/>
        <v>-1.5649009238539374E-2</v>
      </c>
      <c r="S85" s="896">
        <f t="shared" si="19"/>
        <v>2.5265068640637881E-2</v>
      </c>
      <c r="T85" s="879"/>
      <c r="U85" s="879"/>
      <c r="V85" s="879"/>
      <c r="W85" s="879"/>
      <c r="X85" s="879"/>
      <c r="Y85" s="879"/>
      <c r="Z85" s="879"/>
      <c r="AA85" s="879"/>
      <c r="AB85" s="879"/>
      <c r="AC85" s="879"/>
      <c r="AD85" s="879"/>
      <c r="AE85" s="879"/>
      <c r="AF85" s="879"/>
      <c r="AG85" s="879"/>
      <c r="AH85" s="879"/>
      <c r="AI85" s="879"/>
      <c r="AJ85" s="879"/>
      <c r="AK85" s="879"/>
      <c r="AL85" s="879"/>
      <c r="AM85" s="879"/>
      <c r="AN85" s="879"/>
      <c r="AO85" s="879"/>
      <c r="AP85" s="879"/>
      <c r="AQ85" s="879"/>
      <c r="AR85" s="879"/>
      <c r="AS85" s="879"/>
      <c r="AT85" s="879"/>
      <c r="AU85" s="879"/>
      <c r="AV85" s="879"/>
      <c r="AW85" s="879"/>
      <c r="AX85" s="879"/>
      <c r="AY85" s="879"/>
      <c r="AZ85" s="879"/>
      <c r="BA85" s="879"/>
      <c r="BB85" s="879"/>
      <c r="BC85" s="879"/>
      <c r="BD85" s="879"/>
      <c r="BE85" s="879"/>
      <c r="BF85" s="879"/>
      <c r="BG85" s="879"/>
      <c r="BH85" s="879"/>
      <c r="BI85" s="879"/>
      <c r="BJ85" s="879"/>
      <c r="BK85" s="879"/>
      <c r="BL85" s="879"/>
      <c r="BM85" s="879"/>
      <c r="BN85" s="879"/>
      <c r="BO85" s="879"/>
      <c r="BP85" s="879"/>
      <c r="BQ85" s="879"/>
      <c r="BR85" s="879"/>
      <c r="BS85" s="879"/>
      <c r="BT85" s="879"/>
      <c r="BU85" s="879"/>
    </row>
    <row r="86" spans="1:73" x14ac:dyDescent="0.25">
      <c r="A86" s="879"/>
      <c r="B86" s="883" t="str">
        <f>+$B$6</f>
        <v>Feedstock Consumption (% of baseline)</v>
      </c>
      <c r="C86" s="883">
        <f>+ROUND(H6,3)</f>
        <v>0.95</v>
      </c>
      <c r="D86" s="882" t="str">
        <f>+B86&amp;" = "&amp;C86*100&amp;"%"</f>
        <v>Feedstock Consumption (% of baseline) = 95%</v>
      </c>
      <c r="E86" s="904">
        <f t="shared" si="19"/>
        <v>1.552676433372211</v>
      </c>
      <c r="F86" s="896">
        <f t="shared" si="19"/>
        <v>0</v>
      </c>
      <c r="G86" s="896">
        <f t="shared" si="19"/>
        <v>6.4102250076355253E-3</v>
      </c>
      <c r="H86" s="896">
        <f t="shared" si="19"/>
        <v>0.11951113617208094</v>
      </c>
      <c r="I86" s="896">
        <f t="shared" si="19"/>
        <v>3.0847670627014306E-2</v>
      </c>
      <c r="J86" s="896">
        <f t="shared" si="19"/>
        <v>1.7538396932402882E-2</v>
      </c>
      <c r="K86" s="896">
        <f t="shared" si="19"/>
        <v>0</v>
      </c>
      <c r="L86" s="896">
        <f t="shared" si="19"/>
        <v>6.4102250076355253E-3</v>
      </c>
      <c r="M86" s="896">
        <f t="shared" si="19"/>
        <v>0.16870131664336135</v>
      </c>
      <c r="N86" s="896">
        <f t="shared" si="19"/>
        <v>1.1266567721554372</v>
      </c>
      <c r="O86" s="896">
        <f t="shared" si="19"/>
        <v>0</v>
      </c>
      <c r="P86" s="896">
        <f t="shared" si="19"/>
        <v>1.585391162923162E-2</v>
      </c>
      <c r="Q86" s="896">
        <f t="shared" si="19"/>
        <v>6.2902365970455856E-2</v>
      </c>
      <c r="R86" s="896">
        <f t="shared" si="19"/>
        <v>-1.5731302361699066E-2</v>
      </c>
      <c r="S86" s="896">
        <f t="shared" si="19"/>
        <v>2.6396165603925568E-2</v>
      </c>
      <c r="T86" s="879"/>
      <c r="U86" s="879"/>
      <c r="V86" s="879"/>
      <c r="W86" s="879"/>
      <c r="X86" s="879"/>
      <c r="Y86" s="879"/>
      <c r="Z86" s="879"/>
      <c r="AA86" s="879"/>
      <c r="AB86" s="879"/>
      <c r="AC86" s="879"/>
      <c r="AD86" s="879"/>
      <c r="AE86" s="879"/>
      <c r="AF86" s="879"/>
      <c r="AG86" s="879"/>
      <c r="AH86" s="879"/>
      <c r="AI86" s="879"/>
      <c r="AJ86" s="879"/>
      <c r="AK86" s="879"/>
      <c r="AL86" s="879"/>
      <c r="AM86" s="879"/>
      <c r="AN86" s="879"/>
      <c r="AO86" s="879"/>
      <c r="AP86" s="879"/>
      <c r="AQ86" s="879"/>
      <c r="AR86" s="879"/>
      <c r="AS86" s="879"/>
      <c r="AT86" s="879"/>
      <c r="AU86" s="879"/>
      <c r="AV86" s="879"/>
      <c r="AW86" s="879"/>
      <c r="AX86" s="879"/>
      <c r="AY86" s="879"/>
      <c r="AZ86" s="879"/>
      <c r="BA86" s="879"/>
      <c r="BB86" s="879"/>
      <c r="BC86" s="879"/>
      <c r="BD86" s="879"/>
      <c r="BE86" s="879"/>
      <c r="BF86" s="879"/>
      <c r="BG86" s="879"/>
      <c r="BH86" s="879"/>
      <c r="BI86" s="879"/>
      <c r="BJ86" s="879"/>
      <c r="BK86" s="879"/>
      <c r="BL86" s="879"/>
      <c r="BM86" s="879"/>
      <c r="BN86" s="879"/>
      <c r="BO86" s="879"/>
      <c r="BP86" s="879"/>
      <c r="BQ86" s="879"/>
      <c r="BR86" s="879"/>
      <c r="BS86" s="879"/>
      <c r="BT86" s="879"/>
      <c r="BU86" s="879"/>
    </row>
    <row r="87" spans="1:73" x14ac:dyDescent="0.25">
      <c r="A87" s="879"/>
      <c r="B87" s="883" t="str">
        <f t="shared" ref="B87:B88" si="20">+$B$6</f>
        <v>Feedstock Consumption (% of baseline)</v>
      </c>
      <c r="C87" s="883">
        <f>+ROUND(C6,3)</f>
        <v>1</v>
      </c>
      <c r="D87" s="882" t="str">
        <f>+B87&amp;" = "&amp;C87*100&amp;"%"</f>
        <v>Feedstock Consumption (% of baseline) = 100%</v>
      </c>
      <c r="E87" s="904">
        <f t="shared" ref="E87:S87" si="21">+K$51</f>
        <v>1.613041943883486</v>
      </c>
      <c r="F87" s="896">
        <f t="shared" si="21"/>
        <v>0</v>
      </c>
      <c r="G87" s="896">
        <f t="shared" si="21"/>
        <v>6.4102250076355253E-3</v>
      </c>
      <c r="H87" s="896">
        <f t="shared" si="21"/>
        <v>0.11951113617208094</v>
      </c>
      <c r="I87" s="896">
        <f t="shared" si="21"/>
        <v>3.0847670627014306E-2</v>
      </c>
      <c r="J87" s="896">
        <f t="shared" si="21"/>
        <v>1.8331334564253857E-2</v>
      </c>
      <c r="K87" s="896">
        <f t="shared" si="21"/>
        <v>0</v>
      </c>
      <c r="L87" s="896">
        <f t="shared" si="21"/>
        <v>6.4102250076355253E-3</v>
      </c>
      <c r="M87" s="896">
        <f t="shared" si="21"/>
        <v>0.16870131664336135</v>
      </c>
      <c r="N87" s="896">
        <f t="shared" si="21"/>
        <v>1.1859544970057232</v>
      </c>
      <c r="O87" s="896">
        <f t="shared" si="21"/>
        <v>0</v>
      </c>
      <c r="P87" s="896">
        <f t="shared" si="21"/>
        <v>1.585391162923162E-2</v>
      </c>
      <c r="Q87" s="896">
        <f t="shared" si="21"/>
        <v>6.2902365970455856E-2</v>
      </c>
      <c r="R87" s="896">
        <f t="shared" si="21"/>
        <v>-1.545645433256042E-2</v>
      </c>
      <c r="S87" s="896">
        <f t="shared" si="21"/>
        <v>2.6396165603925568E-2</v>
      </c>
      <c r="T87" s="879"/>
      <c r="U87" s="879"/>
      <c r="V87" s="879"/>
      <c r="W87" s="879"/>
      <c r="X87" s="879"/>
      <c r="Y87" s="879"/>
      <c r="Z87" s="879"/>
      <c r="AA87" s="879"/>
      <c r="AB87" s="879"/>
      <c r="AC87" s="879"/>
      <c r="AD87" s="879"/>
      <c r="AE87" s="879"/>
      <c r="AF87" s="879"/>
      <c r="AG87" s="879"/>
      <c r="AH87" s="879"/>
      <c r="AI87" s="879"/>
      <c r="AJ87" s="879"/>
      <c r="AK87" s="879"/>
      <c r="AL87" s="879"/>
      <c r="AM87" s="879"/>
      <c r="AN87" s="879"/>
      <c r="AO87" s="879"/>
      <c r="AP87" s="879"/>
      <c r="AQ87" s="879"/>
      <c r="AR87" s="879"/>
      <c r="AS87" s="879"/>
      <c r="AT87" s="879"/>
      <c r="AU87" s="879"/>
      <c r="AV87" s="879"/>
      <c r="AW87" s="879"/>
      <c r="AX87" s="879"/>
      <c r="AY87" s="879"/>
      <c r="AZ87" s="879"/>
      <c r="BA87" s="879"/>
      <c r="BB87" s="879"/>
      <c r="BC87" s="879"/>
      <c r="BD87" s="879"/>
      <c r="BE87" s="879"/>
      <c r="BF87" s="879"/>
      <c r="BG87" s="879"/>
      <c r="BH87" s="879"/>
      <c r="BI87" s="879"/>
      <c r="BJ87" s="879"/>
      <c r="BK87" s="879"/>
      <c r="BL87" s="879"/>
      <c r="BM87" s="879"/>
      <c r="BN87" s="879"/>
      <c r="BO87" s="879"/>
      <c r="BP87" s="879"/>
      <c r="BQ87" s="879"/>
      <c r="BR87" s="879"/>
      <c r="BS87" s="879"/>
      <c r="BT87" s="879"/>
      <c r="BU87" s="879"/>
    </row>
    <row r="88" spans="1:73" x14ac:dyDescent="0.25">
      <c r="A88" s="879"/>
      <c r="B88" s="883" t="str">
        <f t="shared" si="20"/>
        <v>Feedstock Consumption (% of baseline)</v>
      </c>
      <c r="C88" s="883">
        <f>+ROUND(I6,3)</f>
        <v>1.05</v>
      </c>
      <c r="D88" s="882" t="str">
        <f>+B88&amp;" = "&amp;C88*100&amp;"%"</f>
        <v>Feedstock Consumption (% of baseline) = 105%</v>
      </c>
      <c r="E88" s="904">
        <f t="shared" ref="E88:S89" si="22">+K59</f>
        <v>1.6734074543947626</v>
      </c>
      <c r="F88" s="896">
        <f t="shared" si="22"/>
        <v>0</v>
      </c>
      <c r="G88" s="896">
        <f t="shared" si="22"/>
        <v>6.4102250076355253E-3</v>
      </c>
      <c r="H88" s="896">
        <f t="shared" si="22"/>
        <v>0.11951113617208094</v>
      </c>
      <c r="I88" s="896">
        <f t="shared" si="22"/>
        <v>3.0847670627014306E-2</v>
      </c>
      <c r="J88" s="896">
        <f t="shared" si="22"/>
        <v>1.9124272196104842E-2</v>
      </c>
      <c r="K88" s="896">
        <f t="shared" si="22"/>
        <v>0</v>
      </c>
      <c r="L88" s="896">
        <f t="shared" si="22"/>
        <v>6.4102250076355253E-3</v>
      </c>
      <c r="M88" s="896">
        <f t="shared" si="22"/>
        <v>0.16870131664336135</v>
      </c>
      <c r="N88" s="896">
        <f t="shared" si="22"/>
        <v>1.2452522218560089</v>
      </c>
      <c r="O88" s="896">
        <f t="shared" si="22"/>
        <v>0</v>
      </c>
      <c r="P88" s="896">
        <f t="shared" si="22"/>
        <v>1.585391162923162E-2</v>
      </c>
      <c r="Q88" s="896">
        <f t="shared" si="22"/>
        <v>6.2902365970455856E-2</v>
      </c>
      <c r="R88" s="896">
        <f t="shared" si="22"/>
        <v>-1.5181606303421628E-2</v>
      </c>
      <c r="S88" s="896">
        <f t="shared" si="22"/>
        <v>2.6396165603925568E-2</v>
      </c>
      <c r="T88" s="879"/>
      <c r="U88" s="879"/>
      <c r="V88" s="879"/>
      <c r="W88" s="879"/>
      <c r="X88" s="879"/>
      <c r="Y88" s="879"/>
      <c r="Z88" s="879"/>
      <c r="AA88" s="879"/>
      <c r="AB88" s="879"/>
      <c r="AC88" s="879"/>
      <c r="AD88" s="879"/>
      <c r="AE88" s="879"/>
      <c r="AF88" s="879"/>
      <c r="AG88" s="879"/>
      <c r="AH88" s="879"/>
      <c r="AI88" s="879"/>
      <c r="AJ88" s="879"/>
      <c r="AK88" s="879"/>
      <c r="AL88" s="879"/>
      <c r="AM88" s="879"/>
      <c r="AN88" s="879"/>
      <c r="AO88" s="879"/>
      <c r="AP88" s="879"/>
      <c r="AQ88" s="879"/>
      <c r="AR88" s="879"/>
      <c r="AS88" s="879"/>
      <c r="AT88" s="879"/>
      <c r="AU88" s="879"/>
      <c r="AV88" s="879"/>
      <c r="AW88" s="879"/>
      <c r="AX88" s="879"/>
      <c r="AY88" s="879"/>
      <c r="AZ88" s="879"/>
      <c r="BA88" s="879"/>
      <c r="BB88" s="879"/>
      <c r="BC88" s="879"/>
      <c r="BD88" s="879"/>
      <c r="BE88" s="879"/>
      <c r="BF88" s="879"/>
      <c r="BG88" s="879"/>
      <c r="BH88" s="879"/>
      <c r="BI88" s="879"/>
      <c r="BJ88" s="879"/>
      <c r="BK88" s="879"/>
      <c r="BL88" s="879"/>
      <c r="BM88" s="879"/>
      <c r="BN88" s="879"/>
      <c r="BO88" s="879"/>
      <c r="BP88" s="879"/>
      <c r="BQ88" s="879"/>
      <c r="BR88" s="879"/>
      <c r="BS88" s="879"/>
      <c r="BT88" s="879"/>
      <c r="BU88" s="879"/>
    </row>
    <row r="89" spans="1:73" x14ac:dyDescent="0.25">
      <c r="A89" s="879"/>
      <c r="B89" s="883" t="str">
        <f>+$B$7</f>
        <v>Utilities Consumption (% of baseline)</v>
      </c>
      <c r="C89" s="883">
        <f>+ROUND(H7,3)</f>
        <v>0.95</v>
      </c>
      <c r="D89" s="882" t="str">
        <f t="shared" ref="D89:D91" si="23">+B89&amp;" = "&amp;C89*100&amp;"%"</f>
        <v>Utilities Consumption (% of baseline) = 95%</v>
      </c>
      <c r="E89" s="904">
        <f t="shared" si="22"/>
        <v>1.613041943883486</v>
      </c>
      <c r="F89" s="904">
        <f t="shared" si="22"/>
        <v>0</v>
      </c>
      <c r="G89" s="904">
        <f t="shared" si="22"/>
        <v>6.4102250076355253E-3</v>
      </c>
      <c r="H89" s="904">
        <f t="shared" si="22"/>
        <v>0.11951113617208094</v>
      </c>
      <c r="I89" s="904">
        <f t="shared" si="22"/>
        <v>3.0847670627014306E-2</v>
      </c>
      <c r="J89" s="904">
        <f t="shared" si="22"/>
        <v>1.8331334564253857E-2</v>
      </c>
      <c r="K89" s="904">
        <f t="shared" si="22"/>
        <v>0</v>
      </c>
      <c r="L89" s="904">
        <f t="shared" si="22"/>
        <v>6.4102250076355253E-3</v>
      </c>
      <c r="M89" s="904">
        <f t="shared" si="22"/>
        <v>0.16870131664336135</v>
      </c>
      <c r="N89" s="904">
        <f t="shared" si="22"/>
        <v>1.1859544970057232</v>
      </c>
      <c r="O89" s="904">
        <f t="shared" si="22"/>
        <v>0</v>
      </c>
      <c r="P89" s="904">
        <f t="shared" si="22"/>
        <v>1.585391162923162E-2</v>
      </c>
      <c r="Q89" s="904">
        <f t="shared" si="22"/>
        <v>6.2902365970455856E-2</v>
      </c>
      <c r="R89" s="904">
        <f t="shared" si="22"/>
        <v>-1.545645433256042E-2</v>
      </c>
      <c r="S89" s="904">
        <f t="shared" si="22"/>
        <v>2.6396165603925568E-2</v>
      </c>
      <c r="T89" s="879"/>
      <c r="U89" s="879"/>
      <c r="V89" s="879"/>
      <c r="W89" s="879"/>
      <c r="X89" s="879"/>
      <c r="Y89" s="879"/>
      <c r="Z89" s="879"/>
      <c r="AA89" s="879"/>
      <c r="AB89" s="879"/>
      <c r="AC89" s="879"/>
      <c r="AD89" s="879"/>
      <c r="AE89" s="879"/>
      <c r="AF89" s="879"/>
      <c r="AG89" s="879"/>
      <c r="AH89" s="879"/>
      <c r="AI89" s="879"/>
      <c r="AJ89" s="879"/>
      <c r="AK89" s="879"/>
      <c r="AL89" s="879"/>
      <c r="AM89" s="879"/>
      <c r="AN89" s="879"/>
      <c r="AO89" s="879"/>
      <c r="AP89" s="879"/>
      <c r="AQ89" s="879"/>
      <c r="AR89" s="879"/>
      <c r="AS89" s="879"/>
      <c r="AT89" s="879"/>
      <c r="AU89" s="879"/>
      <c r="AV89" s="879"/>
      <c r="AW89" s="879"/>
      <c r="AX89" s="879"/>
      <c r="AY89" s="879"/>
      <c r="AZ89" s="879"/>
      <c r="BA89" s="879"/>
      <c r="BB89" s="879"/>
      <c r="BC89" s="879"/>
      <c r="BD89" s="879"/>
      <c r="BE89" s="879"/>
      <c r="BF89" s="879"/>
      <c r="BG89" s="879"/>
      <c r="BH89" s="879"/>
      <c r="BI89" s="879"/>
      <c r="BJ89" s="879"/>
      <c r="BK89" s="879"/>
      <c r="BL89" s="879"/>
      <c r="BM89" s="879"/>
      <c r="BN89" s="879"/>
      <c r="BO89" s="879"/>
      <c r="BP89" s="879"/>
      <c r="BQ89" s="879"/>
      <c r="BR89" s="879"/>
      <c r="BS89" s="879"/>
      <c r="BT89" s="879"/>
      <c r="BU89" s="879"/>
    </row>
    <row r="90" spans="1:73" x14ac:dyDescent="0.25">
      <c r="A90" s="879"/>
      <c r="B90" s="883" t="str">
        <f t="shared" ref="B90:B91" si="24">+$B$7</f>
        <v>Utilities Consumption (% of baseline)</v>
      </c>
      <c r="C90" s="883">
        <f>+ROUND(C7,3)</f>
        <v>1</v>
      </c>
      <c r="D90" s="882" t="str">
        <f t="shared" si="23"/>
        <v>Utilities Consumption (% of baseline) = 100%</v>
      </c>
      <c r="E90" s="904">
        <f>+K$51</f>
        <v>1.613041943883486</v>
      </c>
      <c r="F90" s="904">
        <f t="shared" ref="F90:S90" si="25">+L$51</f>
        <v>0</v>
      </c>
      <c r="G90" s="904">
        <f t="shared" si="25"/>
        <v>6.4102250076355253E-3</v>
      </c>
      <c r="H90" s="904">
        <f t="shared" si="25"/>
        <v>0.11951113617208094</v>
      </c>
      <c r="I90" s="904">
        <f t="shared" si="25"/>
        <v>3.0847670627014306E-2</v>
      </c>
      <c r="J90" s="904">
        <f t="shared" si="25"/>
        <v>1.8331334564253857E-2</v>
      </c>
      <c r="K90" s="904">
        <f t="shared" si="25"/>
        <v>0</v>
      </c>
      <c r="L90" s="904">
        <f t="shared" si="25"/>
        <v>6.4102250076355253E-3</v>
      </c>
      <c r="M90" s="904">
        <f t="shared" si="25"/>
        <v>0.16870131664336135</v>
      </c>
      <c r="N90" s="904">
        <f t="shared" si="25"/>
        <v>1.1859544970057232</v>
      </c>
      <c r="O90" s="904">
        <f t="shared" si="25"/>
        <v>0</v>
      </c>
      <c r="P90" s="904">
        <f t="shared" si="25"/>
        <v>1.585391162923162E-2</v>
      </c>
      <c r="Q90" s="904">
        <f t="shared" si="25"/>
        <v>6.2902365970455856E-2</v>
      </c>
      <c r="R90" s="904">
        <f t="shared" si="25"/>
        <v>-1.545645433256042E-2</v>
      </c>
      <c r="S90" s="904">
        <f t="shared" si="25"/>
        <v>2.6396165603925568E-2</v>
      </c>
      <c r="T90" s="879"/>
      <c r="U90" s="879"/>
      <c r="V90" s="879"/>
      <c r="W90" s="879"/>
      <c r="X90" s="879"/>
      <c r="Y90" s="879"/>
      <c r="Z90" s="879"/>
      <c r="AA90" s="879"/>
      <c r="AB90" s="879"/>
      <c r="AC90" s="879"/>
      <c r="AD90" s="879"/>
      <c r="AE90" s="879"/>
      <c r="AF90" s="879"/>
      <c r="AG90" s="879"/>
      <c r="AH90" s="879"/>
      <c r="AI90" s="879"/>
      <c r="AJ90" s="879"/>
      <c r="AK90" s="879"/>
      <c r="AL90" s="879"/>
      <c r="AM90" s="879"/>
      <c r="AN90" s="879"/>
      <c r="AO90" s="879"/>
      <c r="AP90" s="879"/>
      <c r="AQ90" s="879"/>
      <c r="AR90" s="879"/>
      <c r="AS90" s="879"/>
      <c r="AT90" s="879"/>
      <c r="AU90" s="879"/>
      <c r="AV90" s="879"/>
      <c r="AW90" s="879"/>
      <c r="AX90" s="879"/>
      <c r="AY90" s="879"/>
      <c r="AZ90" s="879"/>
      <c r="BA90" s="879"/>
      <c r="BB90" s="879"/>
      <c r="BC90" s="879"/>
      <c r="BD90" s="879"/>
      <c r="BE90" s="879"/>
      <c r="BF90" s="879"/>
      <c r="BG90" s="879"/>
      <c r="BH90" s="879"/>
      <c r="BI90" s="879"/>
      <c r="BJ90" s="879"/>
      <c r="BK90" s="879"/>
      <c r="BL90" s="879"/>
      <c r="BM90" s="879"/>
      <c r="BN90" s="879"/>
      <c r="BO90" s="879"/>
      <c r="BP90" s="879"/>
      <c r="BQ90" s="879"/>
      <c r="BR90" s="879"/>
      <c r="BS90" s="879"/>
      <c r="BT90" s="879"/>
      <c r="BU90" s="879"/>
    </row>
    <row r="91" spans="1:73" x14ac:dyDescent="0.25">
      <c r="A91" s="879"/>
      <c r="B91" s="883" t="str">
        <f t="shared" si="24"/>
        <v>Utilities Consumption (% of baseline)</v>
      </c>
      <c r="C91" s="883">
        <f>+ROUND(I7,3)</f>
        <v>1.05</v>
      </c>
      <c r="D91" s="882" t="str">
        <f t="shared" si="23"/>
        <v>Utilities Consumption (% of baseline) = 105%</v>
      </c>
      <c r="E91" s="904">
        <f t="shared" ref="E91:S92" si="26">+K61</f>
        <v>1.613041943883486</v>
      </c>
      <c r="F91" s="904">
        <f t="shared" si="26"/>
        <v>0</v>
      </c>
      <c r="G91" s="904">
        <f t="shared" si="26"/>
        <v>6.4102250076355253E-3</v>
      </c>
      <c r="H91" s="904">
        <f t="shared" si="26"/>
        <v>0.11951113617208094</v>
      </c>
      <c r="I91" s="904">
        <f t="shared" si="26"/>
        <v>3.0847670627014306E-2</v>
      </c>
      <c r="J91" s="904">
        <f t="shared" si="26"/>
        <v>1.8331334564253857E-2</v>
      </c>
      <c r="K91" s="904">
        <f t="shared" si="26"/>
        <v>0</v>
      </c>
      <c r="L91" s="904">
        <f t="shared" si="26"/>
        <v>6.4102250076355253E-3</v>
      </c>
      <c r="M91" s="904">
        <f t="shared" si="26"/>
        <v>0.16870131664336135</v>
      </c>
      <c r="N91" s="904">
        <f t="shared" si="26"/>
        <v>1.1859544970057232</v>
      </c>
      <c r="O91" s="904">
        <f t="shared" si="26"/>
        <v>0</v>
      </c>
      <c r="P91" s="904">
        <f t="shared" si="26"/>
        <v>1.585391162923162E-2</v>
      </c>
      <c r="Q91" s="904">
        <f t="shared" si="26"/>
        <v>6.2902365970455856E-2</v>
      </c>
      <c r="R91" s="904">
        <f t="shared" si="26"/>
        <v>-1.545645433256042E-2</v>
      </c>
      <c r="S91" s="904">
        <f t="shared" si="26"/>
        <v>2.6396165603925568E-2</v>
      </c>
      <c r="T91" s="879"/>
      <c r="U91" s="879"/>
      <c r="V91" s="879"/>
      <c r="W91" s="879"/>
      <c r="X91" s="879"/>
      <c r="Y91" s="879"/>
      <c r="Z91" s="879"/>
      <c r="AA91" s="879"/>
      <c r="AB91" s="879"/>
      <c r="AC91" s="879"/>
      <c r="AD91" s="879"/>
      <c r="AE91" s="879"/>
      <c r="AF91" s="879"/>
      <c r="AG91" s="879"/>
      <c r="AH91" s="879"/>
      <c r="AI91" s="879"/>
      <c r="AJ91" s="879"/>
      <c r="AK91" s="879"/>
      <c r="AL91" s="879"/>
      <c r="AM91" s="879"/>
      <c r="AN91" s="879"/>
      <c r="AO91" s="879"/>
      <c r="AP91" s="879"/>
      <c r="AQ91" s="879"/>
      <c r="AR91" s="879"/>
      <c r="AS91" s="879"/>
      <c r="AT91" s="879"/>
      <c r="AU91" s="879"/>
      <c r="AV91" s="879"/>
      <c r="AW91" s="879"/>
      <c r="AX91" s="879"/>
      <c r="AY91" s="879"/>
      <c r="AZ91" s="879"/>
      <c r="BA91" s="879"/>
      <c r="BB91" s="879"/>
      <c r="BC91" s="879"/>
      <c r="BD91" s="879"/>
      <c r="BE91" s="879"/>
      <c r="BF91" s="879"/>
      <c r="BG91" s="879"/>
      <c r="BH91" s="879"/>
      <c r="BI91" s="879"/>
      <c r="BJ91" s="879"/>
      <c r="BK91" s="879"/>
      <c r="BL91" s="879"/>
      <c r="BM91" s="879"/>
      <c r="BN91" s="879"/>
      <c r="BO91" s="879"/>
      <c r="BP91" s="879"/>
      <c r="BQ91" s="879"/>
      <c r="BR91" s="879"/>
      <c r="BS91" s="879"/>
      <c r="BT91" s="879"/>
      <c r="BU91" s="879"/>
    </row>
    <row r="92" spans="1:73" x14ac:dyDescent="0.25">
      <c r="A92" s="879"/>
      <c r="B92" s="883" t="str">
        <f>+$B$8</f>
        <v>Total Capital Investment</v>
      </c>
      <c r="C92" s="901">
        <f ca="1">+ROUND(H8,0)</f>
        <v>1281215</v>
      </c>
      <c r="D92" s="883" t="str">
        <f t="shared" ref="D92:D97" ca="1" si="27">+B92&amp;" = "&amp;TEXT(C92/1000,"$0,000K")</f>
        <v>Total Capital Investment = $1,281K</v>
      </c>
      <c r="E92" s="896">
        <f t="shared" si="26"/>
        <v>1.6008516158864692</v>
      </c>
      <c r="F92" s="896">
        <f t="shared" si="26"/>
        <v>0</v>
      </c>
      <c r="G92" s="896">
        <f t="shared" si="26"/>
        <v>6.0897137572537476E-3</v>
      </c>
      <c r="H92" s="896">
        <f t="shared" si="26"/>
        <v>0.11353557936347687</v>
      </c>
      <c r="I92" s="896">
        <f t="shared" si="26"/>
        <v>3.0847670627014306E-2</v>
      </c>
      <c r="J92" s="896">
        <f t="shared" si="26"/>
        <v>1.8292496070326614E-2</v>
      </c>
      <c r="K92" s="896">
        <f t="shared" si="26"/>
        <v>0</v>
      </c>
      <c r="L92" s="896">
        <f t="shared" si="26"/>
        <v>6.0897137572537476E-3</v>
      </c>
      <c r="M92" s="896">
        <f t="shared" si="26"/>
        <v>0.16580245253250647</v>
      </c>
      <c r="N92" s="896">
        <f t="shared" si="26"/>
        <v>1.1859544970057232</v>
      </c>
      <c r="O92" s="896">
        <f t="shared" si="26"/>
        <v>0</v>
      </c>
      <c r="P92" s="896">
        <f t="shared" si="26"/>
        <v>1.585391162923162E-2</v>
      </c>
      <c r="Q92" s="896">
        <f t="shared" si="26"/>
        <v>5.9757247671933064E-2</v>
      </c>
      <c r="R92" s="896">
        <f t="shared" si="26"/>
        <v>-1.426859633747255E-2</v>
      </c>
      <c r="S92" s="896">
        <f t="shared" si="26"/>
        <v>2.507635732372929E-2</v>
      </c>
      <c r="T92" s="879"/>
      <c r="U92" s="879"/>
      <c r="V92" s="879"/>
      <c r="W92" s="879"/>
      <c r="X92" s="879"/>
      <c r="Y92" s="879"/>
      <c r="Z92" s="879"/>
      <c r="AA92" s="879"/>
      <c r="AB92" s="879"/>
      <c r="AC92" s="879"/>
      <c r="AD92" s="879"/>
      <c r="AE92" s="879"/>
      <c r="AF92" s="879"/>
      <c r="AG92" s="879"/>
      <c r="AH92" s="879"/>
      <c r="AI92" s="879"/>
      <c r="AJ92" s="879"/>
      <c r="AK92" s="879"/>
      <c r="AL92" s="879"/>
      <c r="AM92" s="879"/>
      <c r="AN92" s="879"/>
      <c r="AO92" s="879"/>
      <c r="AP92" s="879"/>
      <c r="AQ92" s="879"/>
      <c r="AR92" s="879"/>
      <c r="AS92" s="879"/>
      <c r="AT92" s="879"/>
      <c r="AU92" s="879"/>
      <c r="AV92" s="879"/>
      <c r="AW92" s="879"/>
      <c r="AX92" s="879"/>
      <c r="AY92" s="879"/>
      <c r="AZ92" s="879"/>
      <c r="BA92" s="879"/>
      <c r="BB92" s="879"/>
      <c r="BC92" s="879"/>
      <c r="BD92" s="879"/>
      <c r="BE92" s="879"/>
      <c r="BF92" s="879"/>
      <c r="BG92" s="879"/>
      <c r="BH92" s="879"/>
      <c r="BI92" s="879"/>
      <c r="BJ92" s="879"/>
      <c r="BK92" s="879"/>
      <c r="BL92" s="879"/>
      <c r="BM92" s="879"/>
      <c r="BN92" s="879"/>
      <c r="BO92" s="879"/>
      <c r="BP92" s="879"/>
      <c r="BQ92" s="879"/>
      <c r="BR92" s="879"/>
      <c r="BS92" s="879"/>
      <c r="BT92" s="879"/>
      <c r="BU92" s="879"/>
    </row>
    <row r="93" spans="1:73" x14ac:dyDescent="0.25">
      <c r="A93" s="879"/>
      <c r="B93" s="883" t="str">
        <f t="shared" ref="B93:B94" si="28">+$B$8</f>
        <v>Total Capital Investment</v>
      </c>
      <c r="C93" s="901">
        <f ca="1">+ROUND(C8,0)</f>
        <v>1348648</v>
      </c>
      <c r="D93" s="883" t="str">
        <f t="shared" ca="1" si="27"/>
        <v>Total Capital Investment = $1,349K</v>
      </c>
      <c r="E93" s="896">
        <f t="shared" ref="E93:S93" si="29">+K$51</f>
        <v>1.613041943883486</v>
      </c>
      <c r="F93" s="896">
        <f t="shared" si="29"/>
        <v>0</v>
      </c>
      <c r="G93" s="896">
        <f t="shared" si="29"/>
        <v>6.4102250076355253E-3</v>
      </c>
      <c r="H93" s="896">
        <f t="shared" si="29"/>
        <v>0.11951113617208094</v>
      </c>
      <c r="I93" s="896">
        <f t="shared" si="29"/>
        <v>3.0847670627014306E-2</v>
      </c>
      <c r="J93" s="896">
        <f t="shared" si="29"/>
        <v>1.8331334564253857E-2</v>
      </c>
      <c r="K93" s="896">
        <f t="shared" si="29"/>
        <v>0</v>
      </c>
      <c r="L93" s="896">
        <f t="shared" si="29"/>
        <v>6.4102250076355253E-3</v>
      </c>
      <c r="M93" s="896">
        <f t="shared" si="29"/>
        <v>0.16870131664336135</v>
      </c>
      <c r="N93" s="896">
        <f t="shared" si="29"/>
        <v>1.1859544970057232</v>
      </c>
      <c r="O93" s="896">
        <f t="shared" si="29"/>
        <v>0</v>
      </c>
      <c r="P93" s="896">
        <f t="shared" si="29"/>
        <v>1.585391162923162E-2</v>
      </c>
      <c r="Q93" s="896">
        <f t="shared" si="29"/>
        <v>6.2902365970455856E-2</v>
      </c>
      <c r="R93" s="896">
        <f t="shared" si="29"/>
        <v>-1.545645433256042E-2</v>
      </c>
      <c r="S93" s="896">
        <f t="shared" si="29"/>
        <v>2.6396165603925568E-2</v>
      </c>
      <c r="T93" s="879"/>
      <c r="U93" s="879"/>
      <c r="V93" s="879"/>
      <c r="W93" s="879"/>
      <c r="X93" s="879"/>
      <c r="Y93" s="879"/>
      <c r="Z93" s="879"/>
      <c r="AA93" s="879"/>
      <c r="AB93" s="879"/>
      <c r="AC93" s="879"/>
      <c r="AD93" s="879"/>
      <c r="AE93" s="879"/>
      <c r="AF93" s="879"/>
      <c r="AG93" s="879"/>
      <c r="AH93" s="879"/>
      <c r="AI93" s="879"/>
      <c r="AJ93" s="879"/>
      <c r="AK93" s="879"/>
      <c r="AL93" s="879"/>
      <c r="AM93" s="879"/>
      <c r="AN93" s="879"/>
      <c r="AO93" s="879"/>
      <c r="AP93" s="879"/>
      <c r="AQ93" s="879"/>
      <c r="AR93" s="879"/>
      <c r="AS93" s="879"/>
      <c r="AT93" s="879"/>
      <c r="AU93" s="879"/>
      <c r="AV93" s="879"/>
      <c r="AW93" s="879"/>
      <c r="AX93" s="879"/>
      <c r="AY93" s="879"/>
      <c r="AZ93" s="879"/>
      <c r="BA93" s="879"/>
      <c r="BB93" s="879"/>
      <c r="BC93" s="879"/>
      <c r="BD93" s="879"/>
      <c r="BE93" s="879"/>
      <c r="BF93" s="879"/>
      <c r="BG93" s="879"/>
      <c r="BH93" s="879"/>
      <c r="BI93" s="879"/>
      <c r="BJ93" s="879"/>
      <c r="BK93" s="879"/>
      <c r="BL93" s="879"/>
      <c r="BM93" s="879"/>
      <c r="BN93" s="879"/>
      <c r="BO93" s="879"/>
      <c r="BP93" s="879"/>
      <c r="BQ93" s="879"/>
      <c r="BR93" s="879"/>
      <c r="BS93" s="879"/>
      <c r="BT93" s="879"/>
      <c r="BU93" s="879"/>
    </row>
    <row r="94" spans="1:73" x14ac:dyDescent="0.25">
      <c r="A94" s="879"/>
      <c r="B94" s="883" t="str">
        <f t="shared" si="28"/>
        <v>Total Capital Investment</v>
      </c>
      <c r="C94" s="901">
        <f ca="1">+ROUND(I8,0)</f>
        <v>1416080</v>
      </c>
      <c r="D94" s="883" t="str">
        <f t="shared" ca="1" si="27"/>
        <v>Total Capital Investment = $1,416K</v>
      </c>
      <c r="E94" s="896">
        <f t="shared" ref="E94:S95" si="30">+K63</f>
        <v>1.6252322718805035</v>
      </c>
      <c r="F94" s="896">
        <f t="shared" si="30"/>
        <v>0</v>
      </c>
      <c r="G94" s="896">
        <f t="shared" si="30"/>
        <v>6.7307362580173004E-3</v>
      </c>
      <c r="H94" s="896">
        <f t="shared" si="30"/>
        <v>0.12548669298068496</v>
      </c>
      <c r="I94" s="896">
        <f t="shared" si="30"/>
        <v>3.0847670627014306E-2</v>
      </c>
      <c r="J94" s="896">
        <f t="shared" si="30"/>
        <v>1.8370173058181109E-2</v>
      </c>
      <c r="K94" s="896">
        <f t="shared" si="30"/>
        <v>0</v>
      </c>
      <c r="L94" s="896">
        <f t="shared" si="30"/>
        <v>6.7307362580173004E-3</v>
      </c>
      <c r="M94" s="896">
        <f t="shared" si="30"/>
        <v>0.17160018075421613</v>
      </c>
      <c r="N94" s="896">
        <f t="shared" si="30"/>
        <v>1.1859544970057232</v>
      </c>
      <c r="O94" s="896">
        <f t="shared" si="30"/>
        <v>0</v>
      </c>
      <c r="P94" s="896">
        <f t="shared" si="30"/>
        <v>1.585391162923162E-2</v>
      </c>
      <c r="Q94" s="896">
        <f t="shared" si="30"/>
        <v>6.6047484268978676E-2</v>
      </c>
      <c r="R94" s="896">
        <f t="shared" si="30"/>
        <v>-1.6644312327648094E-2</v>
      </c>
      <c r="S94" s="896">
        <f t="shared" si="30"/>
        <v>2.771597388412185E-2</v>
      </c>
      <c r="T94" s="879"/>
      <c r="U94" s="879"/>
      <c r="V94" s="879"/>
      <c r="W94" s="879"/>
      <c r="X94" s="879"/>
      <c r="Y94" s="879"/>
      <c r="Z94" s="879"/>
      <c r="AA94" s="879"/>
      <c r="AB94" s="879"/>
      <c r="AC94" s="879"/>
      <c r="AD94" s="879"/>
      <c r="AE94" s="879"/>
      <c r="AF94" s="879"/>
      <c r="AG94" s="879"/>
      <c r="AH94" s="879"/>
      <c r="AI94" s="879"/>
      <c r="AJ94" s="879"/>
      <c r="AK94" s="879"/>
      <c r="AL94" s="879"/>
      <c r="AM94" s="879"/>
      <c r="AN94" s="879"/>
      <c r="AO94" s="879"/>
      <c r="AP94" s="879"/>
      <c r="AQ94" s="879"/>
      <c r="AR94" s="879"/>
      <c r="AS94" s="879"/>
      <c r="AT94" s="879"/>
      <c r="AU94" s="879"/>
      <c r="AV94" s="879"/>
      <c r="AW94" s="879"/>
      <c r="AX94" s="879"/>
      <c r="AY94" s="879"/>
      <c r="AZ94" s="879"/>
      <c r="BA94" s="879"/>
      <c r="BB94" s="879"/>
      <c r="BC94" s="879"/>
      <c r="BD94" s="879"/>
      <c r="BE94" s="879"/>
      <c r="BF94" s="879"/>
      <c r="BG94" s="879"/>
      <c r="BH94" s="879"/>
      <c r="BI94" s="879"/>
      <c r="BJ94" s="879"/>
      <c r="BK94" s="879"/>
      <c r="BL94" s="879"/>
      <c r="BM94" s="879"/>
      <c r="BN94" s="879"/>
      <c r="BO94" s="879"/>
      <c r="BP94" s="879"/>
      <c r="BQ94" s="879"/>
      <c r="BR94" s="879"/>
      <c r="BS94" s="879"/>
      <c r="BT94" s="879"/>
      <c r="BU94" s="879"/>
    </row>
    <row r="95" spans="1:73" x14ac:dyDescent="0.25">
      <c r="A95" s="879"/>
      <c r="B95" s="883" t="str">
        <f>+$B$9</f>
        <v>Total Fixed Operating Cost</v>
      </c>
      <c r="C95" s="901">
        <f ca="1">+ROUND(H9,0)</f>
        <v>74561</v>
      </c>
      <c r="D95" s="883" t="str">
        <f t="shared" ca="1" si="27"/>
        <v>Total Fixed Operating Cost = $0,075K</v>
      </c>
      <c r="E95" s="896">
        <f t="shared" si="30"/>
        <v>1.6044546943808315</v>
      </c>
      <c r="F95" s="896">
        <f t="shared" si="30"/>
        <v>0</v>
      </c>
      <c r="G95" s="896">
        <f t="shared" si="30"/>
        <v>6.4102250076355253E-3</v>
      </c>
      <c r="H95" s="896">
        <f t="shared" si="30"/>
        <v>0.11951113617208094</v>
      </c>
      <c r="I95" s="896">
        <f t="shared" si="30"/>
        <v>3.0847670627014306E-2</v>
      </c>
      <c r="J95" s="896">
        <f t="shared" si="30"/>
        <v>1.821832297055E-2</v>
      </c>
      <c r="K95" s="896">
        <f t="shared" si="30"/>
        <v>0</v>
      </c>
      <c r="L95" s="896">
        <f t="shared" si="30"/>
        <v>6.4102250076355253E-3</v>
      </c>
      <c r="M95" s="896">
        <f t="shared" si="30"/>
        <v>0.16026625081119328</v>
      </c>
      <c r="N95" s="896">
        <f t="shared" si="30"/>
        <v>1.1859544970057232</v>
      </c>
      <c r="O95" s="896">
        <f t="shared" si="30"/>
        <v>0</v>
      </c>
      <c r="P95" s="896">
        <f t="shared" si="30"/>
        <v>1.585391162923162E-2</v>
      </c>
      <c r="Q95" s="896">
        <f t="shared" si="30"/>
        <v>6.2902365970455856E-2</v>
      </c>
      <c r="R95" s="896">
        <f t="shared" si="30"/>
        <v>-1.5495626409343705E-2</v>
      </c>
      <c r="S95" s="896">
        <f t="shared" si="30"/>
        <v>2.6396165603925568E-2</v>
      </c>
      <c r="T95" s="879"/>
      <c r="U95" s="879"/>
      <c r="V95" s="879"/>
      <c r="W95" s="879"/>
      <c r="X95" s="879"/>
      <c r="Y95" s="879"/>
      <c r="Z95" s="879"/>
      <c r="AA95" s="879"/>
      <c r="AB95" s="879"/>
      <c r="AC95" s="879"/>
      <c r="AD95" s="879"/>
      <c r="AE95" s="879"/>
      <c r="AF95" s="879"/>
      <c r="AG95" s="879"/>
      <c r="AH95" s="879"/>
      <c r="AI95" s="879"/>
      <c r="AJ95" s="879"/>
      <c r="AK95" s="879"/>
      <c r="AL95" s="879"/>
      <c r="AM95" s="879"/>
      <c r="AN95" s="879"/>
      <c r="AO95" s="879"/>
      <c r="AP95" s="879"/>
      <c r="AQ95" s="879"/>
      <c r="AR95" s="879"/>
      <c r="AS95" s="879"/>
      <c r="AT95" s="879"/>
      <c r="AU95" s="879"/>
      <c r="AV95" s="879"/>
      <c r="AW95" s="879"/>
      <c r="AX95" s="879"/>
      <c r="AY95" s="879"/>
      <c r="AZ95" s="879"/>
      <c r="BA95" s="879"/>
      <c r="BB95" s="879"/>
      <c r="BC95" s="879"/>
      <c r="BD95" s="879"/>
      <c r="BE95" s="879"/>
      <c r="BF95" s="879"/>
      <c r="BG95" s="879"/>
      <c r="BH95" s="879"/>
      <c r="BI95" s="879"/>
      <c r="BJ95" s="879"/>
      <c r="BK95" s="879"/>
      <c r="BL95" s="879"/>
      <c r="BM95" s="879"/>
      <c r="BN95" s="879"/>
      <c r="BO95" s="879"/>
      <c r="BP95" s="879"/>
      <c r="BQ95" s="879"/>
      <c r="BR95" s="879"/>
      <c r="BS95" s="879"/>
      <c r="BT95" s="879"/>
      <c r="BU95" s="879"/>
    </row>
    <row r="96" spans="1:73" x14ac:dyDescent="0.25">
      <c r="A96" s="879"/>
      <c r="B96" s="883" t="str">
        <f t="shared" ref="B96:B97" si="31">+$B$9</f>
        <v>Total Fixed Operating Cost</v>
      </c>
      <c r="C96" s="901">
        <f ca="1">+ROUND(C9,0)</f>
        <v>78485</v>
      </c>
      <c r="D96" s="883" t="str">
        <f t="shared" ca="1" si="27"/>
        <v>Total Fixed Operating Cost = $0,078K</v>
      </c>
      <c r="E96" s="896">
        <f t="shared" ref="E96:S96" si="32">+K$51</f>
        <v>1.613041943883486</v>
      </c>
      <c r="F96" s="896">
        <f t="shared" si="32"/>
        <v>0</v>
      </c>
      <c r="G96" s="896">
        <f t="shared" si="32"/>
        <v>6.4102250076355253E-3</v>
      </c>
      <c r="H96" s="896">
        <f t="shared" si="32"/>
        <v>0.11951113617208094</v>
      </c>
      <c r="I96" s="896">
        <f t="shared" si="32"/>
        <v>3.0847670627014306E-2</v>
      </c>
      <c r="J96" s="896">
        <f t="shared" si="32"/>
        <v>1.8331334564253857E-2</v>
      </c>
      <c r="K96" s="896">
        <f t="shared" si="32"/>
        <v>0</v>
      </c>
      <c r="L96" s="896">
        <f t="shared" si="32"/>
        <v>6.4102250076355253E-3</v>
      </c>
      <c r="M96" s="896">
        <f t="shared" si="32"/>
        <v>0.16870131664336135</v>
      </c>
      <c r="N96" s="896">
        <f t="shared" si="32"/>
        <v>1.1859544970057232</v>
      </c>
      <c r="O96" s="896">
        <f t="shared" si="32"/>
        <v>0</v>
      </c>
      <c r="P96" s="896">
        <f t="shared" si="32"/>
        <v>1.585391162923162E-2</v>
      </c>
      <c r="Q96" s="896">
        <f t="shared" si="32"/>
        <v>6.2902365970455856E-2</v>
      </c>
      <c r="R96" s="896">
        <f t="shared" si="32"/>
        <v>-1.545645433256042E-2</v>
      </c>
      <c r="S96" s="896">
        <f t="shared" si="32"/>
        <v>2.6396165603925568E-2</v>
      </c>
      <c r="T96" s="879"/>
      <c r="U96" s="879"/>
      <c r="V96" s="879"/>
      <c r="W96" s="879"/>
      <c r="X96" s="879"/>
      <c r="Y96" s="879"/>
      <c r="Z96" s="879"/>
      <c r="AA96" s="879"/>
      <c r="AB96" s="879"/>
      <c r="AC96" s="879"/>
      <c r="AD96" s="879"/>
      <c r="AE96" s="879"/>
      <c r="AF96" s="879"/>
      <c r="AG96" s="879"/>
      <c r="AH96" s="879"/>
      <c r="AI96" s="879"/>
      <c r="AJ96" s="879"/>
      <c r="AK96" s="879"/>
      <c r="AL96" s="879"/>
      <c r="AM96" s="879"/>
      <c r="AN96" s="879"/>
      <c r="AO96" s="879"/>
      <c r="AP96" s="879"/>
      <c r="AQ96" s="879"/>
      <c r="AR96" s="879"/>
      <c r="AS96" s="879"/>
      <c r="AT96" s="879"/>
      <c r="AU96" s="879"/>
      <c r="AV96" s="879"/>
      <c r="AW96" s="879"/>
      <c r="AX96" s="879"/>
      <c r="AY96" s="879"/>
      <c r="AZ96" s="879"/>
      <c r="BA96" s="879"/>
      <c r="BB96" s="879"/>
      <c r="BC96" s="879"/>
      <c r="BD96" s="879"/>
      <c r="BE96" s="879"/>
      <c r="BF96" s="879"/>
      <c r="BG96" s="879"/>
      <c r="BH96" s="879"/>
      <c r="BI96" s="879"/>
      <c r="BJ96" s="879"/>
      <c r="BK96" s="879"/>
      <c r="BL96" s="879"/>
      <c r="BM96" s="879"/>
      <c r="BN96" s="879"/>
      <c r="BO96" s="879"/>
      <c r="BP96" s="879"/>
      <c r="BQ96" s="879"/>
      <c r="BR96" s="879"/>
      <c r="BS96" s="879"/>
      <c r="BT96" s="879"/>
      <c r="BU96" s="879"/>
    </row>
    <row r="97" spans="1:73" x14ac:dyDescent="0.25">
      <c r="A97" s="879"/>
      <c r="B97" s="883" t="str">
        <f t="shared" si="31"/>
        <v>Total Fixed Operating Cost</v>
      </c>
      <c r="C97" s="901">
        <f ca="1">+ROUND(I9,0)</f>
        <v>82410</v>
      </c>
      <c r="D97" s="883" t="str">
        <f t="shared" ca="1" si="27"/>
        <v>Total Fixed Operating Cost = $0,082K</v>
      </c>
      <c r="E97" s="896">
        <f t="shared" ref="E97:S97" si="33">+K65</f>
        <v>1.6216291933861418</v>
      </c>
      <c r="F97" s="896">
        <f t="shared" si="33"/>
        <v>0</v>
      </c>
      <c r="G97" s="896">
        <f t="shared" si="33"/>
        <v>6.4102250076355253E-3</v>
      </c>
      <c r="H97" s="896">
        <f t="shared" si="33"/>
        <v>0.11951113617208094</v>
      </c>
      <c r="I97" s="896">
        <f t="shared" si="33"/>
        <v>3.0847670627014306E-2</v>
      </c>
      <c r="J97" s="896">
        <f t="shared" si="33"/>
        <v>1.8444346157957706E-2</v>
      </c>
      <c r="K97" s="896">
        <f t="shared" si="33"/>
        <v>0</v>
      </c>
      <c r="L97" s="896">
        <f t="shared" si="33"/>
        <v>6.4102250076355253E-3</v>
      </c>
      <c r="M97" s="896">
        <f t="shared" si="33"/>
        <v>0.17713638247552935</v>
      </c>
      <c r="N97" s="896">
        <f t="shared" si="33"/>
        <v>1.1859544970057232</v>
      </c>
      <c r="O97" s="896">
        <f t="shared" si="33"/>
        <v>0</v>
      </c>
      <c r="P97" s="896">
        <f t="shared" si="33"/>
        <v>1.585391162923162E-2</v>
      </c>
      <c r="Q97" s="896">
        <f t="shared" si="33"/>
        <v>6.2902365970455856E-2</v>
      </c>
      <c r="R97" s="896">
        <f t="shared" si="33"/>
        <v>-1.5417282255776968E-2</v>
      </c>
      <c r="S97" s="896">
        <f t="shared" si="33"/>
        <v>2.6396165603925568E-2</v>
      </c>
      <c r="T97" s="879"/>
      <c r="U97" s="879"/>
      <c r="V97" s="879"/>
      <c r="W97" s="879"/>
      <c r="X97" s="879"/>
      <c r="Y97" s="879"/>
      <c r="Z97" s="879"/>
      <c r="AA97" s="879"/>
      <c r="AB97" s="879"/>
      <c r="AC97" s="879"/>
      <c r="AD97" s="879"/>
      <c r="AE97" s="879"/>
      <c r="AF97" s="879"/>
      <c r="AG97" s="879"/>
      <c r="AH97" s="879"/>
      <c r="AI97" s="879"/>
      <c r="AJ97" s="879"/>
      <c r="AK97" s="879"/>
      <c r="AL97" s="879"/>
      <c r="AM97" s="879"/>
      <c r="AN97" s="879"/>
      <c r="AO97" s="879"/>
      <c r="AP97" s="879"/>
      <c r="AQ97" s="879"/>
      <c r="AR97" s="879"/>
      <c r="AS97" s="879"/>
      <c r="AT97" s="879"/>
      <c r="AU97" s="879"/>
      <c r="AV97" s="879"/>
      <c r="AW97" s="879"/>
      <c r="AX97" s="879"/>
      <c r="AY97" s="879"/>
      <c r="AZ97" s="879"/>
      <c r="BA97" s="879"/>
      <c r="BB97" s="879"/>
      <c r="BC97" s="879"/>
      <c r="BD97" s="879"/>
      <c r="BE97" s="879"/>
      <c r="BF97" s="879"/>
      <c r="BG97" s="879"/>
      <c r="BH97" s="879"/>
      <c r="BI97" s="879"/>
      <c r="BJ97" s="879"/>
      <c r="BK97" s="879"/>
      <c r="BL97" s="879"/>
      <c r="BM97" s="879"/>
      <c r="BN97" s="879"/>
      <c r="BO97" s="879"/>
      <c r="BP97" s="879"/>
      <c r="BQ97" s="879"/>
      <c r="BR97" s="879"/>
      <c r="BS97" s="879"/>
      <c r="BT97" s="879"/>
      <c r="BU97" s="879"/>
    </row>
    <row r="98" spans="1:73" x14ac:dyDescent="0.25">
      <c r="A98" s="879"/>
      <c r="B98" s="879"/>
      <c r="C98" s="879"/>
      <c r="D98" s="879"/>
      <c r="E98" s="879"/>
      <c r="F98" s="879"/>
      <c r="G98" s="879"/>
      <c r="H98" s="879"/>
      <c r="I98" s="879"/>
      <c r="J98" s="879"/>
      <c r="K98" s="879"/>
      <c r="L98" s="879"/>
      <c r="M98" s="879"/>
      <c r="N98" s="879"/>
      <c r="O98" s="879"/>
      <c r="P98" s="879"/>
      <c r="Q98" s="879"/>
      <c r="R98" s="879"/>
      <c r="S98" s="879"/>
      <c r="T98" s="879"/>
      <c r="U98" s="879"/>
      <c r="V98" s="879"/>
      <c r="W98" s="879"/>
      <c r="X98" s="879"/>
      <c r="Y98" s="879"/>
      <c r="Z98" s="879"/>
      <c r="AA98" s="879"/>
      <c r="AB98" s="879"/>
      <c r="AC98" s="879"/>
      <c r="AD98" s="879"/>
      <c r="AE98" s="879"/>
      <c r="AF98" s="879"/>
      <c r="AG98" s="879"/>
      <c r="AH98" s="879"/>
      <c r="AI98" s="879"/>
      <c r="AJ98" s="879"/>
      <c r="AK98" s="879"/>
      <c r="AL98" s="879"/>
      <c r="AM98" s="879"/>
      <c r="AN98" s="879"/>
      <c r="AO98" s="879"/>
      <c r="AP98" s="879"/>
      <c r="AQ98" s="879"/>
      <c r="AR98" s="879"/>
      <c r="AS98" s="879"/>
      <c r="AT98" s="879"/>
      <c r="AU98" s="879"/>
      <c r="AV98" s="879"/>
      <c r="AW98" s="879"/>
      <c r="AX98" s="879"/>
      <c r="AY98" s="879"/>
      <c r="AZ98" s="879"/>
      <c r="BA98" s="879"/>
      <c r="BB98" s="879"/>
      <c r="BC98" s="879"/>
      <c r="BD98" s="879"/>
      <c r="BE98" s="879"/>
      <c r="BF98" s="879"/>
      <c r="BG98" s="879"/>
      <c r="BH98" s="879"/>
      <c r="BI98" s="879"/>
      <c r="BJ98" s="879"/>
      <c r="BK98" s="879"/>
      <c r="BL98" s="879"/>
      <c r="BM98" s="879"/>
      <c r="BN98" s="879"/>
      <c r="BO98" s="879"/>
      <c r="BP98" s="879"/>
      <c r="BQ98" s="879"/>
      <c r="BR98" s="879"/>
      <c r="BS98" s="879"/>
      <c r="BT98" s="879"/>
      <c r="BU98" s="879"/>
    </row>
    <row r="99" spans="1:73" x14ac:dyDescent="0.25">
      <c r="A99" s="879"/>
      <c r="B99" s="879"/>
      <c r="C99" s="879"/>
      <c r="D99" s="879"/>
      <c r="E99" s="879"/>
      <c r="F99" s="879"/>
      <c r="G99" s="879"/>
      <c r="H99" s="879"/>
      <c r="I99" s="879"/>
      <c r="J99" s="879"/>
      <c r="K99" s="879"/>
      <c r="L99" s="879"/>
      <c r="M99" s="879"/>
      <c r="N99" s="879"/>
      <c r="O99" s="879"/>
      <c r="P99" s="879"/>
      <c r="Q99" s="879"/>
      <c r="R99" s="879"/>
      <c r="S99" s="879"/>
      <c r="T99" s="879"/>
      <c r="U99" s="879"/>
      <c r="V99" s="879"/>
      <c r="W99" s="879"/>
      <c r="X99" s="879"/>
      <c r="Y99" s="879"/>
      <c r="Z99" s="879"/>
      <c r="AA99" s="879"/>
      <c r="AB99" s="879"/>
      <c r="AC99" s="879"/>
      <c r="AD99" s="879"/>
      <c r="AE99" s="879"/>
      <c r="AF99" s="879"/>
      <c r="AG99" s="879"/>
      <c r="AH99" s="879"/>
      <c r="AI99" s="879"/>
      <c r="AJ99" s="879"/>
      <c r="AK99" s="879"/>
      <c r="AL99" s="879"/>
      <c r="AM99" s="879"/>
      <c r="AN99" s="879"/>
      <c r="AO99" s="879"/>
      <c r="AP99" s="879"/>
      <c r="AQ99" s="879"/>
      <c r="AR99" s="879"/>
      <c r="AS99" s="879"/>
      <c r="AT99" s="879"/>
      <c r="AU99" s="879"/>
      <c r="AV99" s="879"/>
      <c r="AW99" s="879"/>
      <c r="AX99" s="879"/>
      <c r="AY99" s="879"/>
      <c r="AZ99" s="879"/>
      <c r="BA99" s="879"/>
      <c r="BB99" s="879"/>
      <c r="BC99" s="879"/>
      <c r="BD99" s="879"/>
      <c r="BE99" s="879"/>
      <c r="BF99" s="879"/>
      <c r="BG99" s="879"/>
      <c r="BH99" s="879"/>
      <c r="BI99" s="879"/>
      <c r="BJ99" s="879"/>
      <c r="BK99" s="879"/>
      <c r="BL99" s="879"/>
      <c r="BM99" s="879"/>
      <c r="BN99" s="879"/>
      <c r="BO99" s="879"/>
      <c r="BP99" s="879"/>
      <c r="BQ99" s="879"/>
      <c r="BR99" s="879"/>
      <c r="BS99" s="879"/>
      <c r="BT99" s="879"/>
      <c r="BU99" s="879"/>
    </row>
    <row r="100" spans="1:73" ht="39.6" x14ac:dyDescent="0.25">
      <c r="A100" s="879"/>
      <c r="B100" s="881" t="s">
        <v>1129</v>
      </c>
      <c r="C100" s="902" t="s">
        <v>1128</v>
      </c>
      <c r="D100" s="1" t="s">
        <v>1138</v>
      </c>
      <c r="E100" s="881" t="s">
        <v>1134</v>
      </c>
      <c r="F100" s="881" t="s">
        <v>1135</v>
      </c>
      <c r="G100" s="881" t="s">
        <v>1136</v>
      </c>
      <c r="H100" s="881" t="s">
        <v>1130</v>
      </c>
      <c r="I100" s="881" t="s">
        <v>1131</v>
      </c>
      <c r="J100" s="881" t="s">
        <v>1132</v>
      </c>
      <c r="K100" s="879"/>
      <c r="L100" s="881" t="s">
        <v>1137</v>
      </c>
      <c r="M100" s="890" t="s">
        <v>1140</v>
      </c>
      <c r="N100" s="890" t="s">
        <v>1123</v>
      </c>
      <c r="O100" s="879"/>
      <c r="P100" s="879"/>
      <c r="Q100" s="879"/>
      <c r="R100" s="879"/>
      <c r="S100" s="879"/>
      <c r="T100" s="879"/>
      <c r="U100" s="879"/>
      <c r="V100" s="879"/>
      <c r="W100" s="879"/>
      <c r="X100" s="879"/>
      <c r="Y100" s="879"/>
      <c r="Z100" s="879"/>
      <c r="AA100" s="879"/>
      <c r="AB100" s="879"/>
      <c r="AC100" s="879"/>
      <c r="AD100" s="879"/>
      <c r="AE100" s="879"/>
      <c r="AF100" s="879"/>
      <c r="AG100" s="879"/>
      <c r="AH100" s="879"/>
      <c r="AI100" s="879"/>
      <c r="AJ100" s="879"/>
      <c r="AK100" s="879"/>
      <c r="AL100" s="879"/>
      <c r="AM100" s="879"/>
      <c r="AN100" s="879"/>
      <c r="AO100" s="879"/>
      <c r="AP100" s="879"/>
      <c r="AQ100" s="879"/>
      <c r="AR100" s="879"/>
      <c r="AS100" s="879"/>
      <c r="AT100" s="879"/>
      <c r="AU100" s="879"/>
      <c r="AV100" s="879"/>
      <c r="AW100" s="879"/>
      <c r="AX100" s="879"/>
      <c r="AY100" s="879"/>
      <c r="AZ100" s="879"/>
      <c r="BA100" s="879"/>
      <c r="BB100" s="879"/>
      <c r="BC100" s="879"/>
      <c r="BD100" s="879"/>
      <c r="BE100" s="879"/>
      <c r="BF100" s="879"/>
      <c r="BG100" s="879"/>
      <c r="BH100" s="879"/>
      <c r="BI100" s="879"/>
      <c r="BJ100" s="879"/>
      <c r="BK100" s="879"/>
      <c r="BL100" s="879"/>
      <c r="BM100" s="879"/>
      <c r="BN100" s="879"/>
      <c r="BO100" s="879"/>
      <c r="BP100" s="879"/>
      <c r="BQ100" s="879"/>
      <c r="BR100" s="879"/>
      <c r="BS100" s="879"/>
      <c r="BT100" s="879"/>
      <c r="BU100" s="879"/>
    </row>
    <row r="101" spans="1:73" x14ac:dyDescent="0.25">
      <c r="A101" s="879"/>
      <c r="B101" s="879"/>
      <c r="C101" s="903">
        <v>1</v>
      </c>
      <c r="D101" s="883" t="str">
        <f t="shared" ref="D101:D107" ca="1" si="34">OFFSET(L$100,MATCH($C101,$N$101:$N$107,0),0)</f>
        <v>Feedstock Consumption (% of baseline)
(95%, 100%, 105%)</v>
      </c>
      <c r="E101" s="977">
        <f t="shared" ref="E101:E107" ca="1" si="35">OFFSET(E$76,MATCH($C101,$N$101:$N$107,0)*3-2,0)</f>
        <v>1.552676433372211</v>
      </c>
      <c r="F101" s="977">
        <f t="shared" ref="F101:F107" si="36">+$K$51</f>
        <v>1.613041943883486</v>
      </c>
      <c r="G101" s="977">
        <f t="shared" ref="G101:G107" ca="1" si="37">OFFSET(E$76,MATCH($C101,$N$101:$N$107,0)*3,0)</f>
        <v>1.6734074543947626</v>
      </c>
      <c r="H101" s="883">
        <f ca="1">+E101</f>
        <v>1.552676433372211</v>
      </c>
      <c r="I101" s="883">
        <f ca="1">+F101-E101</f>
        <v>6.0365510511275033E-2</v>
      </c>
      <c r="J101" s="883">
        <f ca="1">+G101-F101</f>
        <v>6.0365510511276588E-2</v>
      </c>
      <c r="K101" s="879"/>
      <c r="L101" s="883" t="str">
        <f ca="1">+B3&amp;"
("&amp;TEXT(H3,"0%, ")&amp;TEXT(C3,"0%, ")&amp;TEXT(I3,"0%)")</f>
        <v>Operating Capacity Factor
(90%, 86%, 82%)</v>
      </c>
      <c r="M101" s="893">
        <f>ABS(K52-K53)+0.000000001</f>
        <v>3.9613216364897591E-2</v>
      </c>
      <c r="N101" s="883">
        <f t="shared" ref="N101:N107" si="38">+RANK(M101,$M$101:$M$107)</f>
        <v>2</v>
      </c>
      <c r="O101" s="890"/>
      <c r="P101" s="879"/>
      <c r="Q101" s="879"/>
      <c r="R101" s="879"/>
      <c r="S101" s="879"/>
      <c r="T101" s="879"/>
      <c r="U101" s="879"/>
      <c r="V101" s="879"/>
      <c r="W101" s="879"/>
      <c r="X101" s="879"/>
      <c r="Y101" s="879"/>
      <c r="Z101" s="879"/>
      <c r="AA101" s="879"/>
      <c r="AB101" s="879"/>
      <c r="AC101" s="879"/>
      <c r="AD101" s="879"/>
      <c r="AE101" s="879"/>
      <c r="AF101" s="879"/>
      <c r="AG101" s="879"/>
      <c r="AH101" s="879"/>
      <c r="AI101" s="879"/>
      <c r="AJ101" s="879"/>
      <c r="AK101" s="879"/>
      <c r="AL101" s="879"/>
      <c r="AM101" s="879"/>
      <c r="AN101" s="879"/>
      <c r="AO101" s="879"/>
      <c r="AP101" s="879"/>
      <c r="AQ101" s="879"/>
      <c r="AR101" s="879"/>
      <c r="AS101" s="879"/>
      <c r="AT101" s="879"/>
      <c r="AU101" s="879"/>
      <c r="AV101" s="879"/>
      <c r="AW101" s="879"/>
      <c r="AX101" s="879"/>
      <c r="AY101" s="879"/>
      <c r="AZ101" s="879"/>
      <c r="BA101" s="879"/>
      <c r="BB101" s="879"/>
      <c r="BC101" s="879"/>
      <c r="BD101" s="879"/>
      <c r="BE101" s="879"/>
      <c r="BF101" s="879"/>
      <c r="BG101" s="879"/>
      <c r="BH101" s="879"/>
      <c r="BI101" s="879"/>
      <c r="BJ101" s="879"/>
      <c r="BK101" s="879"/>
      <c r="BL101" s="879"/>
      <c r="BM101" s="879"/>
      <c r="BN101" s="879"/>
      <c r="BO101" s="879"/>
      <c r="BP101" s="879"/>
      <c r="BQ101" s="879"/>
      <c r="BR101" s="879"/>
      <c r="BS101" s="879"/>
      <c r="BT101" s="879"/>
      <c r="BU101" s="879"/>
    </row>
    <row r="102" spans="1:73" x14ac:dyDescent="0.25">
      <c r="A102" s="879"/>
      <c r="B102" s="879"/>
      <c r="C102" s="903">
        <v>2</v>
      </c>
      <c r="D102" s="883" t="str">
        <f t="shared" ca="1" si="34"/>
        <v>Operating Capacity Factor
(90%, 86%, 82%)</v>
      </c>
      <c r="E102" s="977">
        <f t="shared" ca="1" si="35"/>
        <v>1.5942256665851611</v>
      </c>
      <c r="F102" s="977">
        <f t="shared" si="36"/>
        <v>1.613041943883486</v>
      </c>
      <c r="G102" s="977">
        <f t="shared" ca="1" si="37"/>
        <v>1.6338388819500587</v>
      </c>
      <c r="H102" s="883">
        <f t="shared" ref="H102:H107" ca="1" si="39">+E102</f>
        <v>1.5942256665851611</v>
      </c>
      <c r="I102" s="883">
        <f t="shared" ref="I102:I107" ca="1" si="40">+F102-E102</f>
        <v>1.8816277298324913E-2</v>
      </c>
      <c r="J102" s="883">
        <f t="shared" ref="J102:J107" ca="1" si="41">+G102-F102</f>
        <v>2.0796938066572679E-2</v>
      </c>
      <c r="K102" s="879"/>
      <c r="L102" s="883" t="str">
        <f ca="1">+B4&amp;"
("&amp;TEXT(H4,"0,000")&amp;", "&amp;TEXT(C4,"0,000")&amp;", "&amp;TEXT(I4,"0,000")&amp;") "</f>
        <v xml:space="preserve">Plant Design Capacity (kg of H2/day)
(1,575, 1,500, 1,425) </v>
      </c>
      <c r="M102" s="893">
        <f>+ABS(K54-K55)+0.000000002</f>
        <v>1.0617770447879428E-2</v>
      </c>
      <c r="N102" s="883">
        <f t="shared" si="38"/>
        <v>5</v>
      </c>
      <c r="O102" s="890"/>
      <c r="P102" s="879"/>
      <c r="Q102" s="879"/>
      <c r="R102" s="879"/>
      <c r="S102" s="879"/>
      <c r="T102" s="879"/>
      <c r="U102" s="879"/>
      <c r="V102" s="879"/>
      <c r="W102" s="879"/>
      <c r="X102" s="879"/>
      <c r="Y102" s="879"/>
      <c r="Z102" s="879"/>
      <c r="AA102" s="879"/>
      <c r="AB102" s="879"/>
      <c r="AC102" s="879"/>
      <c r="AD102" s="879"/>
      <c r="AE102" s="879"/>
      <c r="AF102" s="879"/>
      <c r="AG102" s="879"/>
      <c r="AH102" s="879"/>
      <c r="AI102" s="879"/>
      <c r="AJ102" s="879"/>
      <c r="AK102" s="879"/>
      <c r="AL102" s="879"/>
      <c r="AM102" s="879"/>
      <c r="AN102" s="879"/>
      <c r="AO102" s="879"/>
      <c r="AP102" s="879"/>
      <c r="AQ102" s="879"/>
      <c r="AR102" s="879"/>
      <c r="AS102" s="879"/>
      <c r="AT102" s="879"/>
      <c r="AU102" s="879"/>
      <c r="AV102" s="879"/>
      <c r="AW102" s="879"/>
      <c r="AX102" s="879"/>
      <c r="AY102" s="879"/>
      <c r="AZ102" s="879"/>
      <c r="BA102" s="879"/>
      <c r="BB102" s="879"/>
      <c r="BC102" s="879"/>
      <c r="BD102" s="879"/>
      <c r="BE102" s="879"/>
      <c r="BF102" s="879"/>
      <c r="BG102" s="879"/>
      <c r="BH102" s="879"/>
      <c r="BI102" s="879"/>
      <c r="BJ102" s="879"/>
      <c r="BK102" s="879"/>
      <c r="BL102" s="879"/>
      <c r="BM102" s="879"/>
      <c r="BN102" s="879"/>
      <c r="BO102" s="879"/>
      <c r="BP102" s="879"/>
      <c r="BQ102" s="879"/>
      <c r="BR102" s="879"/>
      <c r="BS102" s="879"/>
      <c r="BT102" s="879"/>
      <c r="BU102" s="879"/>
    </row>
    <row r="103" spans="1:73" x14ac:dyDescent="0.25">
      <c r="A103" s="879"/>
      <c r="B103" s="879"/>
      <c r="C103" s="903">
        <v>3</v>
      </c>
      <c r="D103" s="883" t="str">
        <f t="shared" ca="1" si="34"/>
        <v xml:space="preserve">Total Capital Investment
($1,281K, $1,349K, $1,416K) </v>
      </c>
      <c r="E103" s="977">
        <f t="shared" ca="1" si="35"/>
        <v>1.6008516158864692</v>
      </c>
      <c r="F103" s="977">
        <f t="shared" si="36"/>
        <v>1.613041943883486</v>
      </c>
      <c r="G103" s="977">
        <f t="shared" ca="1" si="37"/>
        <v>1.6252322718805035</v>
      </c>
      <c r="H103" s="883">
        <f t="shared" ca="1" si="39"/>
        <v>1.6008516158864692</v>
      </c>
      <c r="I103" s="883">
        <f t="shared" ca="1" si="40"/>
        <v>1.2190327997016803E-2</v>
      </c>
      <c r="J103" s="883">
        <f t="shared" ca="1" si="41"/>
        <v>1.2190327997017469E-2</v>
      </c>
      <c r="K103" s="879"/>
      <c r="L103" s="883" t="str">
        <f ca="1">+B5&amp;"
("&amp;TEXT(H5,"0%, ")&amp;TEXT(C5,"0%, ")&amp;TEXT(I5,"0%)")</f>
        <v>After-tax Real IRR
(8%, 8%, 8%)</v>
      </c>
      <c r="M103" s="893">
        <f>+ABS(K56-K57)+0.000000003</f>
        <v>4.7688184795355599E-3</v>
      </c>
      <c r="N103" s="883">
        <f t="shared" si="38"/>
        <v>6</v>
      </c>
      <c r="O103" s="890"/>
      <c r="P103" s="879"/>
      <c r="Q103" s="879"/>
      <c r="R103" s="879"/>
      <c r="S103" s="879"/>
      <c r="T103" s="879"/>
      <c r="U103" s="879"/>
      <c r="V103" s="879"/>
      <c r="W103" s="879"/>
      <c r="X103" s="879"/>
      <c r="Y103" s="879"/>
      <c r="Z103" s="879"/>
      <c r="AA103" s="879"/>
      <c r="AB103" s="879"/>
      <c r="AC103" s="879"/>
      <c r="AD103" s="879"/>
      <c r="AE103" s="879"/>
      <c r="AF103" s="879"/>
      <c r="AG103" s="879"/>
      <c r="AH103" s="879"/>
      <c r="AI103" s="879"/>
      <c r="AJ103" s="879"/>
      <c r="AK103" s="879"/>
      <c r="AL103" s="879"/>
      <c r="AM103" s="879"/>
      <c r="AN103" s="879"/>
      <c r="AO103" s="879"/>
      <c r="AP103" s="879"/>
      <c r="AQ103" s="879"/>
      <c r="AR103" s="879"/>
      <c r="AS103" s="879"/>
      <c r="AT103" s="879"/>
      <c r="AU103" s="879"/>
      <c r="AV103" s="879"/>
      <c r="AW103" s="879"/>
      <c r="AX103" s="879"/>
      <c r="AY103" s="879"/>
      <c r="AZ103" s="879"/>
      <c r="BA103" s="879"/>
      <c r="BB103" s="879"/>
      <c r="BC103" s="879"/>
      <c r="BD103" s="879"/>
      <c r="BE103" s="879"/>
      <c r="BF103" s="879"/>
      <c r="BG103" s="879"/>
      <c r="BH103" s="879"/>
      <c r="BI103" s="879"/>
      <c r="BJ103" s="879"/>
      <c r="BK103" s="879"/>
      <c r="BL103" s="879"/>
      <c r="BM103" s="879"/>
      <c r="BN103" s="879"/>
      <c r="BO103" s="879"/>
      <c r="BP103" s="879"/>
      <c r="BQ103" s="879"/>
      <c r="BR103" s="879"/>
      <c r="BS103" s="879"/>
      <c r="BT103" s="879"/>
      <c r="BU103" s="879"/>
    </row>
    <row r="104" spans="1:73" x14ac:dyDescent="0.25">
      <c r="A104" s="879"/>
      <c r="B104" s="879"/>
      <c r="C104" s="903">
        <v>4</v>
      </c>
      <c r="D104" s="883" t="str">
        <f t="shared" ca="1" si="34"/>
        <v xml:space="preserve">Total Fixed Operating Cost
($0,075K, $0,078K, $0,082K) </v>
      </c>
      <c r="E104" s="977">
        <f t="shared" ca="1" si="35"/>
        <v>1.6044546943808315</v>
      </c>
      <c r="F104" s="977">
        <f t="shared" si="36"/>
        <v>1.613041943883486</v>
      </c>
      <c r="G104" s="977">
        <f t="shared" ca="1" si="37"/>
        <v>1.6216291933861418</v>
      </c>
      <c r="H104" s="883">
        <f t="shared" ca="1" si="39"/>
        <v>1.6044546943808315</v>
      </c>
      <c r="I104" s="883">
        <f t="shared" ca="1" si="40"/>
        <v>8.5872495026544371E-3</v>
      </c>
      <c r="J104" s="883">
        <f t="shared" ca="1" si="41"/>
        <v>8.5872495026557694E-3</v>
      </c>
      <c r="K104" s="879"/>
      <c r="L104" s="883" t="str">
        <f>+B6&amp;"
("&amp;TEXT(H6,"0%, ")&amp;TEXT(C6,"0%, ")&amp;TEXT(I6,"0%)")</f>
        <v>Feedstock Consumption (% of baseline)
(95%, 100%, 105%)</v>
      </c>
      <c r="M104" s="893">
        <f>+ABS(K58-K59)+0.000000004</f>
        <v>0.12073102502255162</v>
      </c>
      <c r="N104" s="883">
        <f t="shared" si="38"/>
        <v>1</v>
      </c>
      <c r="O104" s="890"/>
      <c r="P104" s="879"/>
      <c r="Q104" s="879"/>
      <c r="R104" s="879"/>
      <c r="S104" s="879"/>
      <c r="T104" s="879"/>
      <c r="U104" s="879"/>
      <c r="V104" s="879"/>
      <c r="W104" s="879"/>
      <c r="X104" s="879"/>
      <c r="Y104" s="879"/>
      <c r="Z104" s="879"/>
      <c r="AA104" s="879"/>
      <c r="AB104" s="879"/>
      <c r="AC104" s="879"/>
      <c r="AD104" s="879"/>
      <c r="AE104" s="879"/>
      <c r="AF104" s="879"/>
      <c r="AG104" s="879"/>
      <c r="AH104" s="879"/>
      <c r="AI104" s="879"/>
      <c r="AJ104" s="879"/>
      <c r="AK104" s="879"/>
      <c r="AL104" s="879"/>
      <c r="AM104" s="879"/>
      <c r="AN104" s="879"/>
      <c r="AO104" s="879"/>
      <c r="AP104" s="879"/>
      <c r="AQ104" s="879"/>
      <c r="AR104" s="879"/>
      <c r="AS104" s="879"/>
      <c r="AT104" s="879"/>
      <c r="AU104" s="879"/>
      <c r="AV104" s="879"/>
      <c r="AW104" s="879"/>
      <c r="AX104" s="879"/>
      <c r="AY104" s="879"/>
      <c r="AZ104" s="879"/>
      <c r="BA104" s="879"/>
      <c r="BB104" s="879"/>
      <c r="BC104" s="879"/>
      <c r="BD104" s="879"/>
      <c r="BE104" s="879"/>
      <c r="BF104" s="879"/>
      <c r="BG104" s="879"/>
      <c r="BH104" s="879"/>
      <c r="BI104" s="879"/>
      <c r="BJ104" s="879"/>
      <c r="BK104" s="879"/>
      <c r="BL104" s="879"/>
      <c r="BM104" s="879"/>
      <c r="BN104" s="879"/>
      <c r="BO104" s="879"/>
      <c r="BP104" s="879"/>
      <c r="BQ104" s="879"/>
      <c r="BR104" s="879"/>
      <c r="BS104" s="879"/>
      <c r="BT104" s="879"/>
      <c r="BU104" s="879"/>
    </row>
    <row r="105" spans="1:73" x14ac:dyDescent="0.25">
      <c r="A105" s="879"/>
      <c r="B105" s="879"/>
      <c r="C105" s="903">
        <v>5</v>
      </c>
      <c r="D105" s="883" t="str">
        <f t="shared" ca="1" si="34"/>
        <v xml:space="preserve">Plant Design Capacity (kg of H2/day)
(1,575, 1,500, 1,425) </v>
      </c>
      <c r="E105" s="977">
        <f t="shared" ca="1" si="35"/>
        <v>1.6079482607095905</v>
      </c>
      <c r="F105" s="977">
        <f t="shared" si="36"/>
        <v>1.613041943883486</v>
      </c>
      <c r="G105" s="977">
        <f t="shared" ca="1" si="37"/>
        <v>1.6185660291574699</v>
      </c>
      <c r="H105" s="883">
        <f t="shared" ref="H105" ca="1" si="42">+E105</f>
        <v>1.6079482607095905</v>
      </c>
      <c r="I105" s="883">
        <f t="shared" ref="I105" ca="1" si="43">+F105-E105</f>
        <v>5.0936831738954691E-3</v>
      </c>
      <c r="J105" s="883">
        <f t="shared" ref="J105" ca="1" si="44">+G105-F105</f>
        <v>5.5240852739839585E-3</v>
      </c>
      <c r="K105" s="879"/>
      <c r="L105" s="883" t="str">
        <f>+B7&amp;"
("&amp;TEXT(H7,"0%, ")&amp;TEXT(C7,"0%, ")&amp;TEXT(I7,"0%)")</f>
        <v>Utilities Consumption (% of baseline)
(95%, 100%, 105%)</v>
      </c>
      <c r="M105" s="893">
        <f>+ABS(K60-K61)+0.000000004</f>
        <v>4.0000000000000002E-9</v>
      </c>
      <c r="N105" s="883">
        <f t="shared" si="38"/>
        <v>7</v>
      </c>
      <c r="O105" s="890"/>
      <c r="P105" s="879"/>
      <c r="Q105" s="879"/>
      <c r="R105" s="879"/>
      <c r="S105" s="879"/>
      <c r="T105" s="879"/>
      <c r="U105" s="879"/>
      <c r="V105" s="879"/>
      <c r="W105" s="879"/>
      <c r="X105" s="879"/>
      <c r="Y105" s="879"/>
      <c r="Z105" s="879"/>
      <c r="AA105" s="879"/>
      <c r="AB105" s="879"/>
      <c r="AC105" s="879"/>
      <c r="AD105" s="879"/>
      <c r="AE105" s="879"/>
      <c r="AF105" s="879"/>
      <c r="AG105" s="879"/>
      <c r="AH105" s="879"/>
      <c r="AI105" s="879"/>
      <c r="AJ105" s="879"/>
      <c r="AK105" s="879"/>
      <c r="AL105" s="879"/>
      <c r="AM105" s="879"/>
      <c r="AN105" s="879"/>
      <c r="AO105" s="879"/>
      <c r="AP105" s="879"/>
      <c r="AQ105" s="879"/>
      <c r="AR105" s="879"/>
      <c r="AS105" s="879"/>
      <c r="AT105" s="879"/>
      <c r="AU105" s="879"/>
      <c r="AV105" s="879"/>
      <c r="AW105" s="879"/>
      <c r="AX105" s="879"/>
      <c r="AY105" s="879"/>
      <c r="AZ105" s="879"/>
      <c r="BA105" s="879"/>
      <c r="BB105" s="879"/>
      <c r="BC105" s="879"/>
      <c r="BD105" s="879"/>
      <c r="BE105" s="879"/>
      <c r="BF105" s="879"/>
      <c r="BG105" s="879"/>
      <c r="BH105" s="879"/>
      <c r="BI105" s="879"/>
      <c r="BJ105" s="879"/>
      <c r="BK105" s="879"/>
      <c r="BL105" s="879"/>
      <c r="BM105" s="879"/>
      <c r="BN105" s="879"/>
      <c r="BO105" s="879"/>
      <c r="BP105" s="879"/>
      <c r="BQ105" s="879"/>
      <c r="BR105" s="879"/>
      <c r="BS105" s="879"/>
      <c r="BT105" s="879"/>
      <c r="BU105" s="879"/>
    </row>
    <row r="106" spans="1:73" x14ac:dyDescent="0.25">
      <c r="A106" s="879"/>
      <c r="B106" s="879"/>
      <c r="C106" s="903">
        <v>6</v>
      </c>
      <c r="D106" s="883" t="str">
        <f t="shared" ca="1" si="34"/>
        <v>After-tax Real IRR
(8%, 8%, 8%)</v>
      </c>
      <c r="E106" s="977">
        <f t="shared" ca="1" si="35"/>
        <v>1.6107217244721268</v>
      </c>
      <c r="F106" s="977">
        <f t="shared" si="36"/>
        <v>1.613041943883486</v>
      </c>
      <c r="G106" s="977">
        <f t="shared" ca="1" si="37"/>
        <v>1.6154905399516624</v>
      </c>
      <c r="H106" s="883">
        <f t="shared" ca="1" si="39"/>
        <v>1.6107217244721268</v>
      </c>
      <c r="I106" s="883">
        <f t="shared" ca="1" si="40"/>
        <v>2.3202194113591812E-3</v>
      </c>
      <c r="J106" s="883">
        <f t="shared" ca="1" si="41"/>
        <v>2.4485960681763785E-3</v>
      </c>
      <c r="K106" s="879"/>
      <c r="L106" s="883" t="str">
        <f ca="1">+B8&amp;"
("&amp;TEXT(H8/1000,"$0,000K")&amp;", "&amp;TEXT(C8/1000,"$0,000K")&amp;", "&amp;TEXT(I8/1000,"$0,000K")&amp;") "</f>
        <v xml:space="preserve">Total Capital Investment
($1,281K, $1,349K, $1,416K) </v>
      </c>
      <c r="M106" s="893">
        <f>+ABS(K62-K63)+0.000000006</f>
        <v>2.4380661994034273E-2</v>
      </c>
      <c r="N106" s="883">
        <f t="shared" si="38"/>
        <v>3</v>
      </c>
      <c r="O106" s="890"/>
      <c r="P106" s="879"/>
      <c r="Q106" s="879"/>
      <c r="R106" s="879"/>
      <c r="S106" s="879"/>
      <c r="T106" s="879"/>
      <c r="U106" s="879"/>
      <c r="V106" s="879"/>
      <c r="W106" s="879"/>
      <c r="X106" s="879"/>
      <c r="Y106" s="879"/>
      <c r="Z106" s="879"/>
      <c r="AA106" s="879"/>
      <c r="AB106" s="879"/>
      <c r="AC106" s="879"/>
      <c r="AD106" s="879"/>
      <c r="AE106" s="879"/>
      <c r="AF106" s="879"/>
      <c r="AG106" s="879"/>
      <c r="AH106" s="879"/>
      <c r="AI106" s="879"/>
      <c r="AJ106" s="879"/>
      <c r="AK106" s="879"/>
      <c r="AL106" s="879"/>
      <c r="AM106" s="879"/>
      <c r="AN106" s="879"/>
      <c r="AO106" s="879"/>
      <c r="AP106" s="879"/>
      <c r="AQ106" s="879"/>
      <c r="AR106" s="879"/>
      <c r="AS106" s="879"/>
      <c r="AT106" s="879"/>
      <c r="AU106" s="879"/>
      <c r="AV106" s="879"/>
      <c r="AW106" s="879"/>
      <c r="AX106" s="879"/>
      <c r="AY106" s="879"/>
      <c r="AZ106" s="879"/>
      <c r="BA106" s="879"/>
      <c r="BB106" s="879"/>
      <c r="BC106" s="879"/>
      <c r="BD106" s="879"/>
      <c r="BE106" s="879"/>
      <c r="BF106" s="879"/>
      <c r="BG106" s="879"/>
      <c r="BH106" s="879"/>
      <c r="BI106" s="879"/>
      <c r="BJ106" s="879"/>
      <c r="BK106" s="879"/>
      <c r="BL106" s="879"/>
      <c r="BM106" s="879"/>
      <c r="BN106" s="879"/>
      <c r="BO106" s="879"/>
      <c r="BP106" s="879"/>
      <c r="BQ106" s="879"/>
      <c r="BR106" s="879"/>
      <c r="BS106" s="879"/>
      <c r="BT106" s="879"/>
      <c r="BU106" s="879"/>
    </row>
    <row r="107" spans="1:73" x14ac:dyDescent="0.25">
      <c r="A107" s="879"/>
      <c r="B107" s="879"/>
      <c r="C107" s="903">
        <v>7</v>
      </c>
      <c r="D107" s="883" t="str">
        <f t="shared" ca="1" si="34"/>
        <v>Utilities Consumption (% of baseline)
(95%, 100%, 105%)</v>
      </c>
      <c r="E107" s="977">
        <f t="shared" ca="1" si="35"/>
        <v>1.613041943883486</v>
      </c>
      <c r="F107" s="977">
        <f t="shared" si="36"/>
        <v>1.613041943883486</v>
      </c>
      <c r="G107" s="977">
        <f t="shared" ca="1" si="37"/>
        <v>1.613041943883486</v>
      </c>
      <c r="H107" s="883">
        <f t="shared" ca="1" si="39"/>
        <v>1.613041943883486</v>
      </c>
      <c r="I107" s="883">
        <f t="shared" ca="1" si="40"/>
        <v>0</v>
      </c>
      <c r="J107" s="883">
        <f t="shared" ca="1" si="41"/>
        <v>0</v>
      </c>
      <c r="K107" s="879"/>
      <c r="L107" s="883" t="str">
        <f ca="1">+B9&amp;"
("&amp;TEXT(H9/1000,"$0,000K")&amp;", "&amp;TEXT(C9/1000,"$0,000K")&amp;", "&amp;TEXT(I9/1000,"$0,000K")&amp;") "</f>
        <v xml:space="preserve">Total Fixed Operating Cost
($0,075K, $0,078K, $0,082K) </v>
      </c>
      <c r="M107" s="893">
        <f>+ABS(K64-K65)+0.00000007</f>
        <v>1.7174569005310208E-2</v>
      </c>
      <c r="N107" s="883">
        <f t="shared" si="38"/>
        <v>4</v>
      </c>
      <c r="O107" s="890"/>
      <c r="P107" s="879"/>
      <c r="Q107" s="879"/>
      <c r="R107" s="879"/>
      <c r="S107" s="879"/>
      <c r="T107" s="879"/>
      <c r="U107" s="879"/>
      <c r="V107" s="879"/>
      <c r="W107" s="879"/>
      <c r="X107" s="879"/>
      <c r="Y107" s="879"/>
      <c r="Z107" s="879"/>
      <c r="AA107" s="879"/>
      <c r="AB107" s="879"/>
      <c r="AC107" s="879"/>
      <c r="AD107" s="879"/>
      <c r="AE107" s="879"/>
      <c r="AF107" s="879"/>
      <c r="AG107" s="879"/>
      <c r="AH107" s="879"/>
      <c r="AI107" s="879"/>
      <c r="AJ107" s="879"/>
      <c r="AK107" s="879"/>
      <c r="AL107" s="879"/>
      <c r="AM107" s="879"/>
      <c r="AN107" s="879"/>
      <c r="AO107" s="879"/>
      <c r="AP107" s="879"/>
      <c r="AQ107" s="879"/>
      <c r="AR107" s="879"/>
      <c r="AS107" s="879"/>
      <c r="AT107" s="879"/>
      <c r="AU107" s="879"/>
      <c r="AV107" s="879"/>
      <c r="AW107" s="879"/>
      <c r="AX107" s="879"/>
      <c r="AY107" s="879"/>
      <c r="AZ107" s="879"/>
      <c r="BA107" s="879"/>
      <c r="BB107" s="879"/>
      <c r="BC107" s="879"/>
      <c r="BD107" s="879"/>
      <c r="BE107" s="879"/>
      <c r="BF107" s="879"/>
      <c r="BG107" s="879"/>
      <c r="BH107" s="879"/>
      <c r="BI107" s="879"/>
      <c r="BJ107" s="879"/>
      <c r="BK107" s="879"/>
      <c r="BL107" s="879"/>
      <c r="BM107" s="879"/>
      <c r="BN107" s="879"/>
      <c r="BO107" s="879"/>
      <c r="BP107" s="879"/>
      <c r="BQ107" s="879"/>
      <c r="BR107" s="879"/>
      <c r="BS107" s="879"/>
      <c r="BT107" s="879"/>
      <c r="BU107" s="879"/>
    </row>
    <row r="108" spans="1:73" x14ac:dyDescent="0.25">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c r="X108" s="879"/>
      <c r="Y108" s="879"/>
      <c r="Z108" s="879"/>
      <c r="AA108" s="879"/>
      <c r="AB108" s="879"/>
      <c r="AC108" s="879"/>
      <c r="AD108" s="879"/>
      <c r="AE108" s="879"/>
      <c r="AF108" s="879"/>
      <c r="AG108" s="879"/>
      <c r="AH108" s="879"/>
      <c r="AI108" s="879"/>
      <c r="AJ108" s="879"/>
      <c r="AK108" s="879"/>
      <c r="AL108" s="879"/>
      <c r="AM108" s="879"/>
      <c r="AN108" s="879"/>
      <c r="AO108" s="879"/>
      <c r="AP108" s="879"/>
      <c r="AQ108" s="879"/>
      <c r="AR108" s="879"/>
      <c r="AS108" s="879"/>
      <c r="AT108" s="879"/>
      <c r="AU108" s="879"/>
      <c r="AV108" s="879"/>
      <c r="AW108" s="879"/>
      <c r="AX108" s="879"/>
      <c r="AY108" s="879"/>
      <c r="AZ108" s="879"/>
      <c r="BA108" s="879"/>
      <c r="BB108" s="879"/>
      <c r="BC108" s="879"/>
      <c r="BD108" s="879"/>
      <c r="BE108" s="879"/>
      <c r="BF108" s="879"/>
      <c r="BG108" s="879"/>
      <c r="BH108" s="879"/>
      <c r="BI108" s="879"/>
      <c r="BJ108" s="879"/>
      <c r="BK108" s="879"/>
      <c r="BL108" s="879"/>
      <c r="BM108" s="879"/>
      <c r="BN108" s="879"/>
      <c r="BO108" s="879"/>
      <c r="BP108" s="879"/>
      <c r="BQ108" s="879"/>
      <c r="BR108" s="879"/>
      <c r="BS108" s="879"/>
      <c r="BT108" s="879"/>
      <c r="BU108" s="879"/>
    </row>
    <row r="109" spans="1:73" x14ac:dyDescent="0.25">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c r="X109" s="879"/>
      <c r="Y109" s="879"/>
      <c r="Z109" s="879"/>
      <c r="AA109" s="879"/>
      <c r="AB109" s="879"/>
      <c r="AC109" s="879"/>
      <c r="AD109" s="879"/>
      <c r="AE109" s="879"/>
      <c r="AF109" s="879"/>
      <c r="AG109" s="879"/>
      <c r="AH109" s="879"/>
      <c r="AI109" s="879"/>
      <c r="AJ109" s="879"/>
      <c r="AK109" s="879"/>
      <c r="AL109" s="879"/>
      <c r="AM109" s="879"/>
      <c r="AN109" s="879"/>
      <c r="AO109" s="879"/>
      <c r="AP109" s="879"/>
      <c r="AQ109" s="879"/>
      <c r="AR109" s="879"/>
      <c r="AS109" s="879"/>
      <c r="AT109" s="879"/>
      <c r="AU109" s="879"/>
      <c r="AV109" s="879"/>
      <c r="AW109" s="879"/>
      <c r="AX109" s="879"/>
      <c r="AY109" s="879"/>
      <c r="AZ109" s="879"/>
      <c r="BA109" s="879"/>
      <c r="BB109" s="879"/>
      <c r="BC109" s="879"/>
      <c r="BD109" s="879"/>
      <c r="BE109" s="879"/>
      <c r="BF109" s="879"/>
      <c r="BG109" s="879"/>
      <c r="BH109" s="879"/>
      <c r="BI109" s="879"/>
      <c r="BJ109" s="879"/>
      <c r="BK109" s="879"/>
      <c r="BL109" s="879"/>
      <c r="BM109" s="879"/>
      <c r="BN109" s="879"/>
      <c r="BO109" s="879"/>
      <c r="BP109" s="879"/>
      <c r="BQ109" s="879"/>
      <c r="BR109" s="879"/>
      <c r="BS109" s="879"/>
      <c r="BT109" s="879"/>
      <c r="BU109" s="879"/>
    </row>
    <row r="110" spans="1:73" ht="52.8" x14ac:dyDescent="0.25">
      <c r="A110" s="879"/>
      <c r="B110" s="881" t="s">
        <v>1141</v>
      </c>
      <c r="C110" s="902" t="s">
        <v>1128</v>
      </c>
      <c r="D110" s="890" t="str">
        <f t="shared" ref="D110:G110" si="45">+D76</f>
        <v>Chart titles</v>
      </c>
      <c r="E110" s="890" t="s">
        <v>1161</v>
      </c>
      <c r="F110" s="890" t="s">
        <v>1162</v>
      </c>
      <c r="G110" s="890" t="str">
        <f t="shared" si="45"/>
        <v>Salvage Value</v>
      </c>
      <c r="H110" s="890" t="str">
        <f t="shared" ref="H110:S110" si="46">+H76</f>
        <v>Initial Equity Depreciable Capital</v>
      </c>
      <c r="I110" s="890" t="str">
        <f t="shared" si="46"/>
        <v>Yearly Replacement Costs</v>
      </c>
      <c r="J110" s="890" t="str">
        <f t="shared" si="46"/>
        <v>Cash for Working Capital Reserve</v>
      </c>
      <c r="K110" s="890" t="str">
        <f t="shared" si="46"/>
        <v>Other Non-Depreciable Capital Costs</v>
      </c>
      <c r="L110" s="890" t="str">
        <f t="shared" si="46"/>
        <v>Decommissioning Costs</v>
      </c>
      <c r="M110" s="890" t="str">
        <f t="shared" si="46"/>
        <v>Fixed Operating Cost</v>
      </c>
      <c r="N110" s="890" t="str">
        <f t="shared" si="46"/>
        <v>Feedstock Cost</v>
      </c>
      <c r="O110" s="890" t="str">
        <f t="shared" si="46"/>
        <v>Other Raw Material Cost</v>
      </c>
      <c r="P110" s="890" t="str">
        <f t="shared" si="46"/>
        <v>Other Variable Operating Costs</v>
      </c>
      <c r="Q110" s="890" t="str">
        <f t="shared" si="46"/>
        <v>Debt Interest</v>
      </c>
      <c r="R110" s="890" t="str">
        <f t="shared" si="46"/>
        <v>Taxes</v>
      </c>
      <c r="S110" s="890" t="str">
        <f t="shared" si="46"/>
        <v>Principal Payment</v>
      </c>
      <c r="T110" s="879"/>
      <c r="U110" s="879"/>
      <c r="V110" s="879"/>
      <c r="W110" s="879"/>
      <c r="X110" s="879"/>
      <c r="Y110" s="879"/>
      <c r="Z110" s="879"/>
      <c r="AA110" s="879"/>
      <c r="AB110" s="879"/>
      <c r="AC110" s="879"/>
      <c r="AD110" s="879"/>
      <c r="AE110" s="879"/>
      <c r="AF110" s="879"/>
      <c r="AG110" s="879"/>
      <c r="AH110" s="879"/>
      <c r="AI110" s="879"/>
      <c r="AJ110" s="879"/>
      <c r="AK110" s="879"/>
      <c r="AL110" s="879"/>
      <c r="AM110" s="879"/>
      <c r="AN110" s="879"/>
      <c r="AO110" s="879"/>
      <c r="AP110" s="879"/>
      <c r="AQ110" s="879"/>
      <c r="AR110" s="879"/>
      <c r="AS110" s="879"/>
      <c r="AT110" s="879"/>
      <c r="AU110" s="879"/>
      <c r="AV110" s="879"/>
      <c r="AW110" s="879"/>
      <c r="AX110" s="879"/>
      <c r="AY110" s="879"/>
      <c r="AZ110" s="879"/>
      <c r="BA110" s="879"/>
      <c r="BB110" s="879"/>
      <c r="BC110" s="879"/>
      <c r="BD110" s="879"/>
      <c r="BE110" s="879"/>
      <c r="BF110" s="879"/>
      <c r="BG110" s="879"/>
      <c r="BH110" s="879"/>
      <c r="BI110" s="879"/>
      <c r="BJ110" s="879"/>
      <c r="BK110" s="879"/>
      <c r="BL110" s="879"/>
      <c r="BM110" s="879"/>
      <c r="BN110" s="879"/>
      <c r="BO110" s="879"/>
      <c r="BP110" s="879"/>
      <c r="BQ110" s="879"/>
      <c r="BR110" s="879"/>
      <c r="BS110" s="879"/>
      <c r="BT110" s="879"/>
      <c r="BU110" s="879"/>
    </row>
    <row r="111" spans="1:73" x14ac:dyDescent="0.25">
      <c r="A111" s="879"/>
      <c r="B111" s="879"/>
      <c r="C111" s="903">
        <v>1</v>
      </c>
      <c r="D111" s="882" t="s">
        <v>1160</v>
      </c>
      <c r="E111" s="896">
        <f ca="1">OFFSET(E$76,MATCH($C111,$N$101:$N$107,0)*3-1,0)</f>
        <v>1.613041943883486</v>
      </c>
      <c r="F111" s="896">
        <f ca="1">OFFSET(F$76,MATCH($C111,$N$101:$N$107,0)*3-1,0)</f>
        <v>0</v>
      </c>
      <c r="G111" s="896">
        <f ca="1">OFFSET(G$76,MATCH($C111,$N$101:$N$107,0)*3-1,0)</f>
        <v>6.4102250076355253E-3</v>
      </c>
      <c r="H111" s="883"/>
      <c r="I111" s="883"/>
      <c r="J111" s="883"/>
      <c r="K111" s="883"/>
      <c r="L111" s="883"/>
      <c r="M111" s="883"/>
      <c r="N111" s="883"/>
      <c r="O111" s="883"/>
      <c r="P111" s="883"/>
      <c r="Q111" s="883"/>
      <c r="R111" s="883"/>
      <c r="S111" s="883"/>
      <c r="T111" s="879"/>
      <c r="U111" s="879"/>
      <c r="V111" s="879"/>
      <c r="W111" s="879"/>
      <c r="X111" s="879"/>
      <c r="Y111" s="879"/>
      <c r="Z111" s="879"/>
      <c r="AA111" s="879"/>
      <c r="AB111" s="879"/>
      <c r="AC111" s="879"/>
      <c r="AD111" s="879"/>
      <c r="AE111" s="879"/>
      <c r="AF111" s="879"/>
      <c r="AG111" s="879"/>
      <c r="AH111" s="879"/>
      <c r="AI111" s="879"/>
      <c r="AJ111" s="879"/>
      <c r="AK111" s="879"/>
      <c r="AL111" s="879"/>
      <c r="AM111" s="879"/>
      <c r="AN111" s="879"/>
      <c r="AO111" s="879"/>
      <c r="AP111" s="879"/>
      <c r="AQ111" s="879"/>
      <c r="AR111" s="879"/>
      <c r="AS111" s="879"/>
      <c r="AT111" s="879"/>
      <c r="AU111" s="879"/>
      <c r="AV111" s="879"/>
      <c r="AW111" s="879"/>
      <c r="AX111" s="879"/>
      <c r="AY111" s="879"/>
      <c r="AZ111" s="879"/>
      <c r="BA111" s="879"/>
      <c r="BB111" s="879"/>
      <c r="BC111" s="879"/>
      <c r="BD111" s="879"/>
      <c r="BE111" s="879"/>
      <c r="BF111" s="879"/>
      <c r="BG111" s="879"/>
      <c r="BH111" s="879"/>
      <c r="BI111" s="879"/>
      <c r="BJ111" s="879"/>
      <c r="BK111" s="879"/>
      <c r="BL111" s="879"/>
      <c r="BM111" s="879"/>
      <c r="BN111" s="879"/>
      <c r="BO111" s="879"/>
      <c r="BP111" s="879"/>
      <c r="BQ111" s="879"/>
      <c r="BR111" s="879"/>
      <c r="BS111" s="879"/>
      <c r="BT111" s="879"/>
      <c r="BU111" s="879"/>
    </row>
    <row r="112" spans="1:73" x14ac:dyDescent="0.25">
      <c r="A112" s="879"/>
      <c r="B112" s="881"/>
      <c r="C112" s="980"/>
      <c r="D112" s="981"/>
      <c r="E112" s="982"/>
      <c r="F112" s="982"/>
      <c r="G112" s="982"/>
      <c r="H112" s="896">
        <f t="shared" ref="H112:S112" ca="1" si="47">OFFSET(H$76,MATCH($C111,$N$101:$N$107,0)*3-1,0)</f>
        <v>0.11951113617208094</v>
      </c>
      <c r="I112" s="896">
        <f t="shared" ca="1" si="47"/>
        <v>3.0847670627014306E-2</v>
      </c>
      <c r="J112" s="896">
        <f t="shared" ca="1" si="47"/>
        <v>1.8331334564253857E-2</v>
      </c>
      <c r="K112" s="896">
        <f t="shared" ca="1" si="47"/>
        <v>0</v>
      </c>
      <c r="L112" s="896">
        <f t="shared" ca="1" si="47"/>
        <v>6.4102250076355253E-3</v>
      </c>
      <c r="M112" s="896">
        <f t="shared" ca="1" si="47"/>
        <v>0.16870131664336135</v>
      </c>
      <c r="N112" s="896">
        <f t="shared" ca="1" si="47"/>
        <v>1.1859544970057232</v>
      </c>
      <c r="O112" s="896">
        <f t="shared" ca="1" si="47"/>
        <v>0</v>
      </c>
      <c r="P112" s="896">
        <f t="shared" ca="1" si="47"/>
        <v>1.585391162923162E-2</v>
      </c>
      <c r="Q112" s="896">
        <f t="shared" ca="1" si="47"/>
        <v>6.2902365970455856E-2</v>
      </c>
      <c r="R112" s="896">
        <f t="shared" ca="1" si="47"/>
        <v>-1.545645433256042E-2</v>
      </c>
      <c r="S112" s="896">
        <f t="shared" ca="1" si="47"/>
        <v>2.6396165603925568E-2</v>
      </c>
      <c r="T112" s="879"/>
      <c r="U112" s="879"/>
      <c r="V112" s="879"/>
      <c r="W112" s="879"/>
      <c r="X112" s="879"/>
      <c r="Y112" s="879"/>
      <c r="Z112" s="879"/>
      <c r="AA112" s="879"/>
      <c r="AB112" s="879"/>
      <c r="AC112" s="879"/>
      <c r="AD112" s="879"/>
      <c r="AE112" s="879"/>
      <c r="AF112" s="879"/>
      <c r="AG112" s="879"/>
      <c r="AH112" s="879"/>
      <c r="AI112" s="879"/>
      <c r="AJ112" s="879"/>
      <c r="AK112" s="879"/>
      <c r="AL112" s="879"/>
      <c r="AM112" s="879"/>
      <c r="AN112" s="879"/>
      <c r="AO112" s="879"/>
      <c r="AP112" s="879"/>
      <c r="AQ112" s="879"/>
      <c r="AR112" s="879"/>
      <c r="AS112" s="879"/>
      <c r="AT112" s="879"/>
      <c r="AU112" s="879"/>
      <c r="AV112" s="879"/>
      <c r="AW112" s="879"/>
      <c r="AX112" s="879"/>
      <c r="AY112" s="879"/>
      <c r="AZ112" s="879"/>
      <c r="BA112" s="879"/>
      <c r="BB112" s="879"/>
      <c r="BC112" s="879"/>
      <c r="BD112" s="879"/>
      <c r="BE112" s="879"/>
      <c r="BF112" s="879"/>
      <c r="BG112" s="879"/>
      <c r="BH112" s="879"/>
      <c r="BI112" s="879"/>
      <c r="BJ112" s="879"/>
      <c r="BK112" s="879"/>
      <c r="BL112" s="879"/>
      <c r="BM112" s="879"/>
      <c r="BN112" s="879"/>
      <c r="BO112" s="879"/>
      <c r="BP112" s="879"/>
      <c r="BQ112" s="879"/>
      <c r="BR112" s="879"/>
      <c r="BS112" s="879"/>
      <c r="BT112" s="879"/>
      <c r="BU112" s="879"/>
    </row>
    <row r="113" spans="1:73" x14ac:dyDescent="0.25">
      <c r="A113" s="879"/>
      <c r="B113" s="881"/>
      <c r="C113" s="980"/>
      <c r="D113" s="981"/>
      <c r="E113" s="982"/>
      <c r="F113" s="982"/>
      <c r="G113" s="982"/>
      <c r="H113" s="896"/>
      <c r="I113" s="896"/>
      <c r="J113" s="896"/>
      <c r="K113" s="896"/>
      <c r="L113" s="896"/>
      <c r="M113" s="896"/>
      <c r="N113" s="896"/>
      <c r="O113" s="896"/>
      <c r="P113" s="896"/>
      <c r="Q113" s="896"/>
      <c r="R113" s="896"/>
      <c r="S113" s="896"/>
      <c r="T113" s="879"/>
      <c r="U113" s="879"/>
      <c r="V113" s="879"/>
      <c r="W113" s="879"/>
      <c r="X113" s="879"/>
      <c r="Y113" s="879"/>
      <c r="Z113" s="879"/>
      <c r="AA113" s="879"/>
      <c r="AB113" s="879"/>
      <c r="AC113" s="879"/>
      <c r="AD113" s="879"/>
      <c r="AE113" s="879"/>
      <c r="AF113" s="879"/>
      <c r="AG113" s="879"/>
      <c r="AH113" s="879"/>
      <c r="AI113" s="879"/>
      <c r="AJ113" s="879"/>
      <c r="AK113" s="879"/>
      <c r="AL113" s="879"/>
      <c r="AM113" s="879"/>
      <c r="AN113" s="879"/>
      <c r="AO113" s="879"/>
      <c r="AP113" s="879"/>
      <c r="AQ113" s="879"/>
      <c r="AR113" s="879"/>
      <c r="AS113" s="879"/>
      <c r="AT113" s="879"/>
      <c r="AU113" s="879"/>
      <c r="AV113" s="879"/>
      <c r="AW113" s="879"/>
      <c r="AX113" s="879"/>
      <c r="AY113" s="879"/>
      <c r="AZ113" s="879"/>
      <c r="BA113" s="879"/>
      <c r="BB113" s="879"/>
      <c r="BC113" s="879"/>
      <c r="BD113" s="879"/>
      <c r="BE113" s="879"/>
      <c r="BF113" s="879"/>
      <c r="BG113" s="879"/>
      <c r="BH113" s="879"/>
      <c r="BI113" s="879"/>
      <c r="BJ113" s="879"/>
      <c r="BK113" s="879"/>
      <c r="BL113" s="879"/>
      <c r="BM113" s="879"/>
      <c r="BN113" s="879"/>
      <c r="BO113" s="879"/>
      <c r="BP113" s="879"/>
      <c r="BQ113" s="879"/>
      <c r="BR113" s="879"/>
      <c r="BS113" s="879"/>
      <c r="BT113" s="879"/>
      <c r="BU113" s="879"/>
    </row>
    <row r="114" spans="1:73" x14ac:dyDescent="0.25">
      <c r="A114" s="879"/>
      <c r="B114" s="881"/>
      <c r="C114" s="980"/>
      <c r="D114" s="982"/>
      <c r="E114" s="982"/>
      <c r="F114" s="982"/>
      <c r="G114" s="982"/>
      <c r="H114" s="982"/>
      <c r="I114" s="982"/>
      <c r="J114" s="982"/>
      <c r="K114" s="982"/>
      <c r="L114" s="982"/>
      <c r="M114" s="982"/>
      <c r="N114" s="982"/>
      <c r="O114" s="982"/>
      <c r="P114" s="982"/>
      <c r="Q114" s="982"/>
      <c r="R114" s="982"/>
      <c r="S114" s="982"/>
      <c r="T114" s="879"/>
      <c r="U114" s="879"/>
      <c r="V114" s="879"/>
      <c r="W114" s="879"/>
      <c r="X114" s="879"/>
      <c r="Y114" s="879"/>
      <c r="Z114" s="879"/>
      <c r="AA114" s="879"/>
      <c r="AB114" s="879"/>
      <c r="AC114" s="879"/>
      <c r="AD114" s="879"/>
      <c r="AE114" s="879"/>
      <c r="AF114" s="879"/>
      <c r="AG114" s="879"/>
      <c r="AH114" s="879"/>
      <c r="AI114" s="879"/>
      <c r="AJ114" s="879"/>
      <c r="AK114" s="879"/>
      <c r="AL114" s="879"/>
      <c r="AM114" s="879"/>
      <c r="AN114" s="879"/>
      <c r="AO114" s="879"/>
      <c r="AP114" s="879"/>
      <c r="AQ114" s="879"/>
      <c r="AR114" s="879"/>
      <c r="AS114" s="879"/>
      <c r="AT114" s="879"/>
      <c r="AU114" s="879"/>
      <c r="AV114" s="879"/>
      <c r="AW114" s="879"/>
      <c r="AX114" s="879"/>
      <c r="AY114" s="879"/>
      <c r="AZ114" s="879"/>
      <c r="BA114" s="879"/>
      <c r="BB114" s="879"/>
      <c r="BC114" s="879"/>
      <c r="BD114" s="879"/>
      <c r="BE114" s="879"/>
      <c r="BF114" s="879"/>
      <c r="BG114" s="879"/>
      <c r="BH114" s="879"/>
      <c r="BI114" s="879"/>
      <c r="BJ114" s="879"/>
      <c r="BK114" s="879"/>
      <c r="BL114" s="879"/>
      <c r="BM114" s="879"/>
      <c r="BN114" s="879"/>
      <c r="BO114" s="879"/>
      <c r="BP114" s="879"/>
      <c r="BQ114" s="879"/>
      <c r="BR114" s="879"/>
      <c r="BS114" s="879"/>
      <c r="BT114" s="879"/>
      <c r="BU114" s="879"/>
    </row>
    <row r="115" spans="1:73" x14ac:dyDescent="0.25">
      <c r="A115" s="879"/>
      <c r="B115" s="881"/>
      <c r="C115" s="903">
        <v>1</v>
      </c>
      <c r="D115" s="883" t="str">
        <f t="shared" ref="D115:G115" ca="1" si="48">OFFSET(D$76,MATCH($C115,$N$101:$N$107,0)*3-2,0)</f>
        <v>Feedstock Consumption (% of baseline) = 95%</v>
      </c>
      <c r="E115" s="896">
        <f t="shared" ca="1" si="48"/>
        <v>1.552676433372211</v>
      </c>
      <c r="F115" s="896">
        <f t="shared" ca="1" si="48"/>
        <v>0</v>
      </c>
      <c r="G115" s="896">
        <f t="shared" ca="1" si="48"/>
        <v>6.4102250076355253E-3</v>
      </c>
      <c r="H115" s="982"/>
      <c r="I115" s="982"/>
      <c r="J115" s="982"/>
      <c r="K115" s="982"/>
      <c r="L115" s="982"/>
      <c r="M115" s="982"/>
      <c r="N115" s="982"/>
      <c r="O115" s="982"/>
      <c r="P115" s="982"/>
      <c r="Q115" s="982"/>
      <c r="R115" s="982"/>
      <c r="S115" s="982"/>
      <c r="T115" s="879"/>
      <c r="U115" s="879"/>
      <c r="V115" s="879"/>
      <c r="W115" s="879"/>
      <c r="X115" s="879"/>
      <c r="Y115" s="879"/>
      <c r="Z115" s="879"/>
      <c r="AA115" s="879"/>
      <c r="AB115" s="879"/>
      <c r="AC115" s="879"/>
      <c r="AD115" s="879"/>
      <c r="AE115" s="879"/>
      <c r="AF115" s="879"/>
      <c r="AG115" s="879"/>
      <c r="AH115" s="879"/>
      <c r="AI115" s="879"/>
      <c r="AJ115" s="879"/>
      <c r="AK115" s="879"/>
      <c r="AL115" s="879"/>
      <c r="AM115" s="879"/>
      <c r="AN115" s="879"/>
      <c r="AO115" s="879"/>
      <c r="AP115" s="879"/>
      <c r="AQ115" s="879"/>
      <c r="AR115" s="879"/>
      <c r="AS115" s="879"/>
      <c r="AT115" s="879"/>
      <c r="AU115" s="879"/>
      <c r="AV115" s="879"/>
      <c r="AW115" s="879"/>
      <c r="AX115" s="879"/>
      <c r="AY115" s="879"/>
      <c r="AZ115" s="879"/>
      <c r="BA115" s="879"/>
      <c r="BB115" s="879"/>
      <c r="BC115" s="879"/>
      <c r="BD115" s="879"/>
      <c r="BE115" s="879"/>
      <c r="BF115" s="879"/>
      <c r="BG115" s="879"/>
      <c r="BH115" s="879"/>
      <c r="BI115" s="879"/>
      <c r="BJ115" s="879"/>
      <c r="BK115" s="879"/>
      <c r="BL115" s="879"/>
      <c r="BM115" s="879"/>
      <c r="BN115" s="879"/>
      <c r="BO115" s="879"/>
      <c r="BP115" s="879"/>
      <c r="BQ115" s="879"/>
      <c r="BR115" s="879"/>
      <c r="BS115" s="879"/>
      <c r="BT115" s="879"/>
      <c r="BU115" s="879"/>
    </row>
    <row r="116" spans="1:73" x14ac:dyDescent="0.25">
      <c r="A116" s="879"/>
      <c r="B116" s="881"/>
      <c r="C116" s="883"/>
      <c r="D116" s="883"/>
      <c r="E116" s="883"/>
      <c r="F116" s="883"/>
      <c r="G116" s="883"/>
      <c r="H116" s="896">
        <f t="shared" ref="H116:S116" ca="1" si="49">OFFSET(H$76,MATCH($C115,$N$101:$N$107,0)*3-2,0)</f>
        <v>0.11951113617208094</v>
      </c>
      <c r="I116" s="896">
        <f t="shared" ca="1" si="49"/>
        <v>3.0847670627014306E-2</v>
      </c>
      <c r="J116" s="896">
        <f t="shared" ca="1" si="49"/>
        <v>1.7538396932402882E-2</v>
      </c>
      <c r="K116" s="896">
        <f t="shared" ca="1" si="49"/>
        <v>0</v>
      </c>
      <c r="L116" s="896">
        <f t="shared" ca="1" si="49"/>
        <v>6.4102250076355253E-3</v>
      </c>
      <c r="M116" s="896">
        <f t="shared" ca="1" si="49"/>
        <v>0.16870131664336135</v>
      </c>
      <c r="N116" s="896">
        <f t="shared" ca="1" si="49"/>
        <v>1.1266567721554372</v>
      </c>
      <c r="O116" s="896">
        <f t="shared" ca="1" si="49"/>
        <v>0</v>
      </c>
      <c r="P116" s="896">
        <f t="shared" ca="1" si="49"/>
        <v>1.585391162923162E-2</v>
      </c>
      <c r="Q116" s="896">
        <f t="shared" ca="1" si="49"/>
        <v>6.2902365970455856E-2</v>
      </c>
      <c r="R116" s="896">
        <f t="shared" ca="1" si="49"/>
        <v>-1.5731302361699066E-2</v>
      </c>
      <c r="S116" s="896">
        <f t="shared" ca="1" si="49"/>
        <v>2.6396165603925568E-2</v>
      </c>
      <c r="T116" s="879"/>
      <c r="U116" s="879"/>
      <c r="V116" s="879"/>
      <c r="W116" s="879"/>
      <c r="X116" s="879"/>
      <c r="Y116" s="879"/>
      <c r="Z116" s="879"/>
      <c r="AA116" s="879"/>
      <c r="AB116" s="879"/>
      <c r="AC116" s="879"/>
      <c r="AD116" s="879"/>
      <c r="AE116" s="879"/>
      <c r="AF116" s="879"/>
      <c r="AG116" s="879"/>
      <c r="AH116" s="879"/>
      <c r="AI116" s="879"/>
      <c r="AJ116" s="879"/>
      <c r="AK116" s="879"/>
      <c r="AL116" s="879"/>
      <c r="AM116" s="879"/>
      <c r="AN116" s="879"/>
      <c r="AO116" s="879"/>
      <c r="AP116" s="879"/>
      <c r="AQ116" s="879"/>
      <c r="AR116" s="879"/>
      <c r="AS116" s="879"/>
      <c r="AT116" s="879"/>
      <c r="AU116" s="879"/>
      <c r="AV116" s="879"/>
      <c r="AW116" s="879"/>
      <c r="AX116" s="879"/>
      <c r="AY116" s="879"/>
      <c r="AZ116" s="879"/>
      <c r="BA116" s="879"/>
      <c r="BB116" s="879"/>
      <c r="BC116" s="879"/>
      <c r="BD116" s="879"/>
      <c r="BE116" s="879"/>
      <c r="BF116" s="879"/>
      <c r="BG116" s="879"/>
      <c r="BH116" s="879"/>
      <c r="BI116" s="879"/>
      <c r="BJ116" s="879"/>
      <c r="BK116" s="879"/>
      <c r="BL116" s="879"/>
      <c r="BM116" s="879"/>
      <c r="BN116" s="879"/>
      <c r="BO116" s="879"/>
      <c r="BP116" s="879"/>
      <c r="BQ116" s="879"/>
      <c r="BR116" s="879"/>
      <c r="BS116" s="879"/>
      <c r="BT116" s="879"/>
      <c r="BU116" s="879"/>
    </row>
    <row r="117" spans="1:73" x14ac:dyDescent="0.25">
      <c r="A117" s="879"/>
      <c r="B117" s="881"/>
      <c r="C117" s="903">
        <v>1</v>
      </c>
      <c r="D117" s="883" t="str">
        <f t="shared" ref="D117:G117" ca="1" si="50">OFFSET(D$76,MATCH($C117,$N$101:$N$107,0)*3,0)</f>
        <v>Feedstock Consumption (% of baseline) = 105%</v>
      </c>
      <c r="E117" s="896">
        <f t="shared" ca="1" si="50"/>
        <v>1.6734074543947626</v>
      </c>
      <c r="F117" s="896">
        <f t="shared" ca="1" si="50"/>
        <v>0</v>
      </c>
      <c r="G117" s="896">
        <f t="shared" ca="1" si="50"/>
        <v>6.4102250076355253E-3</v>
      </c>
      <c r="H117" s="883"/>
      <c r="I117" s="883"/>
      <c r="J117" s="883"/>
      <c r="K117" s="883"/>
      <c r="L117" s="883"/>
      <c r="M117" s="883"/>
      <c r="N117" s="883"/>
      <c r="O117" s="883"/>
      <c r="P117" s="883"/>
      <c r="Q117" s="883"/>
      <c r="R117" s="883"/>
      <c r="S117" s="883"/>
      <c r="T117" s="879"/>
      <c r="U117" s="879"/>
      <c r="V117" s="879"/>
      <c r="W117" s="879"/>
      <c r="X117" s="879"/>
      <c r="Y117" s="879"/>
      <c r="Z117" s="879"/>
      <c r="AA117" s="879"/>
      <c r="AB117" s="879"/>
      <c r="AC117" s="879"/>
      <c r="AD117" s="879"/>
      <c r="AE117" s="879"/>
      <c r="AF117" s="879"/>
      <c r="AG117" s="879"/>
      <c r="AH117" s="879"/>
      <c r="AI117" s="879"/>
      <c r="AJ117" s="879"/>
      <c r="AK117" s="879"/>
      <c r="AL117" s="879"/>
      <c r="AM117" s="879"/>
      <c r="AN117" s="879"/>
      <c r="AO117" s="879"/>
      <c r="AP117" s="879"/>
      <c r="AQ117" s="879"/>
      <c r="AR117" s="879"/>
      <c r="AS117" s="879"/>
      <c r="AT117" s="879"/>
      <c r="AU117" s="879"/>
      <c r="AV117" s="879"/>
      <c r="AW117" s="879"/>
      <c r="AX117" s="879"/>
      <c r="AY117" s="879"/>
      <c r="AZ117" s="879"/>
      <c r="BA117" s="879"/>
      <c r="BB117" s="879"/>
      <c r="BC117" s="879"/>
      <c r="BD117" s="879"/>
      <c r="BE117" s="879"/>
      <c r="BF117" s="879"/>
      <c r="BG117" s="879"/>
      <c r="BH117" s="879"/>
      <c r="BI117" s="879"/>
      <c r="BJ117" s="879"/>
      <c r="BK117" s="879"/>
      <c r="BL117" s="879"/>
      <c r="BM117" s="879"/>
      <c r="BN117" s="879"/>
      <c r="BO117" s="879"/>
      <c r="BP117" s="879"/>
      <c r="BQ117" s="879"/>
      <c r="BR117" s="879"/>
      <c r="BS117" s="879"/>
      <c r="BT117" s="879"/>
      <c r="BU117" s="879"/>
    </row>
    <row r="118" spans="1:73" x14ac:dyDescent="0.25">
      <c r="A118" s="879"/>
      <c r="B118" s="881"/>
      <c r="C118" s="903"/>
      <c r="D118" s="883"/>
      <c r="E118" s="896"/>
      <c r="F118" s="896"/>
      <c r="G118" s="896"/>
      <c r="H118" s="896">
        <f t="shared" ref="H118:S118" ca="1" si="51">OFFSET(H$76,MATCH($C117,$N$101:$N$107,0)*3,0)</f>
        <v>0.11951113617208094</v>
      </c>
      <c r="I118" s="896">
        <f t="shared" ca="1" si="51"/>
        <v>3.0847670627014306E-2</v>
      </c>
      <c r="J118" s="896">
        <f t="shared" ca="1" si="51"/>
        <v>1.9124272196104842E-2</v>
      </c>
      <c r="K118" s="896">
        <f t="shared" ca="1" si="51"/>
        <v>0</v>
      </c>
      <c r="L118" s="896">
        <f t="shared" ca="1" si="51"/>
        <v>6.4102250076355253E-3</v>
      </c>
      <c r="M118" s="896">
        <f t="shared" ca="1" si="51"/>
        <v>0.16870131664336135</v>
      </c>
      <c r="N118" s="896">
        <f t="shared" ca="1" si="51"/>
        <v>1.2452522218560089</v>
      </c>
      <c r="O118" s="896">
        <f t="shared" ca="1" si="51"/>
        <v>0</v>
      </c>
      <c r="P118" s="896">
        <f t="shared" ca="1" si="51"/>
        <v>1.585391162923162E-2</v>
      </c>
      <c r="Q118" s="896">
        <f t="shared" ca="1" si="51"/>
        <v>6.2902365970455856E-2</v>
      </c>
      <c r="R118" s="896">
        <f t="shared" ca="1" si="51"/>
        <v>-1.5181606303421628E-2</v>
      </c>
      <c r="S118" s="896">
        <f t="shared" ca="1" si="51"/>
        <v>2.6396165603925568E-2</v>
      </c>
      <c r="T118" s="879"/>
      <c r="U118" s="879"/>
      <c r="V118" s="879"/>
      <c r="W118" s="879"/>
      <c r="X118" s="879"/>
      <c r="Y118" s="879"/>
      <c r="Z118" s="879"/>
      <c r="AA118" s="879"/>
      <c r="AB118" s="879"/>
      <c r="AC118" s="879"/>
      <c r="AD118" s="879"/>
      <c r="AE118" s="879"/>
      <c r="AF118" s="879"/>
      <c r="AG118" s="879"/>
      <c r="AH118" s="879"/>
      <c r="AI118" s="879"/>
      <c r="AJ118" s="879"/>
      <c r="AK118" s="879"/>
      <c r="AL118" s="879"/>
      <c r="AM118" s="879"/>
      <c r="AN118" s="879"/>
      <c r="AO118" s="879"/>
      <c r="AP118" s="879"/>
      <c r="AQ118" s="879"/>
      <c r="AR118" s="879"/>
      <c r="AS118" s="879"/>
      <c r="AT118" s="879"/>
      <c r="AU118" s="879"/>
      <c r="AV118" s="879"/>
      <c r="AW118" s="879"/>
      <c r="AX118" s="879"/>
      <c r="AY118" s="879"/>
      <c r="AZ118" s="879"/>
      <c r="BA118" s="879"/>
      <c r="BB118" s="879"/>
      <c r="BC118" s="879"/>
      <c r="BD118" s="879"/>
      <c r="BE118" s="879"/>
      <c r="BF118" s="879"/>
      <c r="BG118" s="879"/>
      <c r="BH118" s="879"/>
      <c r="BI118" s="879"/>
      <c r="BJ118" s="879"/>
      <c r="BK118" s="879"/>
      <c r="BL118" s="879"/>
      <c r="BM118" s="879"/>
      <c r="BN118" s="879"/>
      <c r="BO118" s="879"/>
      <c r="BP118" s="879"/>
      <c r="BQ118" s="879"/>
      <c r="BR118" s="879"/>
      <c r="BS118" s="879"/>
      <c r="BT118" s="879"/>
      <c r="BU118" s="879"/>
    </row>
    <row r="119" spans="1:73" x14ac:dyDescent="0.25">
      <c r="A119" s="879"/>
      <c r="B119" s="881"/>
      <c r="C119" s="903"/>
      <c r="D119" s="883"/>
      <c r="E119" s="896"/>
      <c r="F119" s="896"/>
      <c r="G119" s="896"/>
      <c r="H119" s="896"/>
      <c r="I119" s="896"/>
      <c r="J119" s="896"/>
      <c r="K119" s="896"/>
      <c r="L119" s="896"/>
      <c r="M119" s="896"/>
      <c r="N119" s="896"/>
      <c r="O119" s="896"/>
      <c r="P119" s="896"/>
      <c r="Q119" s="896"/>
      <c r="R119" s="896"/>
      <c r="S119" s="896"/>
      <c r="T119" s="879"/>
      <c r="U119" s="879"/>
      <c r="V119" s="879"/>
      <c r="W119" s="879"/>
      <c r="X119" s="879"/>
      <c r="Y119" s="879"/>
      <c r="Z119" s="879"/>
      <c r="AA119" s="879"/>
      <c r="AB119" s="879"/>
      <c r="AC119" s="879"/>
      <c r="AD119" s="879"/>
      <c r="AE119" s="879"/>
      <c r="AF119" s="879"/>
      <c r="AG119" s="879"/>
      <c r="AH119" s="879"/>
      <c r="AI119" s="879"/>
      <c r="AJ119" s="879"/>
      <c r="AK119" s="879"/>
      <c r="AL119" s="879"/>
      <c r="AM119" s="879"/>
      <c r="AN119" s="879"/>
      <c r="AO119" s="879"/>
      <c r="AP119" s="879"/>
      <c r="AQ119" s="879"/>
      <c r="AR119" s="879"/>
      <c r="AS119" s="879"/>
      <c r="AT119" s="879"/>
      <c r="AU119" s="879"/>
      <c r="AV119" s="879"/>
      <c r="AW119" s="879"/>
      <c r="AX119" s="879"/>
      <c r="AY119" s="879"/>
      <c r="AZ119" s="879"/>
      <c r="BA119" s="879"/>
      <c r="BB119" s="879"/>
      <c r="BC119" s="879"/>
      <c r="BD119" s="879"/>
      <c r="BE119" s="879"/>
      <c r="BF119" s="879"/>
      <c r="BG119" s="879"/>
      <c r="BH119" s="879"/>
      <c r="BI119" s="879"/>
      <c r="BJ119" s="879"/>
      <c r="BK119" s="879"/>
      <c r="BL119" s="879"/>
      <c r="BM119" s="879"/>
      <c r="BN119" s="879"/>
      <c r="BO119" s="879"/>
      <c r="BP119" s="879"/>
      <c r="BQ119" s="879"/>
      <c r="BR119" s="879"/>
      <c r="BS119" s="879"/>
      <c r="BT119" s="879"/>
      <c r="BU119" s="879"/>
    </row>
    <row r="120" spans="1:73" x14ac:dyDescent="0.25">
      <c r="A120" s="879"/>
      <c r="B120" s="879"/>
      <c r="C120" s="903">
        <v>2</v>
      </c>
      <c r="D120" s="883" t="str">
        <f t="shared" ref="D120:G120" ca="1" si="52">OFFSET(D$76,MATCH($C120,$N$101:$N$107,0)*3-2,0)</f>
        <v>Operating Capacity Factor = 90.3%</v>
      </c>
      <c r="E120" s="896">
        <f t="shared" ca="1" si="52"/>
        <v>1.5942256665851611</v>
      </c>
      <c r="F120" s="896">
        <f t="shared" ca="1" si="52"/>
        <v>0</v>
      </c>
      <c r="G120" s="896">
        <f t="shared" ca="1" si="52"/>
        <v>6.1049761977481206E-3</v>
      </c>
      <c r="H120" s="896"/>
      <c r="I120" s="896"/>
      <c r="J120" s="896"/>
      <c r="K120" s="896"/>
      <c r="L120" s="896"/>
      <c r="M120" s="896"/>
      <c r="N120" s="896"/>
      <c r="O120" s="896"/>
      <c r="P120" s="896"/>
      <c r="Q120" s="896"/>
      <c r="R120" s="896"/>
      <c r="S120" s="896"/>
      <c r="T120" s="879"/>
      <c r="U120" s="879"/>
      <c r="V120" s="879"/>
      <c r="W120" s="879"/>
      <c r="X120" s="879"/>
      <c r="Y120" s="879"/>
      <c r="Z120" s="879"/>
      <c r="AA120" s="879"/>
      <c r="AB120" s="879"/>
      <c r="AC120" s="879"/>
      <c r="AD120" s="879"/>
      <c r="AE120" s="879"/>
      <c r="AF120" s="879"/>
      <c r="AG120" s="879"/>
      <c r="AH120" s="879"/>
      <c r="AI120" s="879"/>
      <c r="AJ120" s="879"/>
      <c r="AK120" s="879"/>
      <c r="AL120" s="879"/>
      <c r="AM120" s="879"/>
      <c r="AN120" s="879"/>
      <c r="AO120" s="879"/>
      <c r="AP120" s="879"/>
      <c r="AQ120" s="879"/>
      <c r="AR120" s="879"/>
      <c r="AS120" s="879"/>
      <c r="AT120" s="879"/>
      <c r="AU120" s="879"/>
      <c r="AV120" s="879"/>
      <c r="AW120" s="879"/>
      <c r="AX120" s="879"/>
      <c r="AY120" s="879"/>
      <c r="AZ120" s="879"/>
      <c r="BA120" s="879"/>
      <c r="BB120" s="879"/>
      <c r="BC120" s="879"/>
      <c r="BD120" s="879"/>
      <c r="BE120" s="879"/>
      <c r="BF120" s="879"/>
      <c r="BG120" s="879"/>
      <c r="BH120" s="879"/>
      <c r="BI120" s="879"/>
      <c r="BJ120" s="879"/>
      <c r="BK120" s="879"/>
      <c r="BL120" s="879"/>
      <c r="BM120" s="879"/>
      <c r="BN120" s="879"/>
      <c r="BO120" s="879"/>
      <c r="BP120" s="879"/>
      <c r="BQ120" s="879"/>
      <c r="BR120" s="879"/>
      <c r="BS120" s="879"/>
      <c r="BT120" s="879"/>
      <c r="BU120" s="879"/>
    </row>
    <row r="121" spans="1:73" x14ac:dyDescent="0.25">
      <c r="A121" s="879"/>
      <c r="B121" s="879"/>
      <c r="C121" s="903"/>
      <c r="D121" s="883"/>
      <c r="E121" s="896"/>
      <c r="F121" s="896"/>
      <c r="G121" s="896"/>
      <c r="H121" s="896">
        <f t="shared" ref="H121:S121" ca="1" si="53">OFFSET(H$76,MATCH($C120,$N$101:$N$107,0)*3-2,0)</f>
        <v>0.11382012968769614</v>
      </c>
      <c r="I121" s="896">
        <f t="shared" ca="1" si="53"/>
        <v>2.9378733930489821E-2</v>
      </c>
      <c r="J121" s="896">
        <f t="shared" ca="1" si="53"/>
        <v>1.8220227330927201E-2</v>
      </c>
      <c r="K121" s="896">
        <f t="shared" ca="1" si="53"/>
        <v>0</v>
      </c>
      <c r="L121" s="896">
        <f t="shared" ca="1" si="53"/>
        <v>6.1049761977481206E-3</v>
      </c>
      <c r="M121" s="896">
        <f t="shared" ca="1" si="53"/>
        <v>0.16066792061272508</v>
      </c>
      <c r="N121" s="896">
        <f t="shared" ca="1" si="53"/>
        <v>1.1859544970057232</v>
      </c>
      <c r="O121" s="896">
        <f t="shared" ca="1" si="53"/>
        <v>0</v>
      </c>
      <c r="P121" s="896">
        <f t="shared" ca="1" si="53"/>
        <v>1.5594310398978378E-2</v>
      </c>
      <c r="Q121" s="896">
        <f t="shared" ca="1" si="53"/>
        <v>5.9907015209957969E-2</v>
      </c>
      <c r="R121" s="896">
        <f t="shared" ca="1" si="53"/>
        <v>-1.4456372928409292E-2</v>
      </c>
      <c r="S121" s="896">
        <f t="shared" ca="1" si="53"/>
        <v>2.5139205337071976E-2</v>
      </c>
      <c r="T121" s="879"/>
      <c r="U121" s="879"/>
      <c r="V121" s="879"/>
      <c r="W121" s="879"/>
      <c r="X121" s="879"/>
      <c r="Y121" s="879"/>
      <c r="Z121" s="879"/>
      <c r="AA121" s="879"/>
      <c r="AB121" s="879"/>
      <c r="AC121" s="879"/>
      <c r="AD121" s="879"/>
      <c r="AE121" s="879"/>
      <c r="AF121" s="879"/>
      <c r="AG121" s="879"/>
      <c r="AH121" s="879"/>
      <c r="AI121" s="879"/>
      <c r="AJ121" s="879"/>
      <c r="AK121" s="879"/>
      <c r="AL121" s="879"/>
      <c r="AM121" s="879"/>
      <c r="AN121" s="879"/>
      <c r="AO121" s="879"/>
      <c r="AP121" s="879"/>
      <c r="AQ121" s="879"/>
      <c r="AR121" s="879"/>
      <c r="AS121" s="879"/>
      <c r="AT121" s="879"/>
      <c r="AU121" s="879"/>
      <c r="AV121" s="879"/>
      <c r="AW121" s="879"/>
      <c r="AX121" s="879"/>
      <c r="AY121" s="879"/>
      <c r="AZ121" s="879"/>
      <c r="BA121" s="879"/>
      <c r="BB121" s="879"/>
      <c r="BC121" s="879"/>
      <c r="BD121" s="879"/>
      <c r="BE121" s="879"/>
      <c r="BF121" s="879"/>
      <c r="BG121" s="879"/>
      <c r="BH121" s="879"/>
      <c r="BI121" s="879"/>
      <c r="BJ121" s="879"/>
      <c r="BK121" s="879"/>
      <c r="BL121" s="879"/>
      <c r="BM121" s="879"/>
      <c r="BN121" s="879"/>
      <c r="BO121" s="879"/>
      <c r="BP121" s="879"/>
      <c r="BQ121" s="879"/>
      <c r="BR121" s="879"/>
      <c r="BS121" s="879"/>
      <c r="BT121" s="879"/>
      <c r="BU121" s="879"/>
    </row>
    <row r="122" spans="1:73" x14ac:dyDescent="0.25">
      <c r="A122" s="879"/>
      <c r="B122" s="879"/>
      <c r="C122" s="903">
        <v>2</v>
      </c>
      <c r="D122" s="883" t="str">
        <f t="shared" ref="D122:G122" ca="1" si="54">OFFSET(D$76,MATCH($C122,$N$101:$N$107,0)*3,0)</f>
        <v>Operating Capacity Factor = 81.7%</v>
      </c>
      <c r="E122" s="896">
        <f t="shared" ca="1" si="54"/>
        <v>1.6338388819500587</v>
      </c>
      <c r="F122" s="896">
        <f t="shared" ca="1" si="54"/>
        <v>0</v>
      </c>
      <c r="G122" s="896">
        <f t="shared" ca="1" si="54"/>
        <v>6.7476052711952913E-3</v>
      </c>
      <c r="H122" s="896"/>
      <c r="I122" s="896"/>
      <c r="J122" s="896"/>
      <c r="K122" s="896"/>
      <c r="L122" s="896"/>
      <c r="M122" s="896"/>
      <c r="N122" s="896"/>
      <c r="O122" s="896"/>
      <c r="P122" s="896"/>
      <c r="Q122" s="896"/>
      <c r="R122" s="896"/>
      <c r="S122" s="896"/>
      <c r="T122" s="879"/>
      <c r="U122" s="879"/>
      <c r="V122" s="879"/>
      <c r="W122" s="879"/>
      <c r="X122" s="879"/>
      <c r="Y122" s="879"/>
      <c r="Z122" s="879"/>
      <c r="AA122" s="879"/>
      <c r="AB122" s="879"/>
      <c r="AC122" s="879"/>
      <c r="AD122" s="879"/>
      <c r="AE122" s="879"/>
      <c r="AF122" s="879"/>
      <c r="AG122" s="879"/>
      <c r="AH122" s="879"/>
      <c r="AI122" s="879"/>
      <c r="AJ122" s="879"/>
      <c r="AK122" s="879"/>
      <c r="AL122" s="879"/>
      <c r="AM122" s="879"/>
      <c r="AN122" s="879"/>
      <c r="AO122" s="879"/>
      <c r="AP122" s="879"/>
      <c r="AQ122" s="879"/>
      <c r="AR122" s="879"/>
      <c r="AS122" s="879"/>
      <c r="AT122" s="879"/>
      <c r="AU122" s="879"/>
      <c r="AV122" s="879"/>
      <c r="AW122" s="879"/>
      <c r="AX122" s="879"/>
      <c r="AY122" s="879"/>
      <c r="AZ122" s="879"/>
      <c r="BA122" s="879"/>
      <c r="BB122" s="879"/>
      <c r="BC122" s="879"/>
      <c r="BD122" s="879"/>
      <c r="BE122" s="879"/>
      <c r="BF122" s="879"/>
      <c r="BG122" s="879"/>
      <c r="BH122" s="879"/>
      <c r="BI122" s="879"/>
      <c r="BJ122" s="879"/>
      <c r="BK122" s="879"/>
      <c r="BL122" s="879"/>
      <c r="BM122" s="879"/>
      <c r="BN122" s="879"/>
      <c r="BO122" s="879"/>
      <c r="BP122" s="879"/>
      <c r="BQ122" s="879"/>
      <c r="BR122" s="879"/>
      <c r="BS122" s="879"/>
      <c r="BT122" s="879"/>
      <c r="BU122" s="879"/>
    </row>
    <row r="123" spans="1:73" x14ac:dyDescent="0.25">
      <c r="A123" s="879"/>
      <c r="B123" s="879"/>
      <c r="C123" s="903"/>
      <c r="D123" s="883"/>
      <c r="E123" s="896"/>
      <c r="F123" s="896"/>
      <c r="G123" s="896"/>
      <c r="H123" s="896">
        <f t="shared" ref="H123:S123" ca="1" si="55">OFFSET(H$76,MATCH($C122,$N$101:$N$107,0)*3,0)</f>
        <v>0.12580119597061154</v>
      </c>
      <c r="I123" s="896">
        <f t="shared" ca="1" si="55"/>
        <v>3.2471232238962436E-2</v>
      </c>
      <c r="J123" s="896">
        <f t="shared" ca="1" si="55"/>
        <v>1.8454137295825429E-2</v>
      </c>
      <c r="K123" s="896">
        <f t="shared" ca="1" si="55"/>
        <v>0</v>
      </c>
      <c r="L123" s="896">
        <f t="shared" ca="1" si="55"/>
        <v>6.7476052711952913E-3</v>
      </c>
      <c r="M123" s="896">
        <f t="shared" ca="1" si="55"/>
        <v>0.17758033330880146</v>
      </c>
      <c r="N123" s="896">
        <f t="shared" ca="1" si="55"/>
        <v>1.1859544970057236</v>
      </c>
      <c r="O123" s="896">
        <f t="shared" ca="1" si="55"/>
        <v>0</v>
      </c>
      <c r="P123" s="896">
        <f t="shared" ca="1" si="55"/>
        <v>1.6140839304774685E-2</v>
      </c>
      <c r="Q123" s="896">
        <f t="shared" ca="1" si="55"/>
        <v>6.6213016811006192E-2</v>
      </c>
      <c r="R123" s="896">
        <f t="shared" ca="1" si="55"/>
        <v>-1.6561807463463984E-2</v>
      </c>
      <c r="S123" s="896">
        <f t="shared" ca="1" si="55"/>
        <v>2.7785437477816401E-2</v>
      </c>
      <c r="T123" s="879"/>
      <c r="U123" s="879"/>
      <c r="V123" s="879"/>
      <c r="W123" s="879"/>
      <c r="X123" s="879"/>
      <c r="Y123" s="879"/>
      <c r="Z123" s="879"/>
      <c r="AA123" s="879"/>
      <c r="AB123" s="879"/>
      <c r="AC123" s="879"/>
      <c r="AD123" s="879"/>
      <c r="AE123" s="879"/>
      <c r="AF123" s="879"/>
      <c r="AG123" s="879"/>
      <c r="AH123" s="879"/>
      <c r="AI123" s="879"/>
      <c r="AJ123" s="879"/>
      <c r="AK123" s="879"/>
      <c r="AL123" s="879"/>
      <c r="AM123" s="879"/>
      <c r="AN123" s="879"/>
      <c r="AO123" s="879"/>
      <c r="AP123" s="879"/>
      <c r="AQ123" s="879"/>
      <c r="AR123" s="879"/>
      <c r="AS123" s="879"/>
      <c r="AT123" s="879"/>
      <c r="AU123" s="879"/>
      <c r="AV123" s="879"/>
      <c r="AW123" s="879"/>
      <c r="AX123" s="879"/>
      <c r="AY123" s="879"/>
      <c r="AZ123" s="879"/>
      <c r="BA123" s="879"/>
      <c r="BB123" s="879"/>
      <c r="BC123" s="879"/>
      <c r="BD123" s="879"/>
      <c r="BE123" s="879"/>
      <c r="BF123" s="879"/>
      <c r="BG123" s="879"/>
      <c r="BH123" s="879"/>
      <c r="BI123" s="879"/>
      <c r="BJ123" s="879"/>
      <c r="BK123" s="879"/>
      <c r="BL123" s="879"/>
      <c r="BM123" s="879"/>
      <c r="BN123" s="879"/>
      <c r="BO123" s="879"/>
      <c r="BP123" s="879"/>
      <c r="BQ123" s="879"/>
      <c r="BR123" s="879"/>
      <c r="BS123" s="879"/>
      <c r="BT123" s="879"/>
      <c r="BU123" s="879"/>
    </row>
    <row r="124" spans="1:73" x14ac:dyDescent="0.25">
      <c r="A124" s="879"/>
      <c r="B124" s="879"/>
      <c r="C124" s="903"/>
      <c r="D124" s="883"/>
      <c r="E124" s="896"/>
      <c r="F124" s="896"/>
      <c r="G124" s="896"/>
      <c r="H124" s="896"/>
      <c r="I124" s="896"/>
      <c r="J124" s="896"/>
      <c r="K124" s="896"/>
      <c r="L124" s="896"/>
      <c r="M124" s="896"/>
      <c r="N124" s="896"/>
      <c r="O124" s="896"/>
      <c r="P124" s="896"/>
      <c r="Q124" s="896"/>
      <c r="R124" s="896"/>
      <c r="S124" s="896"/>
      <c r="T124" s="879"/>
      <c r="U124" s="879"/>
      <c r="V124" s="879"/>
      <c r="W124" s="879"/>
      <c r="X124" s="879"/>
      <c r="Y124" s="879"/>
      <c r="Z124" s="879"/>
      <c r="AA124" s="879"/>
      <c r="AB124" s="879"/>
      <c r="AC124" s="879"/>
      <c r="AD124" s="879"/>
      <c r="AE124" s="879"/>
      <c r="AF124" s="879"/>
      <c r="AG124" s="879"/>
      <c r="AH124" s="879"/>
      <c r="AI124" s="879"/>
      <c r="AJ124" s="879"/>
      <c r="AK124" s="879"/>
      <c r="AL124" s="879"/>
      <c r="AM124" s="879"/>
      <c r="AN124" s="879"/>
      <c r="AO124" s="879"/>
      <c r="AP124" s="879"/>
      <c r="AQ124" s="879"/>
      <c r="AR124" s="879"/>
      <c r="AS124" s="879"/>
      <c r="AT124" s="879"/>
      <c r="AU124" s="879"/>
      <c r="AV124" s="879"/>
      <c r="AW124" s="879"/>
      <c r="AX124" s="879"/>
      <c r="AY124" s="879"/>
      <c r="AZ124" s="879"/>
      <c r="BA124" s="879"/>
      <c r="BB124" s="879"/>
      <c r="BC124" s="879"/>
      <c r="BD124" s="879"/>
      <c r="BE124" s="879"/>
      <c r="BF124" s="879"/>
      <c r="BG124" s="879"/>
      <c r="BH124" s="879"/>
      <c r="BI124" s="879"/>
      <c r="BJ124" s="879"/>
      <c r="BK124" s="879"/>
      <c r="BL124" s="879"/>
      <c r="BM124" s="879"/>
      <c r="BN124" s="879"/>
      <c r="BO124" s="879"/>
      <c r="BP124" s="879"/>
      <c r="BQ124" s="879"/>
      <c r="BR124" s="879"/>
      <c r="BS124" s="879"/>
      <c r="BT124" s="879"/>
      <c r="BU124" s="879"/>
    </row>
    <row r="125" spans="1:73" x14ac:dyDescent="0.25">
      <c r="A125" s="879"/>
      <c r="B125" s="879"/>
      <c r="C125" s="903">
        <v>3</v>
      </c>
      <c r="D125" s="883" t="str">
        <f t="shared" ref="D125:G125" ca="1" si="56">OFFSET(D$76,MATCH($C125,$N$101:$N$107,0)*3-2,0)</f>
        <v>Total Capital Investment = $1,281K</v>
      </c>
      <c r="E125" s="896">
        <f t="shared" ca="1" si="56"/>
        <v>1.6008516158864692</v>
      </c>
      <c r="F125" s="896">
        <f t="shared" ca="1" si="56"/>
        <v>0</v>
      </c>
      <c r="G125" s="896">
        <f t="shared" ca="1" si="56"/>
        <v>6.0897137572537476E-3</v>
      </c>
      <c r="H125" s="896"/>
      <c r="I125" s="896"/>
      <c r="J125" s="896"/>
      <c r="K125" s="896"/>
      <c r="L125" s="896"/>
      <c r="M125" s="896"/>
      <c r="N125" s="896"/>
      <c r="O125" s="896"/>
      <c r="P125" s="896"/>
      <c r="Q125" s="896"/>
      <c r="R125" s="896"/>
      <c r="S125" s="896"/>
      <c r="T125" s="879"/>
      <c r="U125" s="879"/>
      <c r="V125" s="879"/>
      <c r="W125" s="879"/>
      <c r="X125" s="879"/>
      <c r="Y125" s="879"/>
      <c r="Z125" s="879"/>
      <c r="AA125" s="879"/>
      <c r="AB125" s="879"/>
      <c r="AC125" s="879"/>
      <c r="AD125" s="879"/>
      <c r="AE125" s="879"/>
      <c r="AF125" s="879"/>
      <c r="AG125" s="879"/>
      <c r="AH125" s="879"/>
      <c r="AI125" s="879"/>
      <c r="AJ125" s="879"/>
      <c r="AK125" s="879"/>
      <c r="AL125" s="879"/>
      <c r="AM125" s="879"/>
      <c r="AN125" s="879"/>
      <c r="AO125" s="879"/>
      <c r="AP125" s="879"/>
      <c r="AQ125" s="879"/>
      <c r="AR125" s="879"/>
      <c r="AS125" s="879"/>
      <c r="AT125" s="879"/>
      <c r="AU125" s="879"/>
      <c r="AV125" s="879"/>
      <c r="AW125" s="879"/>
      <c r="AX125" s="879"/>
      <c r="AY125" s="879"/>
      <c r="AZ125" s="879"/>
      <c r="BA125" s="879"/>
      <c r="BB125" s="879"/>
      <c r="BC125" s="879"/>
      <c r="BD125" s="879"/>
      <c r="BE125" s="879"/>
      <c r="BF125" s="879"/>
      <c r="BG125" s="879"/>
      <c r="BH125" s="879"/>
      <c r="BI125" s="879"/>
      <c r="BJ125" s="879"/>
      <c r="BK125" s="879"/>
      <c r="BL125" s="879"/>
      <c r="BM125" s="879"/>
      <c r="BN125" s="879"/>
      <c r="BO125" s="879"/>
      <c r="BP125" s="879"/>
      <c r="BQ125" s="879"/>
      <c r="BR125" s="879"/>
      <c r="BS125" s="879"/>
      <c r="BT125" s="879"/>
      <c r="BU125" s="879"/>
    </row>
    <row r="126" spans="1:73" x14ac:dyDescent="0.25">
      <c r="A126" s="879"/>
      <c r="B126" s="879"/>
      <c r="C126" s="903"/>
      <c r="D126" s="883"/>
      <c r="E126" s="896"/>
      <c r="F126" s="896"/>
      <c r="G126" s="896"/>
      <c r="H126" s="896">
        <f t="shared" ref="H126:S126" ca="1" si="57">OFFSET(H$76,MATCH($C125,$N$101:$N$107,0)*3-2,0)</f>
        <v>0.11353557936347687</v>
      </c>
      <c r="I126" s="896">
        <f t="shared" ca="1" si="57"/>
        <v>3.0847670627014306E-2</v>
      </c>
      <c r="J126" s="896">
        <f t="shared" ca="1" si="57"/>
        <v>1.8292496070326614E-2</v>
      </c>
      <c r="K126" s="896">
        <f t="shared" ca="1" si="57"/>
        <v>0</v>
      </c>
      <c r="L126" s="896">
        <f t="shared" ca="1" si="57"/>
        <v>6.0897137572537476E-3</v>
      </c>
      <c r="M126" s="896">
        <f t="shared" ca="1" si="57"/>
        <v>0.16580245253250647</v>
      </c>
      <c r="N126" s="896">
        <f t="shared" ca="1" si="57"/>
        <v>1.1859544970057232</v>
      </c>
      <c r="O126" s="896">
        <f t="shared" ca="1" si="57"/>
        <v>0</v>
      </c>
      <c r="P126" s="896">
        <f t="shared" ca="1" si="57"/>
        <v>1.585391162923162E-2</v>
      </c>
      <c r="Q126" s="896">
        <f t="shared" ca="1" si="57"/>
        <v>5.9757247671933064E-2</v>
      </c>
      <c r="R126" s="896">
        <f t="shared" ca="1" si="57"/>
        <v>-1.426859633747255E-2</v>
      </c>
      <c r="S126" s="896">
        <f t="shared" ca="1" si="57"/>
        <v>2.507635732372929E-2</v>
      </c>
      <c r="T126" s="879"/>
      <c r="U126" s="879"/>
      <c r="V126" s="879"/>
      <c r="W126" s="879"/>
      <c r="X126" s="879"/>
      <c r="Y126" s="879"/>
      <c r="Z126" s="879"/>
      <c r="AA126" s="879"/>
      <c r="AB126" s="879"/>
      <c r="AC126" s="879"/>
      <c r="AD126" s="879"/>
      <c r="AE126" s="879"/>
      <c r="AF126" s="879"/>
      <c r="AG126" s="879"/>
      <c r="AH126" s="879"/>
      <c r="AI126" s="879"/>
      <c r="AJ126" s="879"/>
      <c r="AK126" s="879"/>
      <c r="AL126" s="879"/>
      <c r="AM126" s="879"/>
      <c r="AN126" s="879"/>
      <c r="AO126" s="879"/>
      <c r="AP126" s="879"/>
      <c r="AQ126" s="879"/>
      <c r="AR126" s="879"/>
      <c r="AS126" s="879"/>
      <c r="AT126" s="879"/>
      <c r="AU126" s="879"/>
      <c r="AV126" s="879"/>
      <c r="AW126" s="879"/>
      <c r="AX126" s="879"/>
      <c r="AY126" s="879"/>
      <c r="AZ126" s="879"/>
      <c r="BA126" s="879"/>
      <c r="BB126" s="879"/>
      <c r="BC126" s="879"/>
      <c r="BD126" s="879"/>
      <c r="BE126" s="879"/>
      <c r="BF126" s="879"/>
      <c r="BG126" s="879"/>
      <c r="BH126" s="879"/>
      <c r="BI126" s="879"/>
      <c r="BJ126" s="879"/>
      <c r="BK126" s="879"/>
      <c r="BL126" s="879"/>
      <c r="BM126" s="879"/>
      <c r="BN126" s="879"/>
      <c r="BO126" s="879"/>
      <c r="BP126" s="879"/>
      <c r="BQ126" s="879"/>
      <c r="BR126" s="879"/>
      <c r="BS126" s="879"/>
      <c r="BT126" s="879"/>
      <c r="BU126" s="879"/>
    </row>
    <row r="127" spans="1:73" x14ac:dyDescent="0.25">
      <c r="A127" s="879"/>
      <c r="B127" s="879"/>
      <c r="C127" s="903">
        <v>3</v>
      </c>
      <c r="D127" s="883" t="str">
        <f t="shared" ref="D127:G127" ca="1" si="58">OFFSET(D$76,MATCH($C127,$N$101:$N$107,0)*3,0)</f>
        <v>Total Capital Investment = $1,416K</v>
      </c>
      <c r="E127" s="896">
        <f t="shared" ca="1" si="58"/>
        <v>1.6252322718805035</v>
      </c>
      <c r="F127" s="896">
        <f t="shared" ca="1" si="58"/>
        <v>0</v>
      </c>
      <c r="G127" s="896">
        <f t="shared" ca="1" si="58"/>
        <v>6.7307362580173004E-3</v>
      </c>
      <c r="H127" s="896"/>
      <c r="I127" s="896"/>
      <c r="J127" s="896"/>
      <c r="K127" s="896"/>
      <c r="L127" s="896"/>
      <c r="M127" s="896"/>
      <c r="N127" s="896"/>
      <c r="O127" s="896"/>
      <c r="P127" s="896"/>
      <c r="Q127" s="896"/>
      <c r="R127" s="896"/>
      <c r="S127" s="896"/>
      <c r="T127" s="879"/>
      <c r="U127" s="879"/>
      <c r="V127" s="879"/>
      <c r="W127" s="879"/>
      <c r="X127" s="879"/>
      <c r="Y127" s="879"/>
      <c r="Z127" s="879"/>
      <c r="AA127" s="879"/>
      <c r="AB127" s="879"/>
      <c r="AC127" s="879"/>
      <c r="AD127" s="879"/>
      <c r="AE127" s="879"/>
      <c r="AF127" s="879"/>
      <c r="AG127" s="879"/>
      <c r="AH127" s="879"/>
      <c r="AI127" s="879"/>
      <c r="AJ127" s="879"/>
      <c r="AK127" s="879"/>
      <c r="AL127" s="879"/>
      <c r="AM127" s="879"/>
      <c r="AN127" s="879"/>
      <c r="AO127" s="879"/>
      <c r="AP127" s="879"/>
      <c r="AQ127" s="879"/>
      <c r="AR127" s="879"/>
      <c r="AS127" s="879"/>
      <c r="AT127" s="879"/>
      <c r="AU127" s="879"/>
      <c r="AV127" s="879"/>
      <c r="AW127" s="879"/>
      <c r="AX127" s="879"/>
      <c r="AY127" s="879"/>
      <c r="AZ127" s="879"/>
      <c r="BA127" s="879"/>
      <c r="BB127" s="879"/>
      <c r="BC127" s="879"/>
      <c r="BD127" s="879"/>
      <c r="BE127" s="879"/>
      <c r="BF127" s="879"/>
      <c r="BG127" s="879"/>
      <c r="BH127" s="879"/>
      <c r="BI127" s="879"/>
      <c r="BJ127" s="879"/>
      <c r="BK127" s="879"/>
      <c r="BL127" s="879"/>
      <c r="BM127" s="879"/>
      <c r="BN127" s="879"/>
      <c r="BO127" s="879"/>
      <c r="BP127" s="879"/>
      <c r="BQ127" s="879"/>
      <c r="BR127" s="879"/>
      <c r="BS127" s="879"/>
      <c r="BT127" s="879"/>
      <c r="BU127" s="879"/>
    </row>
    <row r="128" spans="1:73" x14ac:dyDescent="0.25">
      <c r="A128" s="879"/>
      <c r="B128" s="879"/>
      <c r="C128" s="903"/>
      <c r="D128" s="883"/>
      <c r="E128" s="896"/>
      <c r="F128" s="896"/>
      <c r="G128" s="896"/>
      <c r="H128" s="896">
        <f t="shared" ref="H128:S128" ca="1" si="59">OFFSET(H$76,MATCH($C127,$N$101:$N$107,0)*3,0)</f>
        <v>0.12548669298068496</v>
      </c>
      <c r="I128" s="896">
        <f t="shared" ca="1" si="59"/>
        <v>3.0847670627014306E-2</v>
      </c>
      <c r="J128" s="896">
        <f t="shared" ca="1" si="59"/>
        <v>1.8370173058181109E-2</v>
      </c>
      <c r="K128" s="896">
        <f t="shared" ca="1" si="59"/>
        <v>0</v>
      </c>
      <c r="L128" s="896">
        <f t="shared" ca="1" si="59"/>
        <v>6.7307362580173004E-3</v>
      </c>
      <c r="M128" s="896">
        <f t="shared" ca="1" si="59"/>
        <v>0.17160018075421613</v>
      </c>
      <c r="N128" s="896">
        <f t="shared" ca="1" si="59"/>
        <v>1.1859544970057232</v>
      </c>
      <c r="O128" s="896">
        <f t="shared" ca="1" si="59"/>
        <v>0</v>
      </c>
      <c r="P128" s="896">
        <f t="shared" ca="1" si="59"/>
        <v>1.585391162923162E-2</v>
      </c>
      <c r="Q128" s="896">
        <f t="shared" ca="1" si="59"/>
        <v>6.6047484268978676E-2</v>
      </c>
      <c r="R128" s="896">
        <f t="shared" ca="1" si="59"/>
        <v>-1.6644312327648094E-2</v>
      </c>
      <c r="S128" s="896">
        <f t="shared" ca="1" si="59"/>
        <v>2.771597388412185E-2</v>
      </c>
      <c r="T128" s="879"/>
      <c r="U128" s="879"/>
      <c r="V128" s="879"/>
      <c r="W128" s="879"/>
      <c r="X128" s="879"/>
      <c r="Y128" s="879"/>
      <c r="Z128" s="879"/>
      <c r="AA128" s="879"/>
      <c r="AB128" s="879"/>
      <c r="AC128" s="879"/>
      <c r="AD128" s="879"/>
      <c r="AE128" s="879"/>
      <c r="AF128" s="879"/>
      <c r="AG128" s="879"/>
      <c r="AH128" s="879"/>
      <c r="AI128" s="879"/>
      <c r="AJ128" s="879"/>
      <c r="AK128" s="879"/>
      <c r="AL128" s="879"/>
      <c r="AM128" s="879"/>
      <c r="AN128" s="879"/>
      <c r="AO128" s="879"/>
      <c r="AP128" s="879"/>
      <c r="AQ128" s="879"/>
      <c r="AR128" s="879"/>
      <c r="AS128" s="879"/>
      <c r="AT128" s="879"/>
      <c r="AU128" s="879"/>
      <c r="AV128" s="879"/>
      <c r="AW128" s="879"/>
      <c r="AX128" s="879"/>
      <c r="AY128" s="879"/>
      <c r="AZ128" s="879"/>
      <c r="BA128" s="879"/>
      <c r="BB128" s="879"/>
      <c r="BC128" s="879"/>
      <c r="BD128" s="879"/>
      <c r="BE128" s="879"/>
      <c r="BF128" s="879"/>
      <c r="BG128" s="879"/>
      <c r="BH128" s="879"/>
      <c r="BI128" s="879"/>
      <c r="BJ128" s="879"/>
      <c r="BK128" s="879"/>
      <c r="BL128" s="879"/>
      <c r="BM128" s="879"/>
      <c r="BN128" s="879"/>
      <c r="BO128" s="879"/>
      <c r="BP128" s="879"/>
      <c r="BQ128" s="879"/>
      <c r="BR128" s="879"/>
      <c r="BS128" s="879"/>
      <c r="BT128" s="879"/>
      <c r="BU128" s="879"/>
    </row>
    <row r="129" spans="1:73" x14ac:dyDescent="0.25">
      <c r="A129" s="879"/>
      <c r="B129" s="879"/>
      <c r="C129" s="903"/>
      <c r="D129" s="883"/>
      <c r="E129" s="896"/>
      <c r="F129" s="896"/>
      <c r="G129" s="896"/>
      <c r="H129" s="896"/>
      <c r="I129" s="896"/>
      <c r="J129" s="896"/>
      <c r="K129" s="896"/>
      <c r="L129" s="896"/>
      <c r="M129" s="896"/>
      <c r="N129" s="896"/>
      <c r="O129" s="896"/>
      <c r="P129" s="896"/>
      <c r="Q129" s="896"/>
      <c r="R129" s="896"/>
      <c r="S129" s="896"/>
      <c r="T129" s="879"/>
      <c r="U129" s="879"/>
      <c r="V129" s="879"/>
      <c r="W129" s="879"/>
      <c r="X129" s="879"/>
      <c r="Y129" s="879"/>
      <c r="Z129" s="879"/>
      <c r="AA129" s="879"/>
      <c r="AB129" s="879"/>
      <c r="AC129" s="879"/>
      <c r="AD129" s="879"/>
      <c r="AE129" s="879"/>
      <c r="AF129" s="879"/>
      <c r="AG129" s="879"/>
      <c r="AH129" s="879"/>
      <c r="AI129" s="879"/>
      <c r="AJ129" s="879"/>
      <c r="AK129" s="879"/>
      <c r="AL129" s="879"/>
      <c r="AM129" s="879"/>
      <c r="AN129" s="879"/>
      <c r="AO129" s="879"/>
      <c r="AP129" s="879"/>
      <c r="AQ129" s="879"/>
      <c r="AR129" s="879"/>
      <c r="AS129" s="879"/>
      <c r="AT129" s="879"/>
      <c r="AU129" s="879"/>
      <c r="AV129" s="879"/>
      <c r="AW129" s="879"/>
      <c r="AX129" s="879"/>
      <c r="AY129" s="879"/>
      <c r="AZ129" s="879"/>
      <c r="BA129" s="879"/>
      <c r="BB129" s="879"/>
      <c r="BC129" s="879"/>
      <c r="BD129" s="879"/>
      <c r="BE129" s="879"/>
      <c r="BF129" s="879"/>
      <c r="BG129" s="879"/>
      <c r="BH129" s="879"/>
      <c r="BI129" s="879"/>
      <c r="BJ129" s="879"/>
      <c r="BK129" s="879"/>
      <c r="BL129" s="879"/>
      <c r="BM129" s="879"/>
      <c r="BN129" s="879"/>
      <c r="BO129" s="879"/>
      <c r="BP129" s="879"/>
      <c r="BQ129" s="879"/>
      <c r="BR129" s="879"/>
      <c r="BS129" s="879"/>
      <c r="BT129" s="879"/>
      <c r="BU129" s="879"/>
    </row>
    <row r="130" spans="1:73" x14ac:dyDescent="0.25">
      <c r="A130" s="879"/>
      <c r="B130" s="879"/>
      <c r="C130" s="903">
        <v>4</v>
      </c>
      <c r="D130" s="883" t="str">
        <f t="shared" ref="D130:G130" ca="1" si="60">OFFSET(D$76,MATCH($C130,$N$101:$N$107,0)*3-2,0)</f>
        <v>Total Fixed Operating Cost = $0,075K</v>
      </c>
      <c r="E130" s="896">
        <f t="shared" ca="1" si="60"/>
        <v>1.6044546943808315</v>
      </c>
      <c r="F130" s="896">
        <f t="shared" ca="1" si="60"/>
        <v>0</v>
      </c>
      <c r="G130" s="896">
        <f t="shared" ca="1" si="60"/>
        <v>6.4102250076355253E-3</v>
      </c>
      <c r="H130" s="896"/>
      <c r="I130" s="896"/>
      <c r="J130" s="896"/>
      <c r="K130" s="896"/>
      <c r="L130" s="896"/>
      <c r="M130" s="896"/>
      <c r="N130" s="896"/>
      <c r="O130" s="896"/>
      <c r="P130" s="896"/>
      <c r="Q130" s="896"/>
      <c r="R130" s="896"/>
      <c r="S130" s="896"/>
      <c r="T130" s="879"/>
      <c r="U130" s="879"/>
      <c r="V130" s="879"/>
      <c r="W130" s="879"/>
      <c r="X130" s="879"/>
      <c r="Y130" s="879"/>
      <c r="Z130" s="879"/>
      <c r="AA130" s="879"/>
      <c r="AB130" s="879"/>
      <c r="AC130" s="879"/>
      <c r="AD130" s="879"/>
      <c r="AE130" s="879"/>
      <c r="AF130" s="879"/>
      <c r="AG130" s="879"/>
      <c r="AH130" s="879"/>
      <c r="AI130" s="879"/>
      <c r="AJ130" s="879"/>
      <c r="AK130" s="879"/>
      <c r="AL130" s="879"/>
      <c r="AM130" s="879"/>
      <c r="AN130" s="879"/>
      <c r="AO130" s="879"/>
      <c r="AP130" s="879"/>
      <c r="AQ130" s="879"/>
      <c r="AR130" s="879"/>
      <c r="AS130" s="879"/>
      <c r="AT130" s="879"/>
      <c r="AU130" s="879"/>
      <c r="AV130" s="879"/>
      <c r="AW130" s="879"/>
      <c r="AX130" s="879"/>
      <c r="AY130" s="879"/>
      <c r="AZ130" s="879"/>
      <c r="BA130" s="879"/>
      <c r="BB130" s="879"/>
      <c r="BC130" s="879"/>
      <c r="BD130" s="879"/>
      <c r="BE130" s="879"/>
      <c r="BF130" s="879"/>
      <c r="BG130" s="879"/>
      <c r="BH130" s="879"/>
      <c r="BI130" s="879"/>
      <c r="BJ130" s="879"/>
      <c r="BK130" s="879"/>
      <c r="BL130" s="879"/>
      <c r="BM130" s="879"/>
      <c r="BN130" s="879"/>
      <c r="BO130" s="879"/>
      <c r="BP130" s="879"/>
      <c r="BQ130" s="879"/>
      <c r="BR130" s="879"/>
      <c r="BS130" s="879"/>
      <c r="BT130" s="879"/>
      <c r="BU130" s="879"/>
    </row>
    <row r="131" spans="1:73" x14ac:dyDescent="0.25">
      <c r="A131" s="879"/>
      <c r="B131" s="879"/>
      <c r="C131" s="903"/>
      <c r="D131" s="883"/>
      <c r="E131" s="896"/>
      <c r="F131" s="896"/>
      <c r="G131" s="896"/>
      <c r="H131" s="896">
        <f t="shared" ref="H131:S131" ca="1" si="61">OFFSET(H$76,MATCH($C130,$N$101:$N$107,0)*3-2,0)</f>
        <v>0.11951113617208094</v>
      </c>
      <c r="I131" s="896">
        <f t="shared" ca="1" si="61"/>
        <v>3.0847670627014306E-2</v>
      </c>
      <c r="J131" s="896">
        <f t="shared" ca="1" si="61"/>
        <v>1.821832297055E-2</v>
      </c>
      <c r="K131" s="896">
        <f t="shared" ca="1" si="61"/>
        <v>0</v>
      </c>
      <c r="L131" s="896">
        <f t="shared" ca="1" si="61"/>
        <v>6.4102250076355253E-3</v>
      </c>
      <c r="M131" s="896">
        <f t="shared" ca="1" si="61"/>
        <v>0.16026625081119328</v>
      </c>
      <c r="N131" s="896">
        <f t="shared" ca="1" si="61"/>
        <v>1.1859544970057232</v>
      </c>
      <c r="O131" s="896">
        <f t="shared" ca="1" si="61"/>
        <v>0</v>
      </c>
      <c r="P131" s="896">
        <f t="shared" ca="1" si="61"/>
        <v>1.585391162923162E-2</v>
      </c>
      <c r="Q131" s="896">
        <f t="shared" ca="1" si="61"/>
        <v>6.2902365970455856E-2</v>
      </c>
      <c r="R131" s="896">
        <f t="shared" ca="1" si="61"/>
        <v>-1.5495626409343705E-2</v>
      </c>
      <c r="S131" s="896">
        <f t="shared" ca="1" si="61"/>
        <v>2.6396165603925568E-2</v>
      </c>
      <c r="T131" s="879"/>
      <c r="U131" s="879"/>
      <c r="V131" s="879"/>
      <c r="W131" s="879"/>
      <c r="X131" s="879"/>
      <c r="Y131" s="879"/>
      <c r="Z131" s="879"/>
      <c r="AA131" s="879"/>
      <c r="AB131" s="879"/>
      <c r="AC131" s="879"/>
      <c r="AD131" s="879"/>
      <c r="AE131" s="879"/>
      <c r="AF131" s="879"/>
      <c r="AG131" s="879"/>
      <c r="AH131" s="879"/>
      <c r="AI131" s="879"/>
      <c r="AJ131" s="879"/>
      <c r="AK131" s="879"/>
      <c r="AL131" s="879"/>
      <c r="AM131" s="879"/>
      <c r="AN131" s="879"/>
      <c r="AO131" s="879"/>
      <c r="AP131" s="879"/>
      <c r="AQ131" s="879"/>
      <c r="AR131" s="879"/>
      <c r="AS131" s="879"/>
      <c r="AT131" s="879"/>
      <c r="AU131" s="879"/>
      <c r="AV131" s="879"/>
      <c r="AW131" s="879"/>
      <c r="AX131" s="879"/>
      <c r="AY131" s="879"/>
      <c r="AZ131" s="879"/>
      <c r="BA131" s="879"/>
      <c r="BB131" s="879"/>
      <c r="BC131" s="879"/>
      <c r="BD131" s="879"/>
      <c r="BE131" s="879"/>
      <c r="BF131" s="879"/>
      <c r="BG131" s="879"/>
      <c r="BH131" s="879"/>
      <c r="BI131" s="879"/>
      <c r="BJ131" s="879"/>
      <c r="BK131" s="879"/>
      <c r="BL131" s="879"/>
      <c r="BM131" s="879"/>
      <c r="BN131" s="879"/>
      <c r="BO131" s="879"/>
      <c r="BP131" s="879"/>
      <c r="BQ131" s="879"/>
      <c r="BR131" s="879"/>
      <c r="BS131" s="879"/>
      <c r="BT131" s="879"/>
      <c r="BU131" s="879"/>
    </row>
    <row r="132" spans="1:73" x14ac:dyDescent="0.25">
      <c r="A132" s="879"/>
      <c r="B132" s="879"/>
      <c r="C132" s="903">
        <v>4</v>
      </c>
      <c r="D132" s="883" t="str">
        <f t="shared" ref="D132:G132" ca="1" si="62">OFFSET(D$76,MATCH($C132,$N$101:$N$107,0)*3,0)</f>
        <v>Total Fixed Operating Cost = $0,082K</v>
      </c>
      <c r="E132" s="896">
        <f t="shared" ca="1" si="62"/>
        <v>1.6216291933861418</v>
      </c>
      <c r="F132" s="896">
        <f t="shared" ca="1" si="62"/>
        <v>0</v>
      </c>
      <c r="G132" s="896">
        <f t="shared" ca="1" si="62"/>
        <v>6.4102250076355253E-3</v>
      </c>
      <c r="H132" s="896"/>
      <c r="I132" s="896"/>
      <c r="J132" s="896"/>
      <c r="K132" s="896"/>
      <c r="L132" s="896"/>
      <c r="M132" s="896"/>
      <c r="N132" s="896"/>
      <c r="O132" s="896"/>
      <c r="P132" s="896"/>
      <c r="Q132" s="896"/>
      <c r="R132" s="896"/>
      <c r="S132" s="896"/>
      <c r="T132" s="879"/>
      <c r="U132" s="879"/>
      <c r="V132" s="879"/>
      <c r="W132" s="879"/>
      <c r="X132" s="879"/>
      <c r="Y132" s="879"/>
      <c r="Z132" s="879"/>
      <c r="AA132" s="879"/>
      <c r="AB132" s="879"/>
      <c r="AC132" s="879"/>
      <c r="AD132" s="879"/>
      <c r="AE132" s="879"/>
      <c r="AF132" s="879"/>
      <c r="AG132" s="879"/>
      <c r="AH132" s="879"/>
      <c r="AI132" s="879"/>
      <c r="AJ132" s="879"/>
      <c r="AK132" s="879"/>
      <c r="AL132" s="879"/>
      <c r="AM132" s="879"/>
      <c r="AN132" s="879"/>
      <c r="AO132" s="879"/>
      <c r="AP132" s="879"/>
      <c r="AQ132" s="879"/>
      <c r="AR132" s="879"/>
      <c r="AS132" s="879"/>
      <c r="AT132" s="879"/>
      <c r="AU132" s="879"/>
      <c r="AV132" s="879"/>
      <c r="AW132" s="879"/>
      <c r="AX132" s="879"/>
      <c r="AY132" s="879"/>
      <c r="AZ132" s="879"/>
      <c r="BA132" s="879"/>
      <c r="BB132" s="879"/>
      <c r="BC132" s="879"/>
      <c r="BD132" s="879"/>
      <c r="BE132" s="879"/>
      <c r="BF132" s="879"/>
      <c r="BG132" s="879"/>
      <c r="BH132" s="879"/>
      <c r="BI132" s="879"/>
      <c r="BJ132" s="879"/>
      <c r="BK132" s="879"/>
      <c r="BL132" s="879"/>
      <c r="BM132" s="879"/>
      <c r="BN132" s="879"/>
      <c r="BO132" s="879"/>
      <c r="BP132" s="879"/>
      <c r="BQ132" s="879"/>
      <c r="BR132" s="879"/>
      <c r="BS132" s="879"/>
      <c r="BT132" s="879"/>
      <c r="BU132" s="879"/>
    </row>
    <row r="133" spans="1:73" x14ac:dyDescent="0.25">
      <c r="A133" s="879"/>
      <c r="B133" s="879"/>
      <c r="C133" s="903"/>
      <c r="D133" s="883"/>
      <c r="E133" s="896"/>
      <c r="F133" s="896"/>
      <c r="G133" s="896"/>
      <c r="H133" s="896">
        <f t="shared" ref="H133:S133" ca="1" si="63">OFFSET(H$76,MATCH($C132,$N$101:$N$107,0)*3,0)</f>
        <v>0.11951113617208094</v>
      </c>
      <c r="I133" s="896">
        <f t="shared" ca="1" si="63"/>
        <v>3.0847670627014306E-2</v>
      </c>
      <c r="J133" s="896">
        <f t="shared" ca="1" si="63"/>
        <v>1.8444346157957706E-2</v>
      </c>
      <c r="K133" s="896">
        <f t="shared" ca="1" si="63"/>
        <v>0</v>
      </c>
      <c r="L133" s="896">
        <f t="shared" ca="1" si="63"/>
        <v>6.4102250076355253E-3</v>
      </c>
      <c r="M133" s="896">
        <f t="shared" ca="1" si="63"/>
        <v>0.17713638247552935</v>
      </c>
      <c r="N133" s="896">
        <f t="shared" ca="1" si="63"/>
        <v>1.1859544970057232</v>
      </c>
      <c r="O133" s="896">
        <f t="shared" ca="1" si="63"/>
        <v>0</v>
      </c>
      <c r="P133" s="896">
        <f t="shared" ca="1" si="63"/>
        <v>1.585391162923162E-2</v>
      </c>
      <c r="Q133" s="896">
        <f t="shared" ca="1" si="63"/>
        <v>6.2902365970455856E-2</v>
      </c>
      <c r="R133" s="896">
        <f t="shared" ca="1" si="63"/>
        <v>-1.5417282255776968E-2</v>
      </c>
      <c r="S133" s="896">
        <f t="shared" ca="1" si="63"/>
        <v>2.6396165603925568E-2</v>
      </c>
      <c r="T133" s="879"/>
      <c r="U133" s="879"/>
      <c r="V133" s="879"/>
      <c r="W133" s="879"/>
      <c r="X133" s="879"/>
      <c r="Y133" s="879"/>
      <c r="Z133" s="879"/>
      <c r="AA133" s="879"/>
      <c r="AB133" s="879"/>
      <c r="AC133" s="879"/>
      <c r="AD133" s="879"/>
      <c r="AE133" s="879"/>
      <c r="AF133" s="879"/>
      <c r="AG133" s="879"/>
      <c r="AH133" s="879"/>
      <c r="AI133" s="879"/>
      <c r="AJ133" s="879"/>
      <c r="AK133" s="879"/>
      <c r="AL133" s="879"/>
      <c r="AM133" s="879"/>
      <c r="AN133" s="879"/>
      <c r="AO133" s="879"/>
      <c r="AP133" s="879"/>
      <c r="AQ133" s="879"/>
      <c r="AR133" s="879"/>
      <c r="AS133" s="879"/>
      <c r="AT133" s="879"/>
      <c r="AU133" s="879"/>
      <c r="AV133" s="879"/>
      <c r="AW133" s="879"/>
      <c r="AX133" s="879"/>
      <c r="AY133" s="879"/>
      <c r="AZ133" s="879"/>
      <c r="BA133" s="879"/>
      <c r="BB133" s="879"/>
      <c r="BC133" s="879"/>
      <c r="BD133" s="879"/>
      <c r="BE133" s="879"/>
      <c r="BF133" s="879"/>
      <c r="BG133" s="879"/>
      <c r="BH133" s="879"/>
      <c r="BI133" s="879"/>
      <c r="BJ133" s="879"/>
      <c r="BK133" s="879"/>
      <c r="BL133" s="879"/>
      <c r="BM133" s="879"/>
      <c r="BN133" s="879"/>
      <c r="BO133" s="879"/>
      <c r="BP133" s="879"/>
      <c r="BQ133" s="879"/>
      <c r="BR133" s="879"/>
      <c r="BS133" s="879"/>
      <c r="BT133" s="879"/>
      <c r="BU133" s="879"/>
    </row>
    <row r="134" spans="1:73" x14ac:dyDescent="0.25">
      <c r="A134" s="879"/>
      <c r="B134" s="879"/>
      <c r="C134" s="903"/>
      <c r="D134" s="883"/>
      <c r="E134" s="896"/>
      <c r="F134" s="896"/>
      <c r="G134" s="896"/>
      <c r="H134" s="896"/>
      <c r="I134" s="896"/>
      <c r="J134" s="896"/>
      <c r="K134" s="896"/>
      <c r="L134" s="896"/>
      <c r="M134" s="896"/>
      <c r="N134" s="896"/>
      <c r="O134" s="896"/>
      <c r="P134" s="896"/>
      <c r="Q134" s="896"/>
      <c r="R134" s="896"/>
      <c r="S134" s="896"/>
      <c r="T134" s="879"/>
      <c r="U134" s="879"/>
      <c r="V134" s="879"/>
      <c r="W134" s="879"/>
      <c r="X134" s="879"/>
      <c r="Y134" s="879"/>
      <c r="Z134" s="879"/>
      <c r="AA134" s="879"/>
      <c r="AB134" s="879"/>
      <c r="AC134" s="879"/>
      <c r="AD134" s="879"/>
      <c r="AE134" s="879"/>
      <c r="AF134" s="879"/>
      <c r="AG134" s="879"/>
      <c r="AH134" s="879"/>
      <c r="AI134" s="879"/>
      <c r="AJ134" s="879"/>
      <c r="AK134" s="879"/>
      <c r="AL134" s="879"/>
      <c r="AM134" s="879"/>
      <c r="AN134" s="879"/>
      <c r="AO134" s="879"/>
      <c r="AP134" s="879"/>
      <c r="AQ134" s="879"/>
      <c r="AR134" s="879"/>
      <c r="AS134" s="879"/>
      <c r="AT134" s="879"/>
      <c r="AU134" s="879"/>
      <c r="AV134" s="879"/>
      <c r="AW134" s="879"/>
      <c r="AX134" s="879"/>
      <c r="AY134" s="879"/>
      <c r="AZ134" s="879"/>
      <c r="BA134" s="879"/>
      <c r="BB134" s="879"/>
      <c r="BC134" s="879"/>
      <c r="BD134" s="879"/>
      <c r="BE134" s="879"/>
      <c r="BF134" s="879"/>
      <c r="BG134" s="879"/>
      <c r="BH134" s="879"/>
      <c r="BI134" s="879"/>
      <c r="BJ134" s="879"/>
      <c r="BK134" s="879"/>
      <c r="BL134" s="879"/>
      <c r="BM134" s="879"/>
      <c r="BN134" s="879"/>
      <c r="BO134" s="879"/>
      <c r="BP134" s="879"/>
      <c r="BQ134" s="879"/>
      <c r="BR134" s="879"/>
      <c r="BS134" s="879"/>
      <c r="BT134" s="879"/>
      <c r="BU134" s="879"/>
    </row>
    <row r="135" spans="1:73" x14ac:dyDescent="0.25">
      <c r="A135" s="879"/>
      <c r="B135" s="879"/>
      <c r="C135" s="903">
        <v>5</v>
      </c>
      <c r="D135" s="883" t="str">
        <f t="shared" ref="D135:G135" ca="1" si="64">OFFSET(D$76,MATCH($C135,$N$101:$N$107,0)*3-2,0)</f>
        <v>Plant Design Capacity (kg of H2/day) = 1,575</v>
      </c>
      <c r="E135" s="896">
        <f t="shared" ca="1" si="64"/>
        <v>1.6079482607095905</v>
      </c>
      <c r="F135" s="896">
        <f t="shared" ca="1" si="64"/>
        <v>0</v>
      </c>
      <c r="G135" s="896">
        <f t="shared" ca="1" si="64"/>
        <v>6.272419355331015E-3</v>
      </c>
      <c r="H135" s="896"/>
      <c r="I135" s="896"/>
      <c r="J135" s="896"/>
      <c r="K135" s="896"/>
      <c r="L135" s="896"/>
      <c r="M135" s="896"/>
      <c r="N135" s="896"/>
      <c r="O135" s="896"/>
      <c r="P135" s="896"/>
      <c r="Q135" s="896"/>
      <c r="R135" s="896"/>
      <c r="S135" s="896"/>
      <c r="T135" s="879"/>
      <c r="U135" s="879"/>
      <c r="V135" s="879"/>
      <c r="W135" s="879"/>
      <c r="X135" s="879"/>
      <c r="Y135" s="879"/>
      <c r="Z135" s="879"/>
      <c r="AA135" s="879"/>
      <c r="AB135" s="879"/>
      <c r="AC135" s="879"/>
      <c r="AD135" s="879"/>
      <c r="AE135" s="879"/>
      <c r="AF135" s="879"/>
      <c r="AG135" s="879"/>
      <c r="AH135" s="879"/>
      <c r="AI135" s="879"/>
      <c r="AJ135" s="879"/>
      <c r="AK135" s="879"/>
      <c r="AL135" s="879"/>
      <c r="AM135" s="879"/>
      <c r="AN135" s="879"/>
      <c r="AO135" s="879"/>
      <c r="AP135" s="879"/>
      <c r="AQ135" s="879"/>
      <c r="AR135" s="879"/>
      <c r="AS135" s="879"/>
      <c r="AT135" s="879"/>
      <c r="AU135" s="879"/>
      <c r="AV135" s="879"/>
      <c r="AW135" s="879"/>
      <c r="AX135" s="879"/>
      <c r="AY135" s="879"/>
      <c r="AZ135" s="879"/>
      <c r="BA135" s="879"/>
      <c r="BB135" s="879"/>
      <c r="BC135" s="879"/>
      <c r="BD135" s="879"/>
      <c r="BE135" s="879"/>
      <c r="BF135" s="879"/>
      <c r="BG135" s="879"/>
      <c r="BH135" s="879"/>
      <c r="BI135" s="879"/>
      <c r="BJ135" s="879"/>
      <c r="BK135" s="879"/>
      <c r="BL135" s="879"/>
      <c r="BM135" s="879"/>
      <c r="BN135" s="879"/>
      <c r="BO135" s="879"/>
      <c r="BP135" s="879"/>
      <c r="BQ135" s="879"/>
      <c r="BR135" s="879"/>
      <c r="BS135" s="879"/>
      <c r="BT135" s="879"/>
      <c r="BU135" s="879"/>
    </row>
    <row r="136" spans="1:73" x14ac:dyDescent="0.25">
      <c r="A136" s="879"/>
      <c r="B136" s="879"/>
      <c r="C136" s="903"/>
      <c r="D136" s="883"/>
      <c r="E136" s="896"/>
      <c r="F136" s="896"/>
      <c r="G136" s="896"/>
      <c r="H136" s="896">
        <f t="shared" ref="H136:S136" ca="1" si="65">OFFSET(H$76,MATCH($C135,$N$101:$N$107,0)*3-2,0)</f>
        <v>0.11694191121379484</v>
      </c>
      <c r="I136" s="896">
        <f t="shared" ca="1" si="65"/>
        <v>3.0251480798608638E-2</v>
      </c>
      <c r="J136" s="896">
        <f t="shared" ca="1" si="65"/>
        <v>1.8324988164119461E-2</v>
      </c>
      <c r="K136" s="896">
        <f t="shared" ca="1" si="65"/>
        <v>0</v>
      </c>
      <c r="L136" s="896">
        <f t="shared" ca="1" si="65"/>
        <v>6.272419355331015E-3</v>
      </c>
      <c r="M136" s="896">
        <f t="shared" ca="1" si="65"/>
        <v>0.16822762804932911</v>
      </c>
      <c r="N136" s="896">
        <f t="shared" ca="1" si="65"/>
        <v>1.1859544970057232</v>
      </c>
      <c r="O136" s="896">
        <f t="shared" ca="1" si="65"/>
        <v>0</v>
      </c>
      <c r="P136" s="896">
        <f t="shared" ca="1" si="65"/>
        <v>1.5853911629231617E-2</v>
      </c>
      <c r="Q136" s="896">
        <f t="shared" ca="1" si="65"/>
        <v>6.1550104300431722E-2</v>
      </c>
      <c r="R136" s="896">
        <f t="shared" ca="1" si="65"/>
        <v>-1.4984966907876422E-2</v>
      </c>
      <c r="S136" s="896">
        <f t="shared" ca="1" si="65"/>
        <v>2.5828706456227316E-2</v>
      </c>
      <c r="T136" s="879"/>
      <c r="U136" s="879"/>
      <c r="V136" s="879"/>
      <c r="W136" s="879"/>
      <c r="X136" s="879"/>
      <c r="Y136" s="879"/>
      <c r="Z136" s="879"/>
      <c r="AA136" s="879"/>
      <c r="AB136" s="879"/>
      <c r="AC136" s="879"/>
      <c r="AD136" s="879"/>
      <c r="AE136" s="879"/>
      <c r="AF136" s="879"/>
      <c r="AG136" s="879"/>
      <c r="AH136" s="879"/>
      <c r="AI136" s="879"/>
      <c r="AJ136" s="879"/>
      <c r="AK136" s="879"/>
      <c r="AL136" s="879"/>
      <c r="AM136" s="879"/>
      <c r="AN136" s="879"/>
      <c r="AO136" s="879"/>
      <c r="AP136" s="879"/>
      <c r="AQ136" s="879"/>
      <c r="AR136" s="879"/>
      <c r="AS136" s="879"/>
      <c r="AT136" s="879"/>
      <c r="AU136" s="879"/>
      <c r="AV136" s="879"/>
      <c r="AW136" s="879"/>
      <c r="AX136" s="879"/>
      <c r="AY136" s="879"/>
      <c r="AZ136" s="879"/>
      <c r="BA136" s="879"/>
      <c r="BB136" s="879"/>
      <c r="BC136" s="879"/>
      <c r="BD136" s="879"/>
      <c r="BE136" s="879"/>
      <c r="BF136" s="879"/>
      <c r="BG136" s="879"/>
      <c r="BH136" s="879"/>
      <c r="BI136" s="879"/>
      <c r="BJ136" s="879"/>
      <c r="BK136" s="879"/>
      <c r="BL136" s="879"/>
      <c r="BM136" s="879"/>
      <c r="BN136" s="879"/>
      <c r="BO136" s="879"/>
      <c r="BP136" s="879"/>
      <c r="BQ136" s="879"/>
      <c r="BR136" s="879"/>
      <c r="BS136" s="879"/>
      <c r="BT136" s="879"/>
      <c r="BU136" s="879"/>
    </row>
    <row r="137" spans="1:73" x14ac:dyDescent="0.25">
      <c r="A137" s="879"/>
      <c r="B137" s="879"/>
      <c r="C137" s="903">
        <v>5</v>
      </c>
      <c r="D137" s="883" t="str">
        <f t="shared" ref="D137:G137" ca="1" si="66">OFFSET(D$76,MATCH($C137,$N$101:$N$107,0)*3,0)</f>
        <v>Plant Design Capacity (kg of H2/day) = 1,425</v>
      </c>
      <c r="E137" s="896">
        <f t="shared" ca="1" si="66"/>
        <v>1.6185660291574699</v>
      </c>
      <c r="F137" s="896">
        <f t="shared" ca="1" si="66"/>
        <v>0</v>
      </c>
      <c r="G137" s="896">
        <f t="shared" ca="1" si="66"/>
        <v>6.558795991011509E-3</v>
      </c>
      <c r="H137" s="896"/>
      <c r="I137" s="896"/>
      <c r="J137" s="896"/>
      <c r="K137" s="896"/>
      <c r="L137" s="896"/>
      <c r="M137" s="896"/>
      <c r="N137" s="896"/>
      <c r="O137" s="896"/>
      <c r="P137" s="896"/>
      <c r="Q137" s="896"/>
      <c r="R137" s="896"/>
      <c r="S137" s="896"/>
      <c r="T137" s="879"/>
      <c r="U137" s="879"/>
      <c r="V137" s="879"/>
      <c r="W137" s="879"/>
      <c r="X137" s="879"/>
      <c r="Y137" s="879"/>
      <c r="Z137" s="879"/>
      <c r="AA137" s="879"/>
      <c r="AB137" s="879"/>
      <c r="AC137" s="879"/>
      <c r="AD137" s="879"/>
      <c r="AE137" s="879"/>
      <c r="AF137" s="879"/>
      <c r="AG137" s="879"/>
      <c r="AH137" s="879"/>
      <c r="AI137" s="879"/>
      <c r="AJ137" s="879"/>
      <c r="AK137" s="879"/>
      <c r="AL137" s="879"/>
      <c r="AM137" s="879"/>
      <c r="AN137" s="879"/>
      <c r="AO137" s="879"/>
      <c r="AP137" s="879"/>
      <c r="AQ137" s="879"/>
      <c r="AR137" s="879"/>
      <c r="AS137" s="879"/>
      <c r="AT137" s="879"/>
      <c r="AU137" s="879"/>
      <c r="AV137" s="879"/>
      <c r="AW137" s="879"/>
      <c r="AX137" s="879"/>
      <c r="AY137" s="879"/>
      <c r="AZ137" s="879"/>
      <c r="BA137" s="879"/>
      <c r="BB137" s="879"/>
      <c r="BC137" s="879"/>
      <c r="BD137" s="879"/>
      <c r="BE137" s="879"/>
      <c r="BF137" s="879"/>
      <c r="BG137" s="879"/>
      <c r="BH137" s="879"/>
      <c r="BI137" s="879"/>
      <c r="BJ137" s="879"/>
      <c r="BK137" s="879"/>
      <c r="BL137" s="879"/>
      <c r="BM137" s="879"/>
      <c r="BN137" s="879"/>
      <c r="BO137" s="879"/>
      <c r="BP137" s="879"/>
      <c r="BQ137" s="879"/>
      <c r="BR137" s="879"/>
      <c r="BS137" s="879"/>
      <c r="BT137" s="879"/>
      <c r="BU137" s="879"/>
    </row>
    <row r="138" spans="1:73" x14ac:dyDescent="0.25">
      <c r="A138" s="879"/>
      <c r="B138" s="879"/>
      <c r="C138" s="903"/>
      <c r="D138" s="883"/>
      <c r="E138" s="896"/>
      <c r="F138" s="896"/>
      <c r="G138" s="896"/>
      <c r="H138" s="896">
        <f t="shared" ref="H138:S138" ca="1" si="67">OFFSET(H$76,MATCH($C137,$N$101:$N$107,0)*3,0)</f>
        <v>0.12228106811742098</v>
      </c>
      <c r="I138" s="896">
        <f t="shared" ca="1" si="67"/>
        <v>3.1487120912283811E-2</v>
      </c>
      <c r="J138" s="896">
        <f t="shared" ca="1" si="67"/>
        <v>1.8338651004427005E-2</v>
      </c>
      <c r="K138" s="896">
        <f t="shared" ca="1" si="67"/>
        <v>0</v>
      </c>
      <c r="L138" s="896">
        <f t="shared" ca="1" si="67"/>
        <v>6.558795991011509E-3</v>
      </c>
      <c r="M138" s="896">
        <f t="shared" ca="1" si="67"/>
        <v>0.16924740799996399</v>
      </c>
      <c r="N138" s="896">
        <f t="shared" ca="1" si="67"/>
        <v>1.1859544970057236</v>
      </c>
      <c r="O138" s="896">
        <f t="shared" ca="1" si="67"/>
        <v>0</v>
      </c>
      <c r="P138" s="896">
        <f t="shared" ca="1" si="67"/>
        <v>1.585391162923162E-2</v>
      </c>
      <c r="Q138" s="896">
        <f t="shared" ca="1" si="67"/>
        <v>6.4360265865978233E-2</v>
      </c>
      <c r="R138" s="896">
        <f t="shared" ca="1" si="67"/>
        <v>-1.5964847846379162E-2</v>
      </c>
      <c r="S138" s="896">
        <f t="shared" ca="1" si="67"/>
        <v>2.7007954468818648E-2</v>
      </c>
      <c r="T138" s="879"/>
      <c r="U138" s="879"/>
      <c r="V138" s="879"/>
      <c r="W138" s="879"/>
      <c r="X138" s="879"/>
      <c r="Y138" s="879"/>
      <c r="Z138" s="879"/>
      <c r="AA138" s="879"/>
      <c r="AB138" s="879"/>
      <c r="AC138" s="879"/>
      <c r="AD138" s="879"/>
      <c r="AE138" s="879"/>
      <c r="AF138" s="879"/>
      <c r="AG138" s="879"/>
      <c r="AH138" s="879"/>
      <c r="AI138" s="879"/>
      <c r="AJ138" s="879"/>
      <c r="AK138" s="879"/>
      <c r="AL138" s="879"/>
      <c r="AM138" s="879"/>
      <c r="AN138" s="879"/>
      <c r="AO138" s="879"/>
      <c r="AP138" s="879"/>
      <c r="AQ138" s="879"/>
      <c r="AR138" s="879"/>
      <c r="AS138" s="879"/>
      <c r="AT138" s="879"/>
      <c r="AU138" s="879"/>
      <c r="AV138" s="879"/>
      <c r="AW138" s="879"/>
      <c r="AX138" s="879"/>
      <c r="AY138" s="879"/>
      <c r="AZ138" s="879"/>
      <c r="BA138" s="879"/>
      <c r="BB138" s="879"/>
      <c r="BC138" s="879"/>
      <c r="BD138" s="879"/>
      <c r="BE138" s="879"/>
      <c r="BF138" s="879"/>
      <c r="BG138" s="879"/>
      <c r="BH138" s="879"/>
      <c r="BI138" s="879"/>
      <c r="BJ138" s="879"/>
      <c r="BK138" s="879"/>
      <c r="BL138" s="879"/>
      <c r="BM138" s="879"/>
      <c r="BN138" s="879"/>
      <c r="BO138" s="879"/>
      <c r="BP138" s="879"/>
      <c r="BQ138" s="879"/>
      <c r="BR138" s="879"/>
      <c r="BS138" s="879"/>
      <c r="BT138" s="879"/>
      <c r="BU138" s="879"/>
    </row>
    <row r="139" spans="1:73" x14ac:dyDescent="0.25">
      <c r="A139" s="879"/>
      <c r="B139" s="879"/>
      <c r="C139" s="903"/>
      <c r="D139" s="883"/>
      <c r="E139" s="896"/>
      <c r="F139" s="896"/>
      <c r="G139" s="896"/>
      <c r="H139" s="896"/>
      <c r="I139" s="896"/>
      <c r="J139" s="896"/>
      <c r="K139" s="896"/>
      <c r="L139" s="896"/>
      <c r="M139" s="896"/>
      <c r="N139" s="896"/>
      <c r="O139" s="896"/>
      <c r="P139" s="896"/>
      <c r="Q139" s="896"/>
      <c r="R139" s="896"/>
      <c r="S139" s="896"/>
      <c r="T139" s="879"/>
      <c r="U139" s="879"/>
      <c r="V139" s="879"/>
      <c r="W139" s="879"/>
      <c r="X139" s="879"/>
      <c r="Y139" s="879"/>
      <c r="Z139" s="879"/>
      <c r="AA139" s="879"/>
      <c r="AB139" s="879"/>
      <c r="AC139" s="879"/>
      <c r="AD139" s="879"/>
      <c r="AE139" s="879"/>
      <c r="AF139" s="879"/>
      <c r="AG139" s="879"/>
      <c r="AH139" s="879"/>
      <c r="AI139" s="879"/>
      <c r="AJ139" s="879"/>
      <c r="AK139" s="879"/>
      <c r="AL139" s="879"/>
      <c r="AM139" s="879"/>
      <c r="AN139" s="879"/>
      <c r="AO139" s="879"/>
      <c r="AP139" s="879"/>
      <c r="AQ139" s="879"/>
      <c r="AR139" s="879"/>
      <c r="AS139" s="879"/>
      <c r="AT139" s="879"/>
      <c r="AU139" s="879"/>
      <c r="AV139" s="879"/>
      <c r="AW139" s="879"/>
      <c r="AX139" s="879"/>
      <c r="AY139" s="879"/>
      <c r="AZ139" s="879"/>
      <c r="BA139" s="879"/>
      <c r="BB139" s="879"/>
      <c r="BC139" s="879"/>
      <c r="BD139" s="879"/>
      <c r="BE139" s="879"/>
      <c r="BF139" s="879"/>
      <c r="BG139" s="879"/>
      <c r="BH139" s="879"/>
      <c r="BI139" s="879"/>
      <c r="BJ139" s="879"/>
      <c r="BK139" s="879"/>
      <c r="BL139" s="879"/>
      <c r="BM139" s="879"/>
      <c r="BN139" s="879"/>
      <c r="BO139" s="879"/>
      <c r="BP139" s="879"/>
      <c r="BQ139" s="879"/>
      <c r="BR139" s="879"/>
      <c r="BS139" s="879"/>
      <c r="BT139" s="879"/>
      <c r="BU139" s="879"/>
    </row>
    <row r="140" spans="1:73" x14ac:dyDescent="0.25">
      <c r="A140" s="879"/>
      <c r="B140" s="879"/>
      <c r="C140" s="903">
        <v>6</v>
      </c>
      <c r="D140" s="883" t="str">
        <f t="shared" ref="D140:G140" ca="1" si="68">OFFSET(D$76,MATCH($C140,$N$101:$N$107,0)*3-2,0)</f>
        <v>After-tax Real IRR = 8%</v>
      </c>
      <c r="E140" s="896">
        <f t="shared" ca="1" si="68"/>
        <v>1.6107217244721268</v>
      </c>
      <c r="F140" s="896">
        <f t="shared" ca="1" si="68"/>
        <v>0</v>
      </c>
      <c r="G140" s="896">
        <f t="shared" ca="1" si="68"/>
        <v>6.695612660104734E-3</v>
      </c>
      <c r="H140" s="896"/>
      <c r="I140" s="896"/>
      <c r="J140" s="896"/>
      <c r="K140" s="896"/>
      <c r="L140" s="896"/>
      <c r="M140" s="896"/>
      <c r="N140" s="896"/>
      <c r="O140" s="896"/>
      <c r="P140" s="896"/>
      <c r="Q140" s="896"/>
      <c r="R140" s="896"/>
      <c r="S140" s="896"/>
      <c r="T140" s="879"/>
      <c r="U140" s="879"/>
      <c r="V140" s="879"/>
      <c r="W140" s="879"/>
      <c r="X140" s="879"/>
      <c r="Y140" s="879"/>
      <c r="Z140" s="879"/>
      <c r="AA140" s="879"/>
      <c r="AB140" s="879"/>
      <c r="AC140" s="879"/>
      <c r="AD140" s="879"/>
      <c r="AE140" s="879"/>
      <c r="AF140" s="879"/>
      <c r="AG140" s="879"/>
      <c r="AH140" s="879"/>
      <c r="AI140" s="879"/>
      <c r="AJ140" s="879"/>
      <c r="AK140" s="879"/>
      <c r="AL140" s="879"/>
      <c r="AM140" s="879"/>
      <c r="AN140" s="879"/>
      <c r="AO140" s="879"/>
      <c r="AP140" s="879"/>
      <c r="AQ140" s="879"/>
      <c r="AR140" s="879"/>
      <c r="AS140" s="879"/>
      <c r="AT140" s="879"/>
      <c r="AU140" s="879"/>
      <c r="AV140" s="879"/>
      <c r="AW140" s="879"/>
      <c r="AX140" s="879"/>
      <c r="AY140" s="879"/>
      <c r="AZ140" s="879"/>
      <c r="BA140" s="879"/>
      <c r="BB140" s="879"/>
      <c r="BC140" s="879"/>
      <c r="BD140" s="879"/>
      <c r="BE140" s="879"/>
      <c r="BF140" s="879"/>
      <c r="BG140" s="879"/>
      <c r="BH140" s="879"/>
      <c r="BI140" s="879"/>
      <c r="BJ140" s="879"/>
      <c r="BK140" s="879"/>
      <c r="BL140" s="879"/>
      <c r="BM140" s="879"/>
      <c r="BN140" s="879"/>
      <c r="BO140" s="879"/>
      <c r="BP140" s="879"/>
      <c r="BQ140" s="879"/>
      <c r="BR140" s="879"/>
      <c r="BS140" s="879"/>
      <c r="BT140" s="879"/>
      <c r="BU140" s="879"/>
    </row>
    <row r="141" spans="1:73" x14ac:dyDescent="0.25">
      <c r="A141" s="879"/>
      <c r="B141" s="879"/>
      <c r="C141" s="903"/>
      <c r="D141" s="883"/>
      <c r="E141" s="896"/>
      <c r="F141" s="896"/>
      <c r="G141" s="896"/>
      <c r="H141" s="896">
        <f t="shared" ref="H141:S141" ca="1" si="69">OFFSET(H$76,MATCH($C140,$N$101:$N$107,0)*3-2,0)</f>
        <v>0.11590328356539081</v>
      </c>
      <c r="I141" s="896">
        <f t="shared" ca="1" si="69"/>
        <v>3.0886553632149417E-2</v>
      </c>
      <c r="J141" s="896">
        <f t="shared" ca="1" si="69"/>
        <v>1.7645913557536169E-2</v>
      </c>
      <c r="K141" s="896">
        <f t="shared" ca="1" si="69"/>
        <v>0</v>
      </c>
      <c r="L141" s="896">
        <f t="shared" ca="1" si="69"/>
        <v>6.695612660104734E-3</v>
      </c>
      <c r="M141" s="896">
        <f t="shared" ca="1" si="69"/>
        <v>0.16864781931460818</v>
      </c>
      <c r="N141" s="896">
        <f t="shared" ca="1" si="69"/>
        <v>1.1868891986533301</v>
      </c>
      <c r="O141" s="896">
        <f t="shared" ca="1" si="69"/>
        <v>0</v>
      </c>
      <c r="P141" s="896">
        <f t="shared" ca="1" si="69"/>
        <v>1.585391162923162E-2</v>
      </c>
      <c r="Q141" s="896">
        <f t="shared" ca="1" si="69"/>
        <v>6.2553205990220823E-2</v>
      </c>
      <c r="R141" s="896">
        <f t="shared" ca="1" si="69"/>
        <v>-1.5229503030025826E-2</v>
      </c>
      <c r="S141" s="896">
        <f t="shared" ca="1" si="69"/>
        <v>2.7571341159685268E-2</v>
      </c>
      <c r="T141" s="879"/>
      <c r="U141" s="879"/>
      <c r="V141" s="879"/>
      <c r="W141" s="879"/>
      <c r="X141" s="879"/>
      <c r="Y141" s="879"/>
      <c r="Z141" s="879"/>
      <c r="AA141" s="879"/>
      <c r="AB141" s="879"/>
      <c r="AC141" s="879"/>
      <c r="AD141" s="879"/>
      <c r="AE141" s="879"/>
      <c r="AF141" s="879"/>
      <c r="AG141" s="879"/>
      <c r="AH141" s="879"/>
      <c r="AI141" s="879"/>
      <c r="AJ141" s="879"/>
      <c r="AK141" s="879"/>
      <c r="AL141" s="879"/>
      <c r="AM141" s="879"/>
      <c r="AN141" s="879"/>
      <c r="AO141" s="879"/>
      <c r="AP141" s="879"/>
      <c r="AQ141" s="879"/>
      <c r="AR141" s="879"/>
      <c r="AS141" s="879"/>
      <c r="AT141" s="879"/>
      <c r="AU141" s="879"/>
      <c r="AV141" s="879"/>
      <c r="AW141" s="879"/>
      <c r="AX141" s="879"/>
      <c r="AY141" s="879"/>
      <c r="AZ141" s="879"/>
      <c r="BA141" s="879"/>
      <c r="BB141" s="879"/>
      <c r="BC141" s="879"/>
      <c r="BD141" s="879"/>
      <c r="BE141" s="879"/>
      <c r="BF141" s="879"/>
      <c r="BG141" s="879"/>
      <c r="BH141" s="879"/>
      <c r="BI141" s="879"/>
      <c r="BJ141" s="879"/>
      <c r="BK141" s="879"/>
      <c r="BL141" s="879"/>
      <c r="BM141" s="879"/>
      <c r="BN141" s="879"/>
      <c r="BO141" s="879"/>
      <c r="BP141" s="879"/>
      <c r="BQ141" s="879"/>
      <c r="BR141" s="879"/>
      <c r="BS141" s="879"/>
      <c r="BT141" s="879"/>
      <c r="BU141" s="879"/>
    </row>
    <row r="142" spans="1:73" x14ac:dyDescent="0.25">
      <c r="A142" s="879"/>
      <c r="B142" s="879"/>
      <c r="C142" s="903">
        <v>6</v>
      </c>
      <c r="D142" s="883" t="str">
        <f t="shared" ref="D142:G142" ca="1" si="70">OFFSET(D$76,MATCH($C142,$N$101:$N$107,0)*3,0)</f>
        <v>After-tax Real IRR = 8%</v>
      </c>
      <c r="E142" s="896">
        <f t="shared" ca="1" si="70"/>
        <v>1.6154905399516624</v>
      </c>
      <c r="F142" s="896">
        <f t="shared" ca="1" si="70"/>
        <v>0</v>
      </c>
      <c r="G142" s="896">
        <f t="shared" ca="1" si="70"/>
        <v>6.1355417013961872E-3</v>
      </c>
      <c r="H142" s="896"/>
      <c r="I142" s="896"/>
      <c r="J142" s="896"/>
      <c r="K142" s="896"/>
      <c r="L142" s="896"/>
      <c r="M142" s="896"/>
      <c r="N142" s="896"/>
      <c r="O142" s="896"/>
      <c r="P142" s="896"/>
      <c r="Q142" s="896"/>
      <c r="R142" s="896"/>
      <c r="S142" s="896"/>
      <c r="T142" s="879"/>
      <c r="U142" s="879"/>
      <c r="V142" s="879"/>
      <c r="W142" s="879"/>
      <c r="X142" s="879"/>
      <c r="Y142" s="879"/>
      <c r="Z142" s="879"/>
      <c r="AA142" s="879"/>
      <c r="AB142" s="879"/>
      <c r="AC142" s="879"/>
      <c r="AD142" s="879"/>
      <c r="AE142" s="879"/>
      <c r="AF142" s="879"/>
      <c r="AG142" s="879"/>
      <c r="AH142" s="879"/>
      <c r="AI142" s="879"/>
      <c r="AJ142" s="879"/>
      <c r="AK142" s="879"/>
      <c r="AL142" s="879"/>
      <c r="AM142" s="879"/>
      <c r="AN142" s="879"/>
      <c r="AO142" s="879"/>
      <c r="AP142" s="879"/>
      <c r="AQ142" s="879"/>
      <c r="AR142" s="879"/>
      <c r="AS142" s="879"/>
      <c r="AT142" s="879"/>
      <c r="AU142" s="879"/>
      <c r="AV142" s="879"/>
      <c r="AW142" s="879"/>
      <c r="AX142" s="879"/>
      <c r="AY142" s="879"/>
      <c r="AZ142" s="879"/>
      <c r="BA142" s="879"/>
      <c r="BB142" s="879"/>
      <c r="BC142" s="879"/>
      <c r="BD142" s="879"/>
      <c r="BE142" s="879"/>
      <c r="BF142" s="879"/>
      <c r="BG142" s="879"/>
      <c r="BH142" s="879"/>
      <c r="BI142" s="879"/>
      <c r="BJ142" s="879"/>
      <c r="BK142" s="879"/>
      <c r="BL142" s="879"/>
      <c r="BM142" s="879"/>
      <c r="BN142" s="879"/>
      <c r="BO142" s="879"/>
      <c r="BP142" s="879"/>
      <c r="BQ142" s="879"/>
      <c r="BR142" s="879"/>
      <c r="BS142" s="879"/>
      <c r="BT142" s="879"/>
      <c r="BU142" s="879"/>
    </row>
    <row r="143" spans="1:73" x14ac:dyDescent="0.25">
      <c r="A143" s="879"/>
      <c r="B143" s="879"/>
      <c r="C143" s="903"/>
      <c r="D143" s="883"/>
      <c r="E143" s="896"/>
      <c r="F143" s="896"/>
      <c r="G143" s="896"/>
      <c r="H143" s="896">
        <f t="shared" ref="H143:S143" ca="1" si="71">OFFSET(H$76,MATCH($C142,$N$101:$N$107,0)*3,0)</f>
        <v>0.12316818666354515</v>
      </c>
      <c r="I143" s="896">
        <f t="shared" ca="1" si="71"/>
        <v>3.0801500655956111E-2</v>
      </c>
      <c r="J143" s="896">
        <f t="shared" ca="1" si="71"/>
        <v>1.9011715228992046E-2</v>
      </c>
      <c r="K143" s="896">
        <f t="shared" ca="1" si="71"/>
        <v>0</v>
      </c>
      <c r="L143" s="896">
        <f t="shared" ca="1" si="71"/>
        <v>6.1355417013961872E-3</v>
      </c>
      <c r="M143" s="896">
        <f t="shared" ca="1" si="71"/>
        <v>0.16875524454518548</v>
      </c>
      <c r="N143" s="896">
        <f t="shared" ca="1" si="71"/>
        <v>1.1850307596519649</v>
      </c>
      <c r="O143" s="896">
        <f t="shared" ca="1" si="71"/>
        <v>0</v>
      </c>
      <c r="P143" s="896">
        <f t="shared" ca="1" si="71"/>
        <v>1.5853911629231627E-2</v>
      </c>
      <c r="Q143" s="896">
        <f t="shared" ca="1" si="71"/>
        <v>6.325316217468735E-2</v>
      </c>
      <c r="R143" s="896">
        <f t="shared" ca="1" si="71"/>
        <v>-1.5649009238539374E-2</v>
      </c>
      <c r="S143" s="896">
        <f t="shared" ca="1" si="71"/>
        <v>2.5265068640637881E-2</v>
      </c>
      <c r="T143" s="879"/>
      <c r="U143" s="879"/>
      <c r="V143" s="879"/>
      <c r="W143" s="879"/>
      <c r="X143" s="879"/>
      <c r="Y143" s="879"/>
      <c r="Z143" s="879"/>
      <c r="AA143" s="879"/>
      <c r="AB143" s="879"/>
      <c r="AC143" s="879"/>
      <c r="AD143" s="879"/>
      <c r="AE143" s="879"/>
      <c r="AF143" s="879"/>
      <c r="AG143" s="879"/>
      <c r="AH143" s="879"/>
      <c r="AI143" s="879"/>
      <c r="AJ143" s="879"/>
      <c r="AK143" s="879"/>
      <c r="AL143" s="879"/>
      <c r="AM143" s="879"/>
      <c r="AN143" s="879"/>
      <c r="AO143" s="879"/>
      <c r="AP143" s="879"/>
      <c r="AQ143" s="879"/>
      <c r="AR143" s="879"/>
      <c r="AS143" s="879"/>
      <c r="AT143" s="879"/>
      <c r="AU143" s="879"/>
      <c r="AV143" s="879"/>
      <c r="AW143" s="879"/>
      <c r="AX143" s="879"/>
      <c r="AY143" s="879"/>
      <c r="AZ143" s="879"/>
      <c r="BA143" s="879"/>
      <c r="BB143" s="879"/>
      <c r="BC143" s="879"/>
      <c r="BD143" s="879"/>
      <c r="BE143" s="879"/>
      <c r="BF143" s="879"/>
      <c r="BG143" s="879"/>
      <c r="BH143" s="879"/>
      <c r="BI143" s="879"/>
      <c r="BJ143" s="879"/>
      <c r="BK143" s="879"/>
      <c r="BL143" s="879"/>
      <c r="BM143" s="879"/>
      <c r="BN143" s="879"/>
      <c r="BO143" s="879"/>
      <c r="BP143" s="879"/>
      <c r="BQ143" s="879"/>
      <c r="BR143" s="879"/>
      <c r="BS143" s="879"/>
      <c r="BT143" s="879"/>
      <c r="BU143" s="879"/>
    </row>
    <row r="144" spans="1:73" x14ac:dyDescent="0.25">
      <c r="A144" s="879"/>
      <c r="B144" s="879"/>
      <c r="C144" s="903"/>
      <c r="D144" s="883"/>
      <c r="E144" s="896"/>
      <c r="F144" s="896"/>
      <c r="G144" s="896"/>
      <c r="H144" s="896"/>
      <c r="I144" s="896"/>
      <c r="J144" s="896"/>
      <c r="K144" s="896"/>
      <c r="L144" s="896"/>
      <c r="M144" s="896"/>
      <c r="N144" s="896"/>
      <c r="O144" s="896"/>
      <c r="P144" s="896"/>
      <c r="Q144" s="896"/>
      <c r="R144" s="896"/>
      <c r="S144" s="896"/>
      <c r="T144" s="879"/>
      <c r="U144" s="879"/>
      <c r="V144" s="879"/>
      <c r="W144" s="879"/>
      <c r="X144" s="879"/>
      <c r="Y144" s="879"/>
      <c r="Z144" s="879"/>
      <c r="AA144" s="879"/>
      <c r="AB144" s="879"/>
      <c r="AC144" s="879"/>
      <c r="AD144" s="879"/>
      <c r="AE144" s="879"/>
      <c r="AF144" s="879"/>
      <c r="AG144" s="879"/>
      <c r="AH144" s="879"/>
      <c r="AI144" s="879"/>
      <c r="AJ144" s="879"/>
      <c r="AK144" s="879"/>
      <c r="AL144" s="879"/>
      <c r="AM144" s="879"/>
      <c r="AN144" s="879"/>
      <c r="AO144" s="879"/>
      <c r="AP144" s="879"/>
      <c r="AQ144" s="879"/>
      <c r="AR144" s="879"/>
      <c r="AS144" s="879"/>
      <c r="AT144" s="879"/>
      <c r="AU144" s="879"/>
      <c r="AV144" s="879"/>
      <c r="AW144" s="879"/>
      <c r="AX144" s="879"/>
      <c r="AY144" s="879"/>
      <c r="AZ144" s="879"/>
      <c r="BA144" s="879"/>
      <c r="BB144" s="879"/>
      <c r="BC144" s="879"/>
      <c r="BD144" s="879"/>
      <c r="BE144" s="879"/>
      <c r="BF144" s="879"/>
      <c r="BG144" s="879"/>
      <c r="BH144" s="879"/>
      <c r="BI144" s="879"/>
      <c r="BJ144" s="879"/>
      <c r="BK144" s="879"/>
      <c r="BL144" s="879"/>
      <c r="BM144" s="879"/>
      <c r="BN144" s="879"/>
      <c r="BO144" s="879"/>
      <c r="BP144" s="879"/>
      <c r="BQ144" s="879"/>
      <c r="BR144" s="879"/>
      <c r="BS144" s="879"/>
      <c r="BT144" s="879"/>
      <c r="BU144" s="879"/>
    </row>
    <row r="145" spans="1:73" x14ac:dyDescent="0.25">
      <c r="A145" s="879"/>
      <c r="B145" s="879"/>
      <c r="C145" s="903">
        <v>7</v>
      </c>
      <c r="D145" s="883" t="str">
        <f t="shared" ref="D145:G145" ca="1" si="72">OFFSET(D$76,MATCH($C145,$N$101:$N$107,0)*3-2,0)</f>
        <v>Utilities Consumption (% of baseline) = 95%</v>
      </c>
      <c r="E145" s="896">
        <f t="shared" ca="1" si="72"/>
        <v>1.613041943883486</v>
      </c>
      <c r="F145" s="896">
        <f t="shared" ca="1" si="72"/>
        <v>0</v>
      </c>
      <c r="G145" s="896">
        <f t="shared" ca="1" si="72"/>
        <v>6.4102250076355253E-3</v>
      </c>
      <c r="H145" s="896"/>
      <c r="I145" s="896"/>
      <c r="J145" s="896"/>
      <c r="K145" s="896"/>
      <c r="L145" s="896"/>
      <c r="M145" s="896"/>
      <c r="N145" s="896"/>
      <c r="O145" s="896"/>
      <c r="P145" s="896"/>
      <c r="Q145" s="896"/>
      <c r="R145" s="896"/>
      <c r="S145" s="896"/>
      <c r="T145" s="879"/>
      <c r="U145" s="879"/>
      <c r="V145" s="879"/>
      <c r="W145" s="879"/>
      <c r="X145" s="879"/>
      <c r="Y145" s="879"/>
      <c r="Z145" s="879"/>
      <c r="AA145" s="879"/>
      <c r="AB145" s="879"/>
      <c r="AC145" s="879"/>
      <c r="AD145" s="879"/>
      <c r="AE145" s="879"/>
      <c r="AF145" s="879"/>
      <c r="AG145" s="879"/>
      <c r="AH145" s="879"/>
      <c r="AI145" s="879"/>
      <c r="AJ145" s="879"/>
      <c r="AK145" s="879"/>
      <c r="AL145" s="879"/>
      <c r="AM145" s="879"/>
      <c r="AN145" s="879"/>
      <c r="AO145" s="879"/>
      <c r="AP145" s="879"/>
      <c r="AQ145" s="879"/>
      <c r="AR145" s="879"/>
      <c r="AS145" s="879"/>
      <c r="AT145" s="879"/>
      <c r="AU145" s="879"/>
      <c r="AV145" s="879"/>
      <c r="AW145" s="879"/>
      <c r="AX145" s="879"/>
      <c r="AY145" s="879"/>
      <c r="AZ145" s="879"/>
      <c r="BA145" s="879"/>
      <c r="BB145" s="879"/>
      <c r="BC145" s="879"/>
      <c r="BD145" s="879"/>
      <c r="BE145" s="879"/>
      <c r="BF145" s="879"/>
      <c r="BG145" s="879"/>
      <c r="BH145" s="879"/>
      <c r="BI145" s="879"/>
      <c r="BJ145" s="879"/>
      <c r="BK145" s="879"/>
      <c r="BL145" s="879"/>
      <c r="BM145" s="879"/>
      <c r="BN145" s="879"/>
      <c r="BO145" s="879"/>
      <c r="BP145" s="879"/>
      <c r="BQ145" s="879"/>
      <c r="BR145" s="879"/>
      <c r="BS145" s="879"/>
      <c r="BT145" s="879"/>
      <c r="BU145" s="879"/>
    </row>
    <row r="146" spans="1:73" x14ac:dyDescent="0.25">
      <c r="A146" s="879"/>
      <c r="B146" s="879"/>
      <c r="C146" s="903"/>
      <c r="D146" s="883"/>
      <c r="E146" s="896"/>
      <c r="F146" s="896"/>
      <c r="G146" s="896"/>
      <c r="H146" s="896">
        <f t="shared" ref="H146:S146" ca="1" si="73">OFFSET(H$76,MATCH($C145,$N$101:$N$107,0)*3-2,0)</f>
        <v>0.11951113617208094</v>
      </c>
      <c r="I146" s="896">
        <f t="shared" ca="1" si="73"/>
        <v>3.0847670627014306E-2</v>
      </c>
      <c r="J146" s="896">
        <f t="shared" ca="1" si="73"/>
        <v>1.8331334564253857E-2</v>
      </c>
      <c r="K146" s="896">
        <f t="shared" ca="1" si="73"/>
        <v>0</v>
      </c>
      <c r="L146" s="896">
        <f t="shared" ca="1" si="73"/>
        <v>6.4102250076355253E-3</v>
      </c>
      <c r="M146" s="896">
        <f t="shared" ca="1" si="73"/>
        <v>0.16870131664336135</v>
      </c>
      <c r="N146" s="896">
        <f t="shared" ca="1" si="73"/>
        <v>1.1859544970057232</v>
      </c>
      <c r="O146" s="896">
        <f t="shared" ca="1" si="73"/>
        <v>0</v>
      </c>
      <c r="P146" s="896">
        <f t="shared" ca="1" si="73"/>
        <v>1.585391162923162E-2</v>
      </c>
      <c r="Q146" s="896">
        <f t="shared" ca="1" si="73"/>
        <v>6.2902365970455856E-2</v>
      </c>
      <c r="R146" s="896">
        <f t="shared" ca="1" si="73"/>
        <v>-1.545645433256042E-2</v>
      </c>
      <c r="S146" s="896">
        <f t="shared" ca="1" si="73"/>
        <v>2.6396165603925568E-2</v>
      </c>
      <c r="T146" s="879"/>
      <c r="U146" s="879"/>
      <c r="V146" s="879"/>
      <c r="W146" s="879"/>
      <c r="X146" s="879"/>
      <c r="Y146" s="879"/>
      <c r="Z146" s="879"/>
      <c r="AA146" s="879"/>
      <c r="AB146" s="879"/>
      <c r="AC146" s="879"/>
      <c r="AD146" s="879"/>
      <c r="AE146" s="879"/>
      <c r="AF146" s="879"/>
      <c r="AG146" s="879"/>
      <c r="AH146" s="879"/>
      <c r="AI146" s="879"/>
      <c r="AJ146" s="879"/>
      <c r="AK146" s="879"/>
      <c r="AL146" s="879"/>
      <c r="AM146" s="879"/>
      <c r="AN146" s="879"/>
      <c r="AO146" s="879"/>
      <c r="AP146" s="879"/>
      <c r="AQ146" s="879"/>
      <c r="AR146" s="879"/>
      <c r="AS146" s="879"/>
      <c r="AT146" s="879"/>
      <c r="AU146" s="879"/>
      <c r="AV146" s="879"/>
      <c r="AW146" s="879"/>
      <c r="AX146" s="879"/>
      <c r="AY146" s="879"/>
      <c r="AZ146" s="879"/>
      <c r="BA146" s="879"/>
      <c r="BB146" s="879"/>
      <c r="BC146" s="879"/>
      <c r="BD146" s="879"/>
      <c r="BE146" s="879"/>
      <c r="BF146" s="879"/>
      <c r="BG146" s="879"/>
      <c r="BH146" s="879"/>
      <c r="BI146" s="879"/>
      <c r="BJ146" s="879"/>
      <c r="BK146" s="879"/>
      <c r="BL146" s="879"/>
      <c r="BM146" s="879"/>
      <c r="BN146" s="879"/>
      <c r="BO146" s="879"/>
      <c r="BP146" s="879"/>
      <c r="BQ146" s="879"/>
      <c r="BR146" s="879"/>
      <c r="BS146" s="879"/>
      <c r="BT146" s="879"/>
      <c r="BU146" s="879"/>
    </row>
    <row r="147" spans="1:73" x14ac:dyDescent="0.25">
      <c r="A147" s="879"/>
      <c r="B147" s="879"/>
      <c r="C147" s="903">
        <v>7</v>
      </c>
      <c r="D147" s="883" t="str">
        <f t="shared" ref="D147:G147" ca="1" si="74">OFFSET(D$76,MATCH($C147,$N$101:$N$107,0)*3,0)</f>
        <v>Utilities Consumption (% of baseline) = 105%</v>
      </c>
      <c r="E147" s="896">
        <f t="shared" ca="1" si="74"/>
        <v>1.613041943883486</v>
      </c>
      <c r="F147" s="896">
        <f t="shared" ca="1" si="74"/>
        <v>0</v>
      </c>
      <c r="G147" s="896">
        <f t="shared" ca="1" si="74"/>
        <v>6.4102250076355253E-3</v>
      </c>
      <c r="H147" s="896"/>
      <c r="I147" s="896"/>
      <c r="J147" s="896"/>
      <c r="K147" s="896"/>
      <c r="L147" s="896"/>
      <c r="M147" s="896"/>
      <c r="N147" s="896"/>
      <c r="O147" s="896"/>
      <c r="P147" s="896"/>
      <c r="Q147" s="896"/>
      <c r="R147" s="896"/>
      <c r="S147" s="896"/>
      <c r="T147" s="879"/>
      <c r="U147" s="879"/>
      <c r="V147" s="879"/>
      <c r="W147" s="879"/>
      <c r="X147" s="879"/>
      <c r="Y147" s="879"/>
      <c r="Z147" s="879"/>
      <c r="AA147" s="879"/>
      <c r="AB147" s="879"/>
      <c r="AC147" s="879"/>
      <c r="AD147" s="879"/>
      <c r="AE147" s="879"/>
      <c r="AF147" s="879"/>
      <c r="AG147" s="879"/>
      <c r="AH147" s="879"/>
      <c r="AI147" s="879"/>
      <c r="AJ147" s="879"/>
      <c r="AK147" s="879"/>
      <c r="AL147" s="879"/>
      <c r="AM147" s="879"/>
      <c r="AN147" s="879"/>
      <c r="AO147" s="879"/>
      <c r="AP147" s="879"/>
      <c r="AQ147" s="879"/>
      <c r="AR147" s="879"/>
      <c r="AS147" s="879"/>
      <c r="AT147" s="879"/>
      <c r="AU147" s="879"/>
      <c r="AV147" s="879"/>
      <c r="AW147" s="879"/>
      <c r="AX147" s="879"/>
      <c r="AY147" s="879"/>
      <c r="AZ147" s="879"/>
      <c r="BA147" s="879"/>
      <c r="BB147" s="879"/>
      <c r="BC147" s="879"/>
      <c r="BD147" s="879"/>
      <c r="BE147" s="879"/>
      <c r="BF147" s="879"/>
      <c r="BG147" s="879"/>
      <c r="BH147" s="879"/>
      <c r="BI147" s="879"/>
      <c r="BJ147" s="879"/>
      <c r="BK147" s="879"/>
      <c r="BL147" s="879"/>
      <c r="BM147" s="879"/>
      <c r="BN147" s="879"/>
      <c r="BO147" s="879"/>
      <c r="BP147" s="879"/>
      <c r="BQ147" s="879"/>
      <c r="BR147" s="879"/>
      <c r="BS147" s="879"/>
      <c r="BT147" s="879"/>
      <c r="BU147" s="879"/>
    </row>
    <row r="148" spans="1:73" x14ac:dyDescent="0.25">
      <c r="A148" s="879"/>
      <c r="B148" s="879"/>
      <c r="C148" s="883"/>
      <c r="D148" s="883"/>
      <c r="E148" s="883"/>
      <c r="F148" s="883"/>
      <c r="G148" s="883"/>
      <c r="H148" s="896">
        <f t="shared" ref="H148:S148" ca="1" si="75">OFFSET(H$76,MATCH($C147,$N$101:$N$107,0)*3,0)</f>
        <v>0.11951113617208094</v>
      </c>
      <c r="I148" s="896">
        <f t="shared" ca="1" si="75"/>
        <v>3.0847670627014306E-2</v>
      </c>
      <c r="J148" s="896">
        <f t="shared" ca="1" si="75"/>
        <v>1.8331334564253857E-2</v>
      </c>
      <c r="K148" s="896">
        <f t="shared" ca="1" si="75"/>
        <v>0</v>
      </c>
      <c r="L148" s="896">
        <f t="shared" ca="1" si="75"/>
        <v>6.4102250076355253E-3</v>
      </c>
      <c r="M148" s="896">
        <f t="shared" ca="1" si="75"/>
        <v>0.16870131664336135</v>
      </c>
      <c r="N148" s="896">
        <f t="shared" ca="1" si="75"/>
        <v>1.1859544970057232</v>
      </c>
      <c r="O148" s="896">
        <f t="shared" ca="1" si="75"/>
        <v>0</v>
      </c>
      <c r="P148" s="896">
        <f t="shared" ca="1" si="75"/>
        <v>1.585391162923162E-2</v>
      </c>
      <c r="Q148" s="896">
        <f t="shared" ca="1" si="75"/>
        <v>6.2902365970455856E-2</v>
      </c>
      <c r="R148" s="896">
        <f t="shared" ca="1" si="75"/>
        <v>-1.545645433256042E-2</v>
      </c>
      <c r="S148" s="896">
        <f t="shared" ca="1" si="75"/>
        <v>2.6396165603925568E-2</v>
      </c>
      <c r="T148" s="879"/>
      <c r="U148" s="879"/>
      <c r="V148" s="879"/>
      <c r="W148" s="879"/>
      <c r="X148" s="879"/>
      <c r="Y148" s="879"/>
      <c r="Z148" s="879"/>
      <c r="AA148" s="879"/>
      <c r="AB148" s="879"/>
      <c r="AC148" s="879"/>
      <c r="AD148" s="879"/>
      <c r="AE148" s="879"/>
      <c r="AF148" s="879"/>
      <c r="AG148" s="879"/>
      <c r="AH148" s="879"/>
      <c r="AI148" s="879"/>
      <c r="AJ148" s="879"/>
      <c r="AK148" s="879"/>
      <c r="AL148" s="879"/>
      <c r="AM148" s="879"/>
      <c r="AN148" s="879"/>
      <c r="AO148" s="879"/>
      <c r="AP148" s="879"/>
      <c r="AQ148" s="879"/>
      <c r="AR148" s="879"/>
      <c r="AS148" s="879"/>
      <c r="AT148" s="879"/>
      <c r="AU148" s="879"/>
      <c r="AV148" s="879"/>
      <c r="AW148" s="879"/>
      <c r="AX148" s="879"/>
      <c r="AY148" s="879"/>
      <c r="AZ148" s="879"/>
      <c r="BA148" s="879"/>
      <c r="BB148" s="879"/>
      <c r="BC148" s="879"/>
      <c r="BD148" s="879"/>
      <c r="BE148" s="879"/>
      <c r="BF148" s="879"/>
      <c r="BG148" s="879"/>
      <c r="BH148" s="879"/>
      <c r="BI148" s="879"/>
      <c r="BJ148" s="879"/>
      <c r="BK148" s="879"/>
      <c r="BL148" s="879"/>
      <c r="BM148" s="879"/>
      <c r="BN148" s="879"/>
      <c r="BO148" s="879"/>
      <c r="BP148" s="879"/>
      <c r="BQ148" s="879"/>
      <c r="BR148" s="879"/>
      <c r="BS148" s="879"/>
      <c r="BT148" s="879"/>
      <c r="BU148" s="879"/>
    </row>
    <row r="149" spans="1:73" x14ac:dyDescent="0.25">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c r="X149" s="879"/>
      <c r="Y149" s="879"/>
      <c r="Z149" s="879"/>
      <c r="AA149" s="879"/>
      <c r="AB149" s="879"/>
      <c r="AC149" s="879"/>
      <c r="AD149" s="879"/>
      <c r="AE149" s="879"/>
      <c r="AF149" s="879"/>
      <c r="AG149" s="879"/>
      <c r="AH149" s="879"/>
      <c r="AI149" s="879"/>
      <c r="AJ149" s="879"/>
      <c r="AK149" s="879"/>
      <c r="AL149" s="879"/>
      <c r="AM149" s="879"/>
      <c r="AN149" s="879"/>
      <c r="AO149" s="879"/>
      <c r="AP149" s="879"/>
      <c r="AQ149" s="879"/>
      <c r="AR149" s="879"/>
      <c r="AS149" s="879"/>
      <c r="AT149" s="879"/>
      <c r="AU149" s="879"/>
      <c r="AV149" s="879"/>
      <c r="AW149" s="879"/>
      <c r="AX149" s="879"/>
      <c r="AY149" s="879"/>
      <c r="AZ149" s="879"/>
      <c r="BA149" s="879"/>
      <c r="BB149" s="879"/>
      <c r="BC149" s="879"/>
      <c r="BD149" s="879"/>
      <c r="BE149" s="879"/>
      <c r="BF149" s="879"/>
      <c r="BG149" s="879"/>
      <c r="BH149" s="879"/>
      <c r="BI149" s="879"/>
      <c r="BJ149" s="879"/>
      <c r="BK149" s="879"/>
      <c r="BL149" s="879"/>
      <c r="BM149" s="879"/>
      <c r="BN149" s="879"/>
      <c r="BO149" s="879"/>
      <c r="BP149" s="879"/>
      <c r="BQ149" s="879"/>
      <c r="BR149" s="879"/>
      <c r="BS149" s="879"/>
      <c r="BT149" s="879"/>
      <c r="BU149" s="879"/>
    </row>
    <row r="150" spans="1:73" x14ac:dyDescent="0.25">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c r="X150" s="879"/>
      <c r="Y150" s="879"/>
      <c r="Z150" s="879"/>
      <c r="AA150" s="879"/>
      <c r="AB150" s="879"/>
      <c r="AC150" s="879"/>
      <c r="AD150" s="879"/>
      <c r="AE150" s="879"/>
      <c r="AF150" s="879"/>
      <c r="AG150" s="879"/>
      <c r="AH150" s="879"/>
      <c r="AI150" s="879"/>
      <c r="AJ150" s="879"/>
      <c r="AK150" s="879"/>
      <c r="AL150" s="879"/>
      <c r="AM150" s="879"/>
      <c r="AN150" s="879"/>
      <c r="AO150" s="879"/>
      <c r="AP150" s="879"/>
      <c r="AQ150" s="879"/>
      <c r="AR150" s="879"/>
      <c r="AS150" s="879"/>
      <c r="AT150" s="879"/>
      <c r="AU150" s="879"/>
      <c r="AV150" s="879"/>
      <c r="AW150" s="879"/>
      <c r="AX150" s="879"/>
      <c r="AY150" s="879"/>
      <c r="AZ150" s="879"/>
      <c r="BA150" s="879"/>
      <c r="BB150" s="879"/>
      <c r="BC150" s="879"/>
      <c r="BD150" s="879"/>
      <c r="BE150" s="879"/>
      <c r="BF150" s="879"/>
      <c r="BG150" s="879"/>
      <c r="BH150" s="879"/>
      <c r="BI150" s="879"/>
      <c r="BJ150" s="879"/>
      <c r="BK150" s="879"/>
      <c r="BL150" s="879"/>
      <c r="BM150" s="879"/>
      <c r="BN150" s="879"/>
      <c r="BO150" s="879"/>
      <c r="BP150" s="879"/>
      <c r="BQ150" s="879"/>
      <c r="BR150" s="879"/>
      <c r="BS150" s="879"/>
      <c r="BT150" s="879"/>
      <c r="BU150" s="879"/>
    </row>
    <row r="151" spans="1:73" x14ac:dyDescent="0.25">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c r="X151" s="879"/>
      <c r="Y151" s="879"/>
      <c r="Z151" s="879"/>
      <c r="AA151" s="879"/>
      <c r="AB151" s="879"/>
      <c r="AC151" s="879"/>
      <c r="AD151" s="879"/>
      <c r="AE151" s="879"/>
      <c r="AF151" s="879"/>
      <c r="AG151" s="879"/>
      <c r="AH151" s="879"/>
      <c r="AI151" s="879"/>
      <c r="AJ151" s="879"/>
      <c r="AK151" s="879"/>
      <c r="AL151" s="879"/>
      <c r="AM151" s="879"/>
      <c r="AN151" s="879"/>
      <c r="AO151" s="879"/>
      <c r="AP151" s="879"/>
      <c r="AQ151" s="879"/>
      <c r="AR151" s="879"/>
      <c r="AS151" s="879"/>
    </row>
    <row r="152" spans="1:73" x14ac:dyDescent="0.25">
      <c r="A152" s="879"/>
      <c r="B152" s="881" t="s">
        <v>1142</v>
      </c>
      <c r="C152" s="879"/>
      <c r="D152" s="879"/>
      <c r="E152" s="879"/>
      <c r="F152" s="879"/>
      <c r="G152" s="879"/>
      <c r="H152" s="879"/>
      <c r="I152" s="879"/>
      <c r="J152" s="879"/>
      <c r="K152" s="879"/>
      <c r="L152" s="879"/>
      <c r="M152" s="879"/>
      <c r="N152" s="879"/>
      <c r="O152" s="879"/>
      <c r="P152" s="879"/>
      <c r="Q152" s="879"/>
      <c r="R152" s="879"/>
      <c r="S152" s="879"/>
      <c r="T152" s="879"/>
      <c r="U152" s="879"/>
      <c r="V152" s="879"/>
      <c r="W152" s="879"/>
      <c r="X152" s="879"/>
      <c r="Y152" s="879"/>
      <c r="Z152" s="879"/>
      <c r="AA152" s="879"/>
      <c r="AB152" s="879"/>
      <c r="AC152" s="879"/>
      <c r="AD152" s="879"/>
      <c r="AE152" s="879"/>
      <c r="AF152" s="879"/>
      <c r="AG152" s="879"/>
      <c r="AH152" s="879"/>
      <c r="AI152" s="879"/>
      <c r="AJ152" s="879"/>
      <c r="AK152" s="879"/>
      <c r="AL152" s="879"/>
      <c r="AM152" s="879"/>
      <c r="AN152" s="879"/>
      <c r="AO152" s="879"/>
      <c r="AP152" s="879"/>
      <c r="AQ152" s="879"/>
      <c r="AR152" s="879"/>
      <c r="AS152" s="879"/>
    </row>
    <row r="153" spans="1:73" x14ac:dyDescent="0.25">
      <c r="A153" s="879"/>
      <c r="B153" s="879"/>
      <c r="C153" s="879"/>
      <c r="D153" s="890" t="s">
        <v>1146</v>
      </c>
      <c r="E153" s="890"/>
      <c r="F153" s="890"/>
      <c r="G153" s="890"/>
      <c r="H153" s="890"/>
      <c r="I153" s="890"/>
      <c r="J153" s="879"/>
      <c r="K153" s="879"/>
      <c r="L153" s="879"/>
      <c r="M153" s="879"/>
      <c r="N153" s="879"/>
      <c r="O153" s="879"/>
      <c r="P153" s="879"/>
      <c r="Q153" s="879"/>
      <c r="R153" s="879"/>
      <c r="S153" s="879"/>
      <c r="T153" s="879"/>
      <c r="U153" s="879"/>
      <c r="V153" s="879"/>
      <c r="W153" s="879"/>
      <c r="X153" s="879"/>
      <c r="Y153" s="879"/>
      <c r="Z153" s="879"/>
      <c r="AA153" s="879"/>
      <c r="AB153" s="879"/>
      <c r="AC153" s="879"/>
      <c r="AD153" s="879"/>
      <c r="AE153" s="879"/>
      <c r="AF153" s="879"/>
      <c r="AG153" s="879"/>
      <c r="AH153" s="879"/>
      <c r="AI153" s="879"/>
      <c r="AJ153" s="879"/>
      <c r="AK153" s="879"/>
      <c r="AL153" s="879"/>
      <c r="AM153" s="879"/>
      <c r="AN153" s="879"/>
      <c r="AO153" s="879"/>
      <c r="AP153" s="879"/>
      <c r="AQ153" s="879"/>
      <c r="AR153" s="879"/>
      <c r="AS153" s="879"/>
    </row>
    <row r="154" spans="1:73" ht="26.4" x14ac:dyDescent="0.25">
      <c r="A154" s="879"/>
      <c r="B154" s="881"/>
      <c r="C154" s="879"/>
      <c r="D154" s="890" t="s">
        <v>1145</v>
      </c>
      <c r="E154" s="890" t="s">
        <v>1151</v>
      </c>
      <c r="F154" s="890" t="s">
        <v>1147</v>
      </c>
      <c r="G154" s="890" t="s">
        <v>1148</v>
      </c>
      <c r="H154" s="890" t="s">
        <v>1149</v>
      </c>
      <c r="I154" s="890" t="s">
        <v>1150</v>
      </c>
      <c r="J154" s="879"/>
      <c r="K154" s="890" t="s">
        <v>1180</v>
      </c>
      <c r="L154" s="890" t="s">
        <v>1178</v>
      </c>
      <c r="M154" s="890" t="s">
        <v>1179</v>
      </c>
      <c r="N154" s="890" t="s">
        <v>1181</v>
      </c>
      <c r="O154" s="879"/>
      <c r="P154" s="879"/>
      <c r="Q154" s="879"/>
      <c r="R154" s="879"/>
      <c r="S154" s="879"/>
      <c r="T154" s="879"/>
      <c r="U154" s="879"/>
      <c r="V154" s="879"/>
      <c r="W154" s="879"/>
      <c r="X154" s="879"/>
      <c r="Y154" s="879"/>
      <c r="Z154" s="879"/>
      <c r="AA154" s="879"/>
      <c r="AB154" s="879"/>
      <c r="AC154" s="879"/>
      <c r="AD154" s="879"/>
      <c r="AE154" s="879"/>
      <c r="AF154" s="879"/>
      <c r="AG154" s="879"/>
      <c r="AH154" s="879"/>
      <c r="AI154" s="879"/>
      <c r="AJ154" s="879"/>
      <c r="AK154" s="879"/>
      <c r="AL154" s="879"/>
      <c r="AM154" s="879"/>
      <c r="AN154" s="879"/>
      <c r="AO154" s="879"/>
      <c r="AP154" s="879"/>
      <c r="AQ154" s="879"/>
      <c r="AR154" s="879"/>
      <c r="AS154" s="879"/>
    </row>
    <row r="155" spans="1:73" x14ac:dyDescent="0.25">
      <c r="A155" s="879"/>
      <c r="B155" s="881" t="s">
        <v>1144</v>
      </c>
      <c r="C155" s="879">
        <v>1</v>
      </c>
      <c r="D155" s="882" t="s">
        <v>1159</v>
      </c>
      <c r="E155" s="896">
        <f ca="1">+K48+C155/10000000000</f>
        <v>1.613041943983486</v>
      </c>
      <c r="F155" s="883">
        <f ca="1">+RANK(E155,$E$155:$E$157)</f>
        <v>1</v>
      </c>
      <c r="G155" s="888">
        <v>1</v>
      </c>
      <c r="H155" s="883" t="str">
        <f ca="1">OFFSET($D$154,MATCH($G155,$F$155:$F$157,0),0)</f>
        <v>Cost of Hydrogen</v>
      </c>
      <c r="I155" s="898">
        <f ca="1">OFFSET($E$154,MATCH($G155,$F$155:$F$157,0),0)-OFFSET($C$154,MATCH($G155,$F$155:$F$157,0),0)/10000000000</f>
        <v>1.613041943883486</v>
      </c>
      <c r="J155" s="879"/>
      <c r="K155" s="883" t="str">
        <f ca="1">+H155</f>
        <v>Cost of Hydrogen</v>
      </c>
      <c r="L155" s="896">
        <f ca="1">+I155</f>
        <v>1.613041943883486</v>
      </c>
      <c r="M155" s="883"/>
      <c r="N155" s="883" t="str">
        <f ca="1">+IF(L155&gt;0,K155,"")</f>
        <v>Cost of Hydrogen</v>
      </c>
      <c r="O155" s="879"/>
      <c r="P155" s="879"/>
      <c r="Q155" s="879"/>
      <c r="R155" s="879"/>
      <c r="S155" s="879"/>
      <c r="T155" s="879"/>
      <c r="U155" s="879"/>
      <c r="V155" s="879"/>
      <c r="W155" s="879"/>
      <c r="X155" s="879"/>
      <c r="Y155" s="879"/>
      <c r="Z155" s="879"/>
      <c r="AA155" s="879"/>
      <c r="AB155" s="879"/>
      <c r="AC155" s="879"/>
      <c r="AD155" s="879"/>
      <c r="AE155" s="879"/>
      <c r="AF155" s="879"/>
      <c r="AG155" s="879"/>
      <c r="AH155" s="879"/>
      <c r="AI155" s="879"/>
      <c r="AJ155" s="879"/>
    </row>
    <row r="156" spans="1:73" x14ac:dyDescent="0.25">
      <c r="A156" s="879"/>
      <c r="B156" s="881"/>
      <c r="C156" s="879">
        <v>2</v>
      </c>
      <c r="D156" s="883" t="str">
        <f>+F110</f>
        <v>Byproduct Sales</v>
      </c>
      <c r="E156" s="896">
        <f ca="1">+L48+C156/10000000000</f>
        <v>2.0000000000000001E-10</v>
      </c>
      <c r="F156" s="883">
        <f ca="1">+RANK(E156,$E$155:$E$157)</f>
        <v>3</v>
      </c>
      <c r="G156" s="888">
        <v>2</v>
      </c>
      <c r="H156" s="883" t="str">
        <f ca="1">OFFSET($D$154,MATCH($G156,$F$155:$F$157,0),0)</f>
        <v>Salvage Value</v>
      </c>
      <c r="I156" s="898">
        <f ca="1">OFFSET($E$154,MATCH($G156,$F$155:$F$157,0),0)-OFFSET($C$154,MATCH($G156,$F$155:$F$157,0),0)/10000000000</f>
        <v>6.4102250076355253E-3</v>
      </c>
      <c r="J156" s="879"/>
      <c r="K156" s="883" t="str">
        <f t="shared" ref="K156:K170" ca="1" si="76">+H156</f>
        <v>Salvage Value</v>
      </c>
      <c r="L156" s="896">
        <f t="shared" ref="L156:L157" ca="1" si="77">+I156</f>
        <v>6.4102250076355253E-3</v>
      </c>
      <c r="M156" s="883"/>
      <c r="N156" s="883" t="str">
        <f t="shared" ref="N156:N157" ca="1" si="78">+IF(L156&gt;0,K156,"")</f>
        <v>Salvage Value</v>
      </c>
      <c r="O156" s="879"/>
      <c r="P156" s="879"/>
      <c r="Q156" s="879"/>
      <c r="R156" s="879"/>
      <c r="S156" s="879"/>
      <c r="T156" s="879"/>
      <c r="U156" s="879"/>
      <c r="V156" s="879"/>
      <c r="W156" s="879"/>
      <c r="X156" s="879"/>
      <c r="Y156" s="879"/>
      <c r="Z156" s="879"/>
      <c r="AA156" s="879"/>
      <c r="AB156" s="879"/>
      <c r="AC156" s="879"/>
      <c r="AD156" s="879"/>
      <c r="AE156" s="879"/>
      <c r="AF156" s="879"/>
      <c r="AG156" s="879"/>
      <c r="AH156" s="879"/>
      <c r="AI156" s="879"/>
      <c r="AJ156" s="879"/>
    </row>
    <row r="157" spans="1:73" x14ac:dyDescent="0.25">
      <c r="A157" s="879"/>
      <c r="B157" s="881"/>
      <c r="C157" s="879">
        <v>3</v>
      </c>
      <c r="D157" s="883" t="str">
        <f>+G110</f>
        <v>Salvage Value</v>
      </c>
      <c r="E157" s="896">
        <f ca="1">+M48+C157/10000000000</f>
        <v>6.410225307635525E-3</v>
      </c>
      <c r="F157" s="883">
        <f ca="1">+RANK(E157,$E$155:$E$157)</f>
        <v>2</v>
      </c>
      <c r="G157" s="888">
        <v>3</v>
      </c>
      <c r="H157" s="883" t="str">
        <f ca="1">OFFSET($D$154,MATCH($G157,$F$155:$F$157,0),0)</f>
        <v>Byproduct Sales</v>
      </c>
      <c r="I157" s="898">
        <f ca="1">OFFSET($E$154,MATCH($G157,$F$155:$F$157,0),0)-OFFSET($C$154,MATCH($G157,$F$155:$F$157,0),0)/10000000000</f>
        <v>0</v>
      </c>
      <c r="J157" s="879"/>
      <c r="K157" s="883" t="str">
        <f t="shared" ca="1" si="76"/>
        <v>Byproduct Sales</v>
      </c>
      <c r="L157" s="896">
        <f t="shared" ca="1" si="77"/>
        <v>0</v>
      </c>
      <c r="M157" s="883"/>
      <c r="N157" s="883" t="str">
        <f t="shared" ca="1" si="78"/>
        <v/>
      </c>
      <c r="O157" s="879"/>
      <c r="P157" s="879"/>
      <c r="Q157" s="879"/>
      <c r="R157" s="879"/>
      <c r="S157" s="879"/>
      <c r="T157" s="879"/>
      <c r="U157" s="879"/>
      <c r="V157" s="879"/>
      <c r="W157" s="879"/>
      <c r="X157" s="879"/>
      <c r="Y157" s="879"/>
      <c r="Z157" s="879"/>
      <c r="AA157" s="879"/>
      <c r="AB157" s="879"/>
      <c r="AC157" s="879"/>
      <c r="AD157" s="879"/>
      <c r="AE157" s="879"/>
      <c r="AF157" s="879"/>
      <c r="AG157" s="879"/>
      <c r="AH157" s="879"/>
      <c r="AI157" s="879"/>
      <c r="AJ157" s="879"/>
    </row>
    <row r="158" spans="1:73" x14ac:dyDescent="0.25">
      <c r="A158" s="879"/>
      <c r="B158" s="881"/>
      <c r="C158" s="879"/>
      <c r="D158" s="881"/>
      <c r="E158" s="881"/>
      <c r="F158" s="881"/>
      <c r="G158" s="881"/>
      <c r="H158" s="881"/>
      <c r="I158" s="909"/>
      <c r="J158" s="879"/>
      <c r="K158" s="883"/>
      <c r="L158" s="883"/>
      <c r="M158" s="896"/>
      <c r="N158" s="883" t="str">
        <f t="shared" ref="N158" si="79">+IF(L158&gt;0.01,K158,"")</f>
        <v/>
      </c>
      <c r="O158" s="879"/>
      <c r="P158" s="879"/>
      <c r="Q158" s="879"/>
      <c r="R158" s="879"/>
      <c r="S158" s="879"/>
      <c r="T158" s="879"/>
      <c r="U158" s="879"/>
      <c r="V158" s="879"/>
      <c r="W158" s="879"/>
      <c r="X158" s="879"/>
      <c r="Y158" s="879"/>
      <c r="Z158" s="879"/>
      <c r="AA158" s="879"/>
      <c r="AB158" s="879"/>
      <c r="AC158" s="879"/>
      <c r="AD158" s="879"/>
      <c r="AE158" s="879"/>
      <c r="AF158" s="879"/>
      <c r="AG158" s="879"/>
      <c r="AH158" s="879"/>
      <c r="AI158" s="879"/>
      <c r="AJ158" s="879"/>
    </row>
    <row r="159" spans="1:73" x14ac:dyDescent="0.25">
      <c r="A159" s="879"/>
      <c r="B159" s="881" t="s">
        <v>1143</v>
      </c>
      <c r="C159" s="879">
        <v>1</v>
      </c>
      <c r="D159" s="883" t="str">
        <f>+H110</f>
        <v>Initial Equity Depreciable Capital</v>
      </c>
      <c r="E159" s="896">
        <f ca="1">+N48+C159/10000000000</f>
        <v>0.11951113627208093</v>
      </c>
      <c r="F159" s="883">
        <f t="shared" ref="F159:F170" ca="1" si="80">+RANK(E159,$E$159:$E$170)</f>
        <v>3</v>
      </c>
      <c r="G159" s="888">
        <v>1</v>
      </c>
      <c r="H159" s="883" t="str">
        <f t="shared" ref="H159:H170" ca="1" si="81">OFFSET($D$158,MATCH($G159,$F$159:$F$170,0),0)</f>
        <v>Feedstock Cost</v>
      </c>
      <c r="I159" s="898">
        <f t="shared" ref="I159:I170" ca="1" si="82">OFFSET($E$158,MATCH($G159,$F$159:$F$170,0),0)-OFFSET($C$158,MATCH($G159,$F$159:$F$170,0),0)/10000000000</f>
        <v>1.1859544970057232</v>
      </c>
      <c r="J159" s="879"/>
      <c r="K159" s="883" t="str">
        <f t="shared" ca="1" si="76"/>
        <v>Feedstock Cost</v>
      </c>
      <c r="L159" s="883"/>
      <c r="M159" s="896">
        <f ca="1">+I159</f>
        <v>1.1859544970057232</v>
      </c>
      <c r="N159" s="883" t="str">
        <f ca="1">+IF(M159&gt;0,K159,"")</f>
        <v>Feedstock Cost</v>
      </c>
      <c r="O159" s="879"/>
      <c r="P159" s="879"/>
      <c r="Q159" s="879"/>
      <c r="R159" s="879"/>
      <c r="S159" s="879"/>
      <c r="T159" s="879"/>
      <c r="U159" s="879"/>
      <c r="V159" s="879"/>
      <c r="W159" s="879"/>
      <c r="X159" s="879"/>
      <c r="Y159" s="879"/>
      <c r="Z159" s="879"/>
      <c r="AA159" s="879"/>
      <c r="AB159" s="879"/>
      <c r="AC159" s="879"/>
      <c r="AD159" s="879"/>
      <c r="AE159" s="879"/>
      <c r="AF159" s="879"/>
      <c r="AG159" s="879"/>
      <c r="AH159" s="879"/>
      <c r="AI159" s="879"/>
      <c r="AJ159" s="879"/>
    </row>
    <row r="160" spans="1:73" x14ac:dyDescent="0.25">
      <c r="A160" s="879"/>
      <c r="B160" s="879"/>
      <c r="C160" s="879">
        <f>+C159+1</f>
        <v>2</v>
      </c>
      <c r="D160" s="883" t="str">
        <f>+I110</f>
        <v>Yearly Replacement Costs</v>
      </c>
      <c r="E160" s="896">
        <f ca="1">+O48+C160/10000000000</f>
        <v>3.0847670827014305E-2</v>
      </c>
      <c r="F160" s="883">
        <f t="shared" ca="1" si="80"/>
        <v>5</v>
      </c>
      <c r="G160" s="888">
        <v>2</v>
      </c>
      <c r="H160" s="883" t="str">
        <f t="shared" ca="1" si="81"/>
        <v>Fixed Operating Cost</v>
      </c>
      <c r="I160" s="898">
        <f t="shared" ca="1" si="82"/>
        <v>0.16870131664336135</v>
      </c>
      <c r="J160" s="879"/>
      <c r="K160" s="883" t="str">
        <f t="shared" ca="1" si="76"/>
        <v>Fixed Operating Cost</v>
      </c>
      <c r="L160" s="883"/>
      <c r="M160" s="896">
        <f t="shared" ref="M160:M170" ca="1" si="83">+I160</f>
        <v>0.16870131664336135</v>
      </c>
      <c r="N160" s="883" t="str">
        <f t="shared" ref="N160:N170" ca="1" si="84">+IF(M160&gt;0,K160,"")</f>
        <v>Fixed Operating Cost</v>
      </c>
      <c r="O160" s="879"/>
      <c r="P160" s="879"/>
      <c r="Q160" s="879"/>
      <c r="R160" s="879"/>
      <c r="S160" s="879"/>
      <c r="T160" s="879"/>
      <c r="U160" s="879"/>
      <c r="V160" s="879"/>
      <c r="W160" s="879"/>
      <c r="X160" s="879"/>
      <c r="Y160" s="879"/>
      <c r="Z160" s="879"/>
      <c r="AA160" s="879"/>
      <c r="AB160" s="879"/>
      <c r="AC160" s="879"/>
      <c r="AD160" s="879"/>
      <c r="AE160" s="879"/>
      <c r="AF160" s="879"/>
      <c r="AG160" s="879"/>
      <c r="AH160" s="879"/>
      <c r="AI160" s="879"/>
      <c r="AJ160" s="879"/>
    </row>
    <row r="161" spans="1:36" x14ac:dyDescent="0.25">
      <c r="A161" s="879"/>
      <c r="B161" s="879"/>
      <c r="C161" s="879">
        <f t="shared" ref="C161:C170" si="85">+C160+1</f>
        <v>3</v>
      </c>
      <c r="D161" s="883" t="str">
        <f>+J110</f>
        <v>Cash for Working Capital Reserve</v>
      </c>
      <c r="E161" s="896">
        <f ca="1">+P48+C161/10000000000</f>
        <v>1.8331334864253857E-2</v>
      </c>
      <c r="F161" s="883">
        <f t="shared" ca="1" si="80"/>
        <v>7</v>
      </c>
      <c r="G161" s="888">
        <v>3</v>
      </c>
      <c r="H161" s="883" t="str">
        <f t="shared" ca="1" si="81"/>
        <v>Initial Equity Depreciable Capital</v>
      </c>
      <c r="I161" s="898">
        <f t="shared" ca="1" si="82"/>
        <v>0.11951113617208094</v>
      </c>
      <c r="J161" s="879"/>
      <c r="K161" s="883" t="str">
        <f t="shared" ca="1" si="76"/>
        <v>Initial Equity Depreciable Capital</v>
      </c>
      <c r="L161" s="883"/>
      <c r="M161" s="896">
        <f t="shared" ca="1" si="83"/>
        <v>0.11951113617208094</v>
      </c>
      <c r="N161" s="883" t="str">
        <f t="shared" ca="1" si="84"/>
        <v>Initial Equity Depreciable Capital</v>
      </c>
      <c r="O161" s="879"/>
      <c r="P161" s="879"/>
      <c r="Q161" s="879"/>
      <c r="R161" s="879"/>
      <c r="S161" s="879"/>
      <c r="T161" s="879"/>
      <c r="U161" s="879"/>
      <c r="V161" s="879"/>
      <c r="W161" s="879"/>
      <c r="X161" s="879"/>
      <c r="Y161" s="879"/>
      <c r="Z161" s="879"/>
      <c r="AA161" s="879"/>
      <c r="AB161" s="879"/>
      <c r="AC161" s="879"/>
      <c r="AD161" s="879"/>
      <c r="AE161" s="879"/>
      <c r="AF161" s="879"/>
      <c r="AG161" s="879"/>
      <c r="AH161" s="879"/>
      <c r="AI161" s="879"/>
      <c r="AJ161" s="879"/>
    </row>
    <row r="162" spans="1:36" x14ac:dyDescent="0.25">
      <c r="A162" s="879"/>
      <c r="B162" s="879"/>
      <c r="C162" s="879">
        <f t="shared" si="85"/>
        <v>4</v>
      </c>
      <c r="D162" s="883" t="str">
        <f>+K110</f>
        <v>Other Non-Depreciable Capital Costs</v>
      </c>
      <c r="E162" s="896">
        <f ca="1">+Q48+C162/10000000000</f>
        <v>4.0000000000000001E-10</v>
      </c>
      <c r="F162" s="883">
        <f t="shared" ca="1" si="80"/>
        <v>11</v>
      </c>
      <c r="G162" s="888">
        <v>4</v>
      </c>
      <c r="H162" s="883" t="str">
        <f t="shared" ca="1" si="81"/>
        <v>Debt Interest</v>
      </c>
      <c r="I162" s="898">
        <f t="shared" ca="1" si="82"/>
        <v>6.2902365970455856E-2</v>
      </c>
      <c r="J162" s="879"/>
      <c r="K162" s="883" t="str">
        <f t="shared" ca="1" si="76"/>
        <v>Debt Interest</v>
      </c>
      <c r="L162" s="883"/>
      <c r="M162" s="896">
        <f t="shared" ca="1" si="83"/>
        <v>6.2902365970455856E-2</v>
      </c>
      <c r="N162" s="883" t="str">
        <f t="shared" ca="1" si="84"/>
        <v>Debt Interest</v>
      </c>
      <c r="O162" s="879"/>
      <c r="P162" s="879"/>
      <c r="Q162" s="879"/>
      <c r="R162" s="879"/>
      <c r="S162" s="879"/>
      <c r="T162" s="879"/>
      <c r="U162" s="879"/>
      <c r="V162" s="879"/>
      <c r="W162" s="879"/>
      <c r="X162" s="879"/>
      <c r="Y162" s="879"/>
      <c r="Z162" s="879"/>
      <c r="AA162" s="879"/>
      <c r="AB162" s="879"/>
      <c r="AC162" s="879"/>
      <c r="AD162" s="879"/>
      <c r="AE162" s="879"/>
      <c r="AF162" s="879"/>
      <c r="AG162" s="879"/>
      <c r="AH162" s="879"/>
      <c r="AI162" s="879"/>
      <c r="AJ162" s="879"/>
    </row>
    <row r="163" spans="1:36" x14ac:dyDescent="0.25">
      <c r="A163" s="879"/>
      <c r="B163" s="879"/>
      <c r="C163" s="879">
        <f t="shared" si="85"/>
        <v>5</v>
      </c>
      <c r="D163" s="883" t="str">
        <f>+L110</f>
        <v>Decommissioning Costs</v>
      </c>
      <c r="E163" s="896">
        <f ca="1">+R48+C163/10000000000</f>
        <v>6.4102255076355251E-3</v>
      </c>
      <c r="F163" s="883">
        <f t="shared" ca="1" si="80"/>
        <v>9</v>
      </c>
      <c r="G163" s="888">
        <v>5</v>
      </c>
      <c r="H163" s="883" t="str">
        <f t="shared" ca="1" si="81"/>
        <v>Yearly Replacement Costs</v>
      </c>
      <c r="I163" s="898">
        <f t="shared" ca="1" si="82"/>
        <v>3.0847670627014306E-2</v>
      </c>
      <c r="J163" s="879"/>
      <c r="K163" s="883" t="str">
        <f t="shared" ca="1" si="76"/>
        <v>Yearly Replacement Costs</v>
      </c>
      <c r="L163" s="883"/>
      <c r="M163" s="896">
        <f t="shared" ca="1" si="83"/>
        <v>3.0847670627014306E-2</v>
      </c>
      <c r="N163" s="883" t="str">
        <f t="shared" ca="1" si="84"/>
        <v>Yearly Replacement Costs</v>
      </c>
      <c r="O163" s="879"/>
      <c r="P163" s="879"/>
      <c r="Q163" s="879"/>
      <c r="R163" s="879"/>
      <c r="S163" s="879"/>
      <c r="T163" s="879"/>
      <c r="U163" s="879"/>
      <c r="V163" s="879"/>
      <c r="W163" s="879"/>
      <c r="X163" s="879"/>
      <c r="Y163" s="879"/>
      <c r="Z163" s="879"/>
      <c r="AA163" s="879"/>
      <c r="AB163" s="879"/>
      <c r="AC163" s="879"/>
      <c r="AD163" s="879"/>
      <c r="AE163" s="879"/>
      <c r="AF163" s="879"/>
      <c r="AG163" s="879"/>
      <c r="AH163" s="879"/>
      <c r="AI163" s="879"/>
      <c r="AJ163" s="879"/>
    </row>
    <row r="164" spans="1:36" x14ac:dyDescent="0.25">
      <c r="A164" s="879"/>
      <c r="B164" s="879"/>
      <c r="C164" s="879">
        <f t="shared" si="85"/>
        <v>6</v>
      </c>
      <c r="D164" s="883" t="str">
        <f>+M110</f>
        <v>Fixed Operating Cost</v>
      </c>
      <c r="E164" s="896">
        <f ca="1">+S48+C164/10000000000</f>
        <v>0.16870131724336135</v>
      </c>
      <c r="F164" s="883">
        <f t="shared" ca="1" si="80"/>
        <v>2</v>
      </c>
      <c r="G164" s="888">
        <v>6</v>
      </c>
      <c r="H164" s="883" t="str">
        <f t="shared" ca="1" si="81"/>
        <v>Principal Payment</v>
      </c>
      <c r="I164" s="898">
        <f t="shared" ca="1" si="82"/>
        <v>2.6396165603925568E-2</v>
      </c>
      <c r="J164" s="879"/>
      <c r="K164" s="883" t="str">
        <f t="shared" ca="1" si="76"/>
        <v>Principal Payment</v>
      </c>
      <c r="L164" s="883"/>
      <c r="M164" s="896">
        <f t="shared" ca="1" si="83"/>
        <v>2.6396165603925568E-2</v>
      </c>
      <c r="N164" s="883" t="str">
        <f t="shared" ca="1" si="84"/>
        <v>Principal Payment</v>
      </c>
      <c r="O164" s="879"/>
      <c r="P164" s="879"/>
      <c r="Q164" s="879"/>
      <c r="R164" s="879"/>
      <c r="S164" s="879"/>
      <c r="T164" s="879"/>
      <c r="U164" s="879"/>
      <c r="V164" s="879"/>
      <c r="W164" s="879"/>
      <c r="X164" s="879"/>
      <c r="Y164" s="879"/>
      <c r="Z164" s="879"/>
      <c r="AA164" s="879"/>
      <c r="AB164" s="879"/>
      <c r="AC164" s="879"/>
      <c r="AD164" s="879"/>
      <c r="AE164" s="879"/>
      <c r="AF164" s="879"/>
      <c r="AG164" s="879"/>
      <c r="AH164" s="879"/>
      <c r="AI164" s="879"/>
      <c r="AJ164" s="879"/>
    </row>
    <row r="165" spans="1:36" x14ac:dyDescent="0.25">
      <c r="A165" s="879"/>
      <c r="B165" s="879"/>
      <c r="C165" s="879">
        <f t="shared" si="85"/>
        <v>7</v>
      </c>
      <c r="D165" s="883" t="str">
        <f>+N110</f>
        <v>Feedstock Cost</v>
      </c>
      <c r="E165" s="896">
        <f ca="1">+T48+C165/10000000000</f>
        <v>1.1859544977057233</v>
      </c>
      <c r="F165" s="883">
        <f t="shared" ca="1" si="80"/>
        <v>1</v>
      </c>
      <c r="G165" s="888">
        <v>7</v>
      </c>
      <c r="H165" s="883" t="str">
        <f t="shared" ca="1" si="81"/>
        <v>Cash for Working Capital Reserve</v>
      </c>
      <c r="I165" s="898">
        <f t="shared" ca="1" si="82"/>
        <v>1.8331334564253857E-2</v>
      </c>
      <c r="J165" s="879"/>
      <c r="K165" s="883" t="str">
        <f t="shared" ca="1" si="76"/>
        <v>Cash for Working Capital Reserve</v>
      </c>
      <c r="L165" s="883"/>
      <c r="M165" s="896">
        <f t="shared" ca="1" si="83"/>
        <v>1.8331334564253857E-2</v>
      </c>
      <c r="N165" s="883" t="str">
        <f t="shared" ca="1" si="84"/>
        <v>Cash for Working Capital Reserve</v>
      </c>
      <c r="O165" s="879"/>
      <c r="P165" s="879"/>
      <c r="Q165" s="879"/>
      <c r="R165" s="879"/>
      <c r="S165" s="879"/>
      <c r="T165" s="879"/>
      <c r="U165" s="879"/>
      <c r="V165" s="879"/>
      <c r="W165" s="879"/>
      <c r="X165" s="879"/>
      <c r="Y165" s="879"/>
      <c r="Z165" s="879"/>
      <c r="AA165" s="879"/>
      <c r="AB165" s="879"/>
      <c r="AC165" s="879"/>
      <c r="AD165" s="879"/>
      <c r="AE165" s="879"/>
      <c r="AF165" s="879"/>
      <c r="AG165" s="879"/>
      <c r="AH165" s="879"/>
      <c r="AI165" s="879"/>
      <c r="AJ165" s="879"/>
    </row>
    <row r="166" spans="1:36" x14ac:dyDescent="0.25">
      <c r="A166" s="879"/>
      <c r="B166" s="879"/>
      <c r="C166" s="879">
        <f t="shared" si="85"/>
        <v>8</v>
      </c>
      <c r="D166" s="883" t="str">
        <f>+O110</f>
        <v>Other Raw Material Cost</v>
      </c>
      <c r="E166" s="896">
        <f ca="1">+U48+C166/10000000000</f>
        <v>8.0000000000000003E-10</v>
      </c>
      <c r="F166" s="883">
        <f t="shared" ca="1" si="80"/>
        <v>10</v>
      </c>
      <c r="G166" s="888">
        <v>8</v>
      </c>
      <c r="H166" s="883" t="str">
        <f t="shared" ca="1" si="81"/>
        <v>Other Variable Operating Costs</v>
      </c>
      <c r="I166" s="898">
        <f t="shared" ca="1" si="82"/>
        <v>1.585391162923162E-2</v>
      </c>
      <c r="J166" s="879"/>
      <c r="K166" s="883" t="str">
        <f t="shared" ca="1" si="76"/>
        <v>Other Variable Operating Costs</v>
      </c>
      <c r="L166" s="883"/>
      <c r="M166" s="896">
        <f t="shared" ca="1" si="83"/>
        <v>1.585391162923162E-2</v>
      </c>
      <c r="N166" s="883" t="str">
        <f t="shared" ca="1" si="84"/>
        <v>Other Variable Operating Costs</v>
      </c>
      <c r="O166" s="879"/>
      <c r="P166" s="879"/>
      <c r="Q166" s="879"/>
      <c r="R166" s="879"/>
      <c r="S166" s="879"/>
      <c r="T166" s="879"/>
      <c r="U166" s="879"/>
      <c r="V166" s="879"/>
      <c r="W166" s="879"/>
      <c r="X166" s="879"/>
      <c r="Y166" s="879"/>
      <c r="Z166" s="879"/>
      <c r="AA166" s="879"/>
      <c r="AB166" s="879"/>
      <c r="AC166" s="879"/>
      <c r="AD166" s="879"/>
      <c r="AE166" s="879"/>
      <c r="AF166" s="879"/>
      <c r="AG166" s="879"/>
      <c r="AH166" s="879"/>
      <c r="AI166" s="879"/>
      <c r="AJ166" s="879"/>
    </row>
    <row r="167" spans="1:36" x14ac:dyDescent="0.25">
      <c r="A167" s="879"/>
      <c r="B167" s="879"/>
      <c r="C167" s="879">
        <f t="shared" si="85"/>
        <v>9</v>
      </c>
      <c r="D167" s="883" t="str">
        <f>+P110</f>
        <v>Other Variable Operating Costs</v>
      </c>
      <c r="E167" s="896">
        <f ca="1">+V48+C167/10000000000</f>
        <v>1.5853912529231622E-2</v>
      </c>
      <c r="F167" s="883">
        <f t="shared" ca="1" si="80"/>
        <v>8</v>
      </c>
      <c r="G167" s="888">
        <v>9</v>
      </c>
      <c r="H167" s="883" t="str">
        <f t="shared" ca="1" si="81"/>
        <v>Decommissioning Costs</v>
      </c>
      <c r="I167" s="898">
        <f t="shared" ca="1" si="82"/>
        <v>6.4102250076355253E-3</v>
      </c>
      <c r="J167" s="879"/>
      <c r="K167" s="883" t="str">
        <f t="shared" ca="1" si="76"/>
        <v>Decommissioning Costs</v>
      </c>
      <c r="L167" s="883"/>
      <c r="M167" s="896">
        <f t="shared" ca="1" si="83"/>
        <v>6.4102250076355253E-3</v>
      </c>
      <c r="N167" s="883" t="str">
        <f t="shared" ca="1" si="84"/>
        <v>Decommissioning Costs</v>
      </c>
      <c r="O167" s="879"/>
      <c r="P167" s="879"/>
      <c r="Q167" s="879"/>
      <c r="R167" s="879"/>
      <c r="S167" s="879"/>
      <c r="T167" s="879"/>
      <c r="U167" s="879"/>
      <c r="V167" s="879"/>
      <c r="W167" s="879"/>
      <c r="X167" s="879"/>
      <c r="Y167" s="879"/>
      <c r="Z167" s="879"/>
      <c r="AA167" s="879"/>
      <c r="AB167" s="879"/>
      <c r="AC167" s="879"/>
      <c r="AD167" s="879"/>
      <c r="AE167" s="879"/>
      <c r="AF167" s="879"/>
      <c r="AG167" s="879"/>
      <c r="AH167" s="879"/>
      <c r="AI167" s="879"/>
      <c r="AJ167" s="879"/>
    </row>
    <row r="168" spans="1:36" x14ac:dyDescent="0.25">
      <c r="A168" s="879"/>
      <c r="B168" s="879"/>
      <c r="C168" s="879">
        <f t="shared" si="85"/>
        <v>10</v>
      </c>
      <c r="D168" s="883" t="str">
        <f>+Q110</f>
        <v>Debt Interest</v>
      </c>
      <c r="E168" s="896">
        <f ca="1">+W48+C168/10000000000</f>
        <v>6.2902366970455856E-2</v>
      </c>
      <c r="F168" s="883">
        <f t="shared" ca="1" si="80"/>
        <v>4</v>
      </c>
      <c r="G168" s="888">
        <v>10</v>
      </c>
      <c r="H168" s="883" t="str">
        <f t="shared" ca="1" si="81"/>
        <v>Other Raw Material Cost</v>
      </c>
      <c r="I168" s="898">
        <f t="shared" ca="1" si="82"/>
        <v>0</v>
      </c>
      <c r="J168" s="879"/>
      <c r="K168" s="883" t="str">
        <f t="shared" ca="1" si="76"/>
        <v>Other Raw Material Cost</v>
      </c>
      <c r="L168" s="883"/>
      <c r="M168" s="896">
        <f t="shared" ca="1" si="83"/>
        <v>0</v>
      </c>
      <c r="N168" s="883" t="str">
        <f t="shared" ca="1" si="84"/>
        <v/>
      </c>
      <c r="O168" s="879"/>
      <c r="P168" s="879"/>
      <c r="Q168" s="879"/>
      <c r="R168" s="879"/>
      <c r="S168" s="879"/>
      <c r="T168" s="879"/>
      <c r="U168" s="879"/>
      <c r="V168" s="879"/>
      <c r="W168" s="879"/>
      <c r="X168" s="879"/>
      <c r="Y168" s="879"/>
      <c r="Z168" s="879"/>
      <c r="AA168" s="879"/>
      <c r="AB168" s="879"/>
      <c r="AC168" s="879"/>
      <c r="AD168" s="879"/>
      <c r="AE168" s="879"/>
      <c r="AF168" s="879"/>
      <c r="AG168" s="879"/>
      <c r="AH168" s="879"/>
      <c r="AI168" s="879"/>
      <c r="AJ168" s="879"/>
    </row>
    <row r="169" spans="1:36" x14ac:dyDescent="0.25">
      <c r="A169" s="879"/>
      <c r="B169" s="879"/>
      <c r="C169" s="879">
        <f t="shared" si="85"/>
        <v>11</v>
      </c>
      <c r="D169" s="883" t="str">
        <f>+R110</f>
        <v>Taxes</v>
      </c>
      <c r="E169" s="896">
        <f ca="1">+X48+C169/10000000000</f>
        <v>-1.5456453232560419E-2</v>
      </c>
      <c r="F169" s="883">
        <f t="shared" ca="1" si="80"/>
        <v>12</v>
      </c>
      <c r="G169" s="888">
        <v>11</v>
      </c>
      <c r="H169" s="883" t="str">
        <f t="shared" ca="1" si="81"/>
        <v>Other Non-Depreciable Capital Costs</v>
      </c>
      <c r="I169" s="898">
        <f t="shared" ca="1" si="82"/>
        <v>0</v>
      </c>
      <c r="J169" s="879"/>
      <c r="K169" s="883" t="str">
        <f t="shared" ca="1" si="76"/>
        <v>Other Non-Depreciable Capital Costs</v>
      </c>
      <c r="L169" s="883"/>
      <c r="M169" s="896">
        <f t="shared" ca="1" si="83"/>
        <v>0</v>
      </c>
      <c r="N169" s="883" t="str">
        <f t="shared" ca="1" si="84"/>
        <v/>
      </c>
      <c r="O169" s="879"/>
      <c r="P169" s="879"/>
      <c r="Q169" s="879"/>
      <c r="R169" s="879"/>
      <c r="S169" s="879"/>
      <c r="T169" s="879"/>
      <c r="U169" s="879"/>
      <c r="V169" s="879"/>
      <c r="W169" s="879"/>
      <c r="X169" s="879"/>
      <c r="Y169" s="879"/>
      <c r="Z169" s="879"/>
      <c r="AA169" s="879"/>
      <c r="AB169" s="879"/>
      <c r="AC169" s="879"/>
      <c r="AD169" s="879"/>
      <c r="AE169" s="879"/>
      <c r="AF169" s="879"/>
      <c r="AG169" s="879"/>
      <c r="AH169" s="879"/>
      <c r="AI169" s="879"/>
      <c r="AJ169" s="879"/>
    </row>
    <row r="170" spans="1:36" x14ac:dyDescent="0.25">
      <c r="A170" s="879"/>
      <c r="B170" s="879"/>
      <c r="C170" s="879">
        <f t="shared" si="85"/>
        <v>12</v>
      </c>
      <c r="D170" s="883" t="str">
        <f>+S110</f>
        <v>Principal Payment</v>
      </c>
      <c r="E170" s="896">
        <f ca="1">+Y48+C170/10000000000</f>
        <v>2.6396166803925567E-2</v>
      </c>
      <c r="F170" s="883">
        <f t="shared" ca="1" si="80"/>
        <v>6</v>
      </c>
      <c r="G170" s="888">
        <v>12</v>
      </c>
      <c r="H170" s="883" t="str">
        <f t="shared" ca="1" si="81"/>
        <v>Taxes</v>
      </c>
      <c r="I170" s="898">
        <f t="shared" ca="1" si="82"/>
        <v>-1.545645433256042E-2</v>
      </c>
      <c r="J170" s="879"/>
      <c r="K170" s="883" t="str">
        <f t="shared" ca="1" si="76"/>
        <v>Taxes</v>
      </c>
      <c r="L170" s="883"/>
      <c r="M170" s="896">
        <f t="shared" ca="1" si="83"/>
        <v>-1.545645433256042E-2</v>
      </c>
      <c r="N170" s="883" t="str">
        <f t="shared" ca="1" si="84"/>
        <v/>
      </c>
      <c r="O170" s="879"/>
      <c r="P170" s="879"/>
      <c r="Q170" s="879"/>
      <c r="R170" s="879"/>
      <c r="S170" s="879"/>
      <c r="T170" s="879"/>
      <c r="U170" s="879"/>
      <c r="V170" s="879"/>
      <c r="W170" s="879"/>
      <c r="X170" s="879"/>
      <c r="Y170" s="879"/>
      <c r="Z170" s="879"/>
      <c r="AA170" s="879"/>
      <c r="AB170" s="879"/>
      <c r="AC170" s="879"/>
      <c r="AD170" s="879"/>
      <c r="AE170" s="879"/>
      <c r="AF170" s="879"/>
      <c r="AG170" s="879"/>
      <c r="AH170" s="879"/>
      <c r="AI170" s="879"/>
      <c r="AJ170" s="879"/>
    </row>
    <row r="171" spans="1:36" x14ac:dyDescent="0.25">
      <c r="A171" s="879"/>
      <c r="B171" s="879"/>
      <c r="C171" s="879"/>
      <c r="D171" s="879"/>
      <c r="E171" s="879"/>
      <c r="F171" s="879"/>
      <c r="G171" s="879"/>
      <c r="H171" s="881"/>
      <c r="I171" s="879"/>
      <c r="J171" s="879"/>
      <c r="K171" s="882" t="s">
        <v>57</v>
      </c>
      <c r="L171" s="896">
        <f ca="1">+SUM(L155:L170)</f>
        <v>1.6194521688911214</v>
      </c>
      <c r="M171" s="896">
        <f ca="1">+SUM(M155:M170)</f>
        <v>1.6194521688911216</v>
      </c>
      <c r="N171" s="883" t="str">
        <f t="shared" ref="N171" ca="1" si="86">+IF(M171&lt;0.01,K171,"")</f>
        <v/>
      </c>
      <c r="O171" s="879"/>
      <c r="P171" s="879"/>
      <c r="Q171" s="879"/>
      <c r="R171" s="879"/>
      <c r="S171" s="879"/>
      <c r="T171" s="879"/>
      <c r="U171" s="879"/>
      <c r="V171" s="879"/>
      <c r="W171" s="879"/>
      <c r="X171" s="879"/>
      <c r="Y171" s="879"/>
      <c r="Z171" s="879"/>
      <c r="AA171" s="879"/>
      <c r="AB171" s="879"/>
      <c r="AC171" s="879"/>
      <c r="AD171" s="879"/>
      <c r="AE171" s="879"/>
      <c r="AF171" s="879"/>
      <c r="AG171" s="879"/>
      <c r="AH171" s="879"/>
      <c r="AI171" s="879"/>
      <c r="AJ171" s="879"/>
    </row>
    <row r="172" spans="1:36" x14ac:dyDescent="0.25">
      <c r="A172" s="879"/>
      <c r="B172" s="879"/>
      <c r="C172" s="879"/>
      <c r="E172" s="879"/>
      <c r="F172" s="879"/>
      <c r="G172" s="879"/>
      <c r="H172" s="879"/>
      <c r="I172" s="879"/>
      <c r="J172" s="879"/>
      <c r="K172" s="879"/>
      <c r="L172" s="879"/>
      <c r="M172" s="879"/>
      <c r="N172" s="879"/>
      <c r="O172" s="879"/>
      <c r="P172" s="879"/>
      <c r="Q172" s="879"/>
      <c r="R172" s="879"/>
      <c r="S172" s="879"/>
      <c r="T172" s="879"/>
      <c r="U172" s="879"/>
      <c r="V172" s="879"/>
      <c r="W172" s="879"/>
      <c r="X172" s="879"/>
      <c r="Y172" s="879"/>
      <c r="Z172" s="879"/>
      <c r="AA172" s="879"/>
      <c r="AB172" s="879"/>
      <c r="AC172" s="879"/>
      <c r="AD172" s="879"/>
      <c r="AE172" s="879"/>
      <c r="AF172" s="879"/>
      <c r="AG172" s="879"/>
      <c r="AH172" s="879"/>
      <c r="AI172" s="879"/>
      <c r="AJ172" s="879"/>
    </row>
    <row r="173" spans="1:36" x14ac:dyDescent="0.25">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c r="X173" s="879"/>
      <c r="Y173" s="879"/>
      <c r="Z173" s="879"/>
      <c r="AA173" s="879"/>
      <c r="AB173" s="879"/>
      <c r="AC173" s="879"/>
      <c r="AD173" s="879"/>
      <c r="AE173" s="879"/>
      <c r="AF173" s="879"/>
      <c r="AG173" s="879"/>
      <c r="AH173" s="879"/>
      <c r="AI173" s="879"/>
      <c r="AJ173" s="879"/>
    </row>
    <row r="174" spans="1:36" x14ac:dyDescent="0.25">
      <c r="A174" s="879"/>
      <c r="B174" s="881" t="s">
        <v>1164</v>
      </c>
      <c r="C174" s="879"/>
      <c r="D174" s="880" t="s">
        <v>1176</v>
      </c>
      <c r="E174" s="880" t="s">
        <v>1174</v>
      </c>
      <c r="F174" s="880" t="s">
        <v>1177</v>
      </c>
      <c r="G174" s="880" t="s">
        <v>1175</v>
      </c>
      <c r="H174" s="879"/>
      <c r="I174" s="879"/>
      <c r="J174" s="879"/>
      <c r="K174" s="879"/>
      <c r="L174" s="879"/>
      <c r="M174" s="880"/>
      <c r="N174" s="880"/>
      <c r="O174" s="879"/>
      <c r="P174" s="879"/>
      <c r="Q174" s="879"/>
      <c r="R174" s="879"/>
      <c r="S174" s="879"/>
      <c r="T174" s="879"/>
      <c r="U174" s="879"/>
      <c r="V174" s="879"/>
      <c r="W174" s="879"/>
      <c r="X174" s="879"/>
      <c r="Y174" s="879"/>
      <c r="Z174" s="879"/>
      <c r="AA174" s="879"/>
      <c r="AB174" s="879"/>
      <c r="AC174" s="879"/>
      <c r="AD174" s="879"/>
      <c r="AE174" s="879"/>
      <c r="AF174" s="879"/>
      <c r="AG174" s="879"/>
      <c r="AH174" s="879"/>
      <c r="AI174" s="879"/>
      <c r="AJ174" s="879"/>
    </row>
    <row r="175" spans="1:36" x14ac:dyDescent="0.25">
      <c r="A175" s="879"/>
      <c r="B175">
        <v>0</v>
      </c>
      <c r="C175" s="882" t="s">
        <v>1165</v>
      </c>
      <c r="D175" s="896">
        <f>+K51</f>
        <v>1.613041943883486</v>
      </c>
      <c r="E175" s="896">
        <f>+D175</f>
        <v>1.613041943883486</v>
      </c>
      <c r="F175" s="896"/>
      <c r="G175" s="896"/>
      <c r="H175" s="879"/>
      <c r="I175" s="879"/>
      <c r="J175" s="879"/>
      <c r="K175" s="879"/>
      <c r="L175" s="879"/>
      <c r="M175" s="1008"/>
      <c r="N175" s="1008"/>
      <c r="O175" s="879"/>
      <c r="P175" s="879"/>
      <c r="Q175" s="879"/>
      <c r="R175" s="879"/>
      <c r="S175" s="879"/>
      <c r="T175" s="879"/>
      <c r="U175" s="879"/>
      <c r="V175" s="879"/>
      <c r="W175" s="879"/>
      <c r="X175" s="879"/>
      <c r="Y175" s="879"/>
      <c r="Z175" s="879"/>
      <c r="AA175" s="879"/>
      <c r="AB175" s="879"/>
      <c r="AC175" s="879"/>
      <c r="AD175" s="879"/>
      <c r="AE175" s="879"/>
      <c r="AF175" s="879"/>
      <c r="AG175" s="879"/>
      <c r="AH175" s="879"/>
      <c r="AI175" s="879"/>
      <c r="AJ175" s="879"/>
    </row>
    <row r="176" spans="1:36" x14ac:dyDescent="0.25">
      <c r="A176" s="879"/>
      <c r="B176" s="879">
        <v>1</v>
      </c>
      <c r="C176" s="883" t="str">
        <f ca="1">OFFSET($B$50,0,MATCH($B176,$C$72:$I$72,0))&amp;
IF(OFFSET($F$2,MATCH($B176,$C$72:$I$72,0),0)&lt;1,
"
= "&amp;OFFSET($F$2,MATCH($B176,$C$72:$I$72,0),0)*100-100,
"
= +"&amp;OFFSET($F$2,MATCH($B176,$C$72:$I$72,0),0)*100-100)
&amp;"%"</f>
        <v>Feedstock consumption (% of most likely value)
= -5%</v>
      </c>
      <c r="D176" s="896">
        <f>+K66</f>
        <v>1.552676433372211</v>
      </c>
      <c r="E176" s="896">
        <f t="shared" ref="E176:E181" si="87">+E175+G175-F176</f>
        <v>1.552676433372211</v>
      </c>
      <c r="F176" s="896">
        <f>+MAX(D175-D176,0)</f>
        <v>6.0365510511275033E-2</v>
      </c>
      <c r="G176" s="896">
        <f>+MAX(D176-D175,0)</f>
        <v>0</v>
      </c>
      <c r="H176" s="879"/>
      <c r="I176" s="879"/>
      <c r="J176" s="879"/>
      <c r="K176" s="879"/>
      <c r="L176" s="879"/>
      <c r="M176" s="1008"/>
      <c r="N176" s="1008"/>
      <c r="O176" s="879"/>
      <c r="P176" s="879"/>
      <c r="Q176" s="879"/>
      <c r="R176" s="879"/>
      <c r="S176" s="879"/>
      <c r="T176" s="879"/>
      <c r="U176" s="879"/>
      <c r="V176" s="879"/>
      <c r="W176" s="879"/>
      <c r="X176" s="879"/>
      <c r="Y176" s="879"/>
      <c r="Z176" s="879"/>
      <c r="AA176" s="879"/>
      <c r="AB176" s="879"/>
      <c r="AC176" s="879"/>
      <c r="AD176" s="879"/>
      <c r="AE176" s="879"/>
      <c r="AF176" s="879"/>
      <c r="AG176" s="879"/>
      <c r="AH176" s="879"/>
      <c r="AI176" s="879"/>
      <c r="AJ176" s="879"/>
    </row>
    <row r="177" spans="1:36" x14ac:dyDescent="0.25">
      <c r="A177" s="879"/>
      <c r="B177" s="879">
        <v>2</v>
      </c>
      <c r="C177" s="883" t="str">
        <f ca="1">OFFSET($B$50,0,MATCH($B177,$C$72:$I$72,0))&amp;
IF(OFFSET($F$2,MATCH($B177,$C$72:$I$72,0),0)&lt;1,
"
= "&amp;OFFSET($F$2,MATCH($B177,$C$72:$I$72,0),0)*100-100,
"
= +"&amp;OFFSET($F$2,MATCH($B177,$C$72:$I$72,0),0)*100-100)
&amp;"%"</f>
        <v>Operating capacity factor
= +5%</v>
      </c>
      <c r="D177" s="896">
        <f>+K67</f>
        <v>1.5338601560738854</v>
      </c>
      <c r="E177" s="896">
        <f t="shared" si="87"/>
        <v>1.5338601560738854</v>
      </c>
      <c r="F177" s="896">
        <f>+MAX(D176-D177,0)</f>
        <v>1.8816277298325579E-2</v>
      </c>
      <c r="G177" s="896">
        <f>+MAX(D177-D176,0)</f>
        <v>0</v>
      </c>
      <c r="H177" s="879"/>
      <c r="I177" s="879"/>
      <c r="J177" s="879"/>
      <c r="K177" s="879"/>
      <c r="L177" s="879"/>
      <c r="M177" s="1008"/>
      <c r="N177" s="1008"/>
      <c r="O177" s="879"/>
      <c r="P177" s="879"/>
      <c r="Q177" s="879"/>
      <c r="R177" s="879"/>
      <c r="S177" s="879"/>
      <c r="T177" s="879"/>
      <c r="U177" s="879"/>
      <c r="V177" s="879"/>
      <c r="W177" s="879"/>
      <c r="X177" s="879"/>
      <c r="Y177" s="879"/>
      <c r="Z177" s="879"/>
      <c r="AA177" s="879"/>
      <c r="AB177" s="879"/>
      <c r="AC177" s="879"/>
      <c r="AD177" s="879"/>
      <c r="AE177" s="879"/>
      <c r="AF177" s="879"/>
      <c r="AG177" s="879"/>
      <c r="AH177" s="879"/>
      <c r="AI177" s="879"/>
      <c r="AJ177" s="879"/>
    </row>
    <row r="178" spans="1:36" x14ac:dyDescent="0.25">
      <c r="A178" s="879"/>
      <c r="B178" s="879">
        <v>3</v>
      </c>
      <c r="C178" s="883" t="str">
        <f ca="1">OFFSET($B$50,0,MATCH($B178,$C$72:$I$72,0))&amp;
IF(OFFSET($F$2,MATCH($B178,$C$72:$I$72,0),0)&lt;1,
"
= "&amp;OFFSET($F$2,MATCH($B178,$C$72:$I$72,0),0)*100-100,
"
= +"&amp;OFFSET($F$2,MATCH($B178,$C$72:$I$72,0),0)*100-100)
&amp;"%"</f>
        <v>Total capital investment ($)
= -5%</v>
      </c>
      <c r="D178" s="896">
        <f>+K68</f>
        <v>1.52225031988625</v>
      </c>
      <c r="E178" s="896">
        <f t="shared" si="87"/>
        <v>1.52225031988625</v>
      </c>
      <c r="F178" s="896">
        <f>+MAX(D177-D178,0)</f>
        <v>1.1609836187635336E-2</v>
      </c>
      <c r="G178" s="896">
        <f>+MAX(D178-D177,0)</f>
        <v>0</v>
      </c>
      <c r="H178" s="879"/>
      <c r="I178" s="879"/>
      <c r="J178" s="879"/>
      <c r="K178" s="879"/>
      <c r="L178" s="879"/>
      <c r="M178" s="1008"/>
      <c r="N178" s="1008"/>
      <c r="O178" s="879"/>
      <c r="P178" s="879"/>
      <c r="Q178" s="879"/>
      <c r="R178" s="879"/>
      <c r="S178" s="879"/>
      <c r="T178" s="879"/>
      <c r="U178" s="879"/>
      <c r="V178" s="879"/>
      <c r="W178" s="879"/>
      <c r="X178" s="879"/>
      <c r="Y178" s="879"/>
      <c r="Z178" s="879"/>
      <c r="AA178" s="879"/>
      <c r="AB178" s="879"/>
      <c r="AC178" s="879"/>
      <c r="AD178" s="879"/>
      <c r="AE178" s="879"/>
      <c r="AF178" s="879"/>
      <c r="AG178" s="879"/>
      <c r="AH178" s="879"/>
      <c r="AI178" s="879"/>
      <c r="AJ178" s="879"/>
    </row>
    <row r="179" spans="1:36" x14ac:dyDescent="0.25">
      <c r="A179" s="879"/>
      <c r="B179" s="879">
        <v>4</v>
      </c>
      <c r="C179" s="883" t="str">
        <f ca="1">OFFSET($B$50,0,MATCH($B179,$C$72:$I$72,0))&amp;
IF(OFFSET($F$2,MATCH($B179,$C$72:$I$72,0),0)&lt;1,
"
= "&amp;OFFSET($F$2,MATCH($B179,$C$72:$I$72,0),0)*100-100,
"
= +"&amp;OFFSET($F$2,MATCH($B179,$C$72:$I$72,0),0)*100-100)
&amp;"%"</f>
        <v>Total fixed operating cost ($/year)
= -5%</v>
      </c>
      <c r="D179" s="896">
        <f>+K69</f>
        <v>1.5142125186838609</v>
      </c>
      <c r="E179" s="896">
        <f t="shared" si="87"/>
        <v>1.5142125186838609</v>
      </c>
      <c r="F179" s="896">
        <f>+MAX(D178-D179,0)</f>
        <v>8.0378012023891721E-3</v>
      </c>
      <c r="G179" s="896">
        <f>+MAX(D179-D178,0)</f>
        <v>0</v>
      </c>
      <c r="H179" s="879"/>
      <c r="I179" s="879"/>
      <c r="J179" s="879"/>
      <c r="K179" s="879"/>
      <c r="L179" s="879"/>
      <c r="M179" s="1008"/>
      <c r="N179" s="1008"/>
      <c r="O179" s="879"/>
      <c r="P179" s="879"/>
      <c r="Q179" s="879"/>
      <c r="R179" s="879"/>
      <c r="S179" s="879"/>
      <c r="T179" s="879"/>
      <c r="U179" s="879"/>
      <c r="V179" s="879"/>
      <c r="W179" s="879"/>
      <c r="X179" s="879"/>
      <c r="Y179" s="879"/>
      <c r="Z179" s="879"/>
      <c r="AA179" s="879"/>
      <c r="AB179" s="879"/>
      <c r="AC179" s="879"/>
      <c r="AD179" s="879"/>
      <c r="AE179" s="879"/>
      <c r="AF179" s="879"/>
      <c r="AG179" s="879"/>
      <c r="AH179" s="879"/>
      <c r="AI179" s="879"/>
      <c r="AJ179" s="879"/>
    </row>
    <row r="180" spans="1:36" x14ac:dyDescent="0.25">
      <c r="A180" s="879"/>
      <c r="B180" s="879">
        <v>5</v>
      </c>
      <c r="C180" s="883" t="str">
        <f ca="1">OFFSET($B$50,0,MATCH($B180,$C$72:$I$72,0))&amp;
IF(OFFSET($F$2,MATCH($B180,$C$72:$I$72,0),0)&lt;1,
"
= "&amp;OFFSET($F$2,MATCH($B180,$C$72:$I$72,0),0)*100-100,
"
= +"&amp;OFFSET($F$2,MATCH($B180,$C$72:$I$72,0),0)*100-100)
&amp;"%"</f>
        <v>Utilities consumption (% of most likely value)
= -5%</v>
      </c>
      <c r="D180" s="896">
        <f>+K70</f>
        <v>1.5142125186838609</v>
      </c>
      <c r="E180" s="896">
        <f t="shared" si="87"/>
        <v>1.5142125186838609</v>
      </c>
      <c r="F180" s="896">
        <f>+MAX(D179-D180,0)</f>
        <v>0</v>
      </c>
      <c r="G180" s="896">
        <f>+MAX(D180-D179,0)</f>
        <v>0</v>
      </c>
      <c r="H180" s="879"/>
      <c r="I180" s="879"/>
      <c r="J180" s="879"/>
      <c r="K180" s="879"/>
      <c r="L180" s="879"/>
      <c r="M180" s="1008"/>
      <c r="N180" s="1008"/>
      <c r="O180" s="879"/>
      <c r="P180" s="879"/>
      <c r="Q180" s="879"/>
      <c r="R180" s="879"/>
      <c r="S180" s="879"/>
      <c r="T180" s="879"/>
      <c r="U180" s="879"/>
      <c r="V180" s="879"/>
      <c r="W180" s="879"/>
      <c r="X180" s="879"/>
      <c r="Y180" s="879"/>
      <c r="Z180" s="879"/>
      <c r="AA180" s="879"/>
      <c r="AB180" s="879"/>
      <c r="AC180" s="879"/>
      <c r="AD180" s="879"/>
      <c r="AE180" s="879"/>
      <c r="AF180" s="879"/>
      <c r="AG180" s="879"/>
      <c r="AH180" s="879"/>
      <c r="AI180" s="879"/>
      <c r="AJ180" s="879"/>
    </row>
    <row r="181" spans="1:36" x14ac:dyDescent="0.25">
      <c r="A181" s="879"/>
      <c r="B181" s="879">
        <v>6</v>
      </c>
      <c r="C181" s="882" t="s">
        <v>1172</v>
      </c>
      <c r="D181" s="896">
        <f>+K70</f>
        <v>1.5142125186838609</v>
      </c>
      <c r="E181" s="896">
        <f t="shared" si="87"/>
        <v>1.5142125186838609</v>
      </c>
      <c r="F181" s="896"/>
      <c r="G181" s="896"/>
      <c r="H181" s="879"/>
      <c r="I181" s="879"/>
      <c r="J181" s="879"/>
      <c r="K181" s="879"/>
      <c r="L181" s="879"/>
      <c r="M181" s="1008"/>
      <c r="N181" s="1008"/>
      <c r="O181" s="879"/>
      <c r="P181" s="879"/>
      <c r="Q181" s="879"/>
      <c r="R181" s="879"/>
      <c r="S181" s="879"/>
      <c r="T181" s="879"/>
      <c r="U181" s="879"/>
      <c r="V181" s="879"/>
      <c r="W181" s="879"/>
      <c r="X181" s="879"/>
      <c r="Y181" s="879"/>
      <c r="Z181" s="879"/>
      <c r="AA181" s="879"/>
      <c r="AB181" s="879"/>
      <c r="AC181" s="879"/>
      <c r="AD181" s="879"/>
      <c r="AE181" s="879"/>
      <c r="AF181" s="879"/>
      <c r="AG181" s="879"/>
      <c r="AH181" s="879"/>
      <c r="AI181" s="879"/>
      <c r="AJ181" s="879"/>
    </row>
    <row r="182" spans="1:36" x14ac:dyDescent="0.25">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c r="X182" s="879"/>
      <c r="Y182" s="879"/>
      <c r="Z182" s="879"/>
      <c r="AA182" s="879"/>
      <c r="AB182" s="879"/>
      <c r="AC182" s="879"/>
      <c r="AD182" s="879"/>
      <c r="AE182" s="879"/>
      <c r="AF182" s="879"/>
      <c r="AG182" s="879"/>
      <c r="AH182" s="879"/>
      <c r="AI182" s="879"/>
      <c r="AJ182" s="879"/>
    </row>
    <row r="183" spans="1:36" x14ac:dyDescent="0.25">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c r="X183" s="879"/>
      <c r="Y183" s="879"/>
      <c r="Z183" s="879"/>
      <c r="AA183" s="879"/>
      <c r="AB183" s="879"/>
      <c r="AC183" s="879"/>
      <c r="AD183" s="879"/>
      <c r="AE183" s="879"/>
      <c r="AF183" s="879"/>
      <c r="AG183" s="879"/>
      <c r="AH183" s="879"/>
      <c r="AI183" s="879"/>
      <c r="AJ183" s="879"/>
    </row>
    <row r="184" spans="1:36" x14ac:dyDescent="0.25">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c r="X184" s="879"/>
      <c r="Y184" s="879"/>
      <c r="Z184" s="879"/>
      <c r="AA184" s="879"/>
      <c r="AB184" s="879"/>
      <c r="AC184" s="879"/>
      <c r="AD184" s="879"/>
      <c r="AE184" s="879"/>
      <c r="AF184" s="879"/>
      <c r="AG184" s="879"/>
      <c r="AH184" s="879"/>
      <c r="AI184" s="879"/>
      <c r="AJ184" s="879"/>
    </row>
    <row r="185" spans="1:36" x14ac:dyDescent="0.25">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c r="X185" s="879"/>
      <c r="Y185" s="879"/>
      <c r="Z185" s="879"/>
      <c r="AA185" s="879"/>
      <c r="AB185" s="879"/>
      <c r="AC185" s="879"/>
      <c r="AD185" s="879"/>
      <c r="AE185" s="879"/>
      <c r="AF185" s="879"/>
      <c r="AG185" s="879"/>
      <c r="AH185" s="879"/>
      <c r="AI185" s="879"/>
      <c r="AJ185" s="879"/>
    </row>
    <row r="186" spans="1:36" x14ac:dyDescent="0.25">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c r="X186" s="879"/>
      <c r="Y186" s="879"/>
      <c r="Z186" s="879"/>
      <c r="AA186" s="879"/>
      <c r="AB186" s="879"/>
      <c r="AC186" s="879"/>
      <c r="AD186" s="879"/>
      <c r="AE186" s="879"/>
      <c r="AF186" s="879"/>
      <c r="AG186" s="879"/>
      <c r="AH186" s="879"/>
      <c r="AI186" s="879"/>
      <c r="AJ186" s="879"/>
    </row>
    <row r="187" spans="1:36" x14ac:dyDescent="0.25">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c r="X187" s="879"/>
      <c r="Y187" s="879"/>
      <c r="Z187" s="879"/>
      <c r="AA187" s="879"/>
      <c r="AB187" s="879"/>
      <c r="AC187" s="879"/>
      <c r="AD187" s="879"/>
      <c r="AE187" s="879"/>
      <c r="AF187" s="879"/>
      <c r="AG187" s="879"/>
      <c r="AH187" s="879"/>
      <c r="AI187" s="879"/>
      <c r="AJ187" s="879"/>
    </row>
    <row r="188" spans="1:36" x14ac:dyDescent="0.25">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c r="X188" s="879"/>
      <c r="Y188" s="879"/>
      <c r="Z188" s="879"/>
      <c r="AA188" s="879"/>
      <c r="AB188" s="879"/>
      <c r="AC188" s="879"/>
      <c r="AD188" s="879"/>
      <c r="AE188" s="879"/>
      <c r="AF188" s="879"/>
      <c r="AG188" s="879"/>
      <c r="AH188" s="879"/>
      <c r="AI188" s="879"/>
      <c r="AJ188" s="879"/>
    </row>
    <row r="189" spans="1:36" x14ac:dyDescent="0.25">
      <c r="A189" s="879"/>
      <c r="B189" s="1129" t="s">
        <v>1207</v>
      </c>
      <c r="C189" s="1130">
        <f>+MIN(F3:G3)</f>
        <v>0.95</v>
      </c>
      <c r="D189" s="1130">
        <f>+MIN(F4:G4)</f>
        <v>0.95</v>
      </c>
      <c r="E189" s="1130">
        <f>+MIN(F5:G5)</f>
        <v>0.95</v>
      </c>
      <c r="F189" s="1130">
        <f>+MIN(F6:G6)</f>
        <v>0.95</v>
      </c>
      <c r="G189" s="1130">
        <f>+MIN(F7:G7)</f>
        <v>0.95</v>
      </c>
      <c r="H189" s="1130">
        <f>+MIN(F8:G8)</f>
        <v>0.95</v>
      </c>
      <c r="I189" s="1130">
        <f>+MIN(F9:G9)</f>
        <v>0.95</v>
      </c>
      <c r="J189" s="879"/>
      <c r="K189" s="879"/>
      <c r="L189" s="879"/>
      <c r="M189" s="879"/>
      <c r="N189" s="879"/>
      <c r="O189" s="879"/>
      <c r="P189" s="879"/>
      <c r="Q189" s="879"/>
      <c r="R189" s="879"/>
      <c r="S189" s="879"/>
      <c r="T189" s="879"/>
      <c r="U189" s="879"/>
      <c r="V189" s="879"/>
      <c r="W189" s="879"/>
      <c r="X189" s="879"/>
      <c r="Y189" s="879"/>
      <c r="Z189" s="879"/>
      <c r="AA189" s="879"/>
      <c r="AB189" s="879"/>
      <c r="AC189" s="879"/>
      <c r="AD189" s="879"/>
      <c r="AE189" s="879"/>
      <c r="AF189" s="879"/>
      <c r="AG189" s="879"/>
      <c r="AH189" s="879"/>
      <c r="AI189" s="879"/>
      <c r="AJ189" s="879"/>
    </row>
    <row r="190" spans="1:36" x14ac:dyDescent="0.25">
      <c r="A190" s="879"/>
      <c r="B190" s="1129" t="s">
        <v>1209</v>
      </c>
      <c r="C190" s="1131">
        <v>1</v>
      </c>
      <c r="D190" s="1131">
        <v>1</v>
      </c>
      <c r="E190" s="1131">
        <v>1</v>
      </c>
      <c r="F190" s="1131">
        <v>1</v>
      </c>
      <c r="G190" s="1131">
        <v>1</v>
      </c>
      <c r="H190" s="1131">
        <v>1</v>
      </c>
      <c r="I190" s="1131">
        <v>1</v>
      </c>
      <c r="J190" s="879"/>
      <c r="K190" s="879"/>
      <c r="L190" s="879"/>
      <c r="M190" s="879"/>
      <c r="N190" s="879"/>
      <c r="O190" s="879"/>
      <c r="P190" s="879"/>
      <c r="Q190" s="879"/>
      <c r="R190" s="879"/>
      <c r="S190" s="879"/>
      <c r="T190" s="879"/>
      <c r="U190" s="879"/>
      <c r="V190" s="879"/>
      <c r="W190" s="879"/>
      <c r="X190" s="879"/>
      <c r="Y190" s="879"/>
      <c r="Z190" s="879"/>
      <c r="AA190" s="879"/>
      <c r="AB190" s="879"/>
      <c r="AC190" s="879"/>
      <c r="AD190" s="879"/>
      <c r="AE190" s="879"/>
      <c r="AF190" s="879"/>
      <c r="AG190" s="879"/>
      <c r="AH190" s="879"/>
      <c r="AI190" s="879"/>
      <c r="AJ190" s="879"/>
    </row>
    <row r="191" spans="1:36" x14ac:dyDescent="0.25">
      <c r="A191" s="879"/>
      <c r="B191" s="1129" t="s">
        <v>1208</v>
      </c>
      <c r="C191" s="1130">
        <f>+MAX(F3:G3)</f>
        <v>1.05</v>
      </c>
      <c r="D191" s="1130">
        <f>+MAX(F4:G4)</f>
        <v>1.05</v>
      </c>
      <c r="E191" s="1130">
        <f>+MAX(F5:G5)</f>
        <v>1.05</v>
      </c>
      <c r="F191" s="1130">
        <f>+MAX(F6:G6)</f>
        <v>1.05</v>
      </c>
      <c r="G191" s="1130">
        <f>+MAX(F7:G7)</f>
        <v>1.05</v>
      </c>
      <c r="H191" s="1130">
        <f>+MAX(F8:G8)</f>
        <v>1.05</v>
      </c>
      <c r="I191" s="1130">
        <f>+MAX(F9:G9)</f>
        <v>1.05</v>
      </c>
      <c r="J191" s="879"/>
      <c r="K191" s="879"/>
      <c r="L191" s="879"/>
      <c r="M191" s="879"/>
      <c r="N191" s="879"/>
      <c r="O191" s="879"/>
      <c r="P191" s="879"/>
      <c r="Q191" s="879"/>
      <c r="R191" s="879"/>
      <c r="S191" s="879"/>
      <c r="T191" s="879"/>
      <c r="U191" s="879"/>
      <c r="V191" s="879"/>
      <c r="W191" s="879"/>
      <c r="X191" s="879"/>
      <c r="Y191" s="879"/>
      <c r="Z191" s="879"/>
      <c r="AA191" s="879"/>
      <c r="AB191" s="879"/>
      <c r="AC191" s="879"/>
      <c r="AD191" s="879"/>
      <c r="AE191" s="879"/>
      <c r="AF191" s="879"/>
      <c r="AG191" s="879"/>
      <c r="AH191" s="879"/>
      <c r="AI191" s="879"/>
      <c r="AJ191" s="879"/>
    </row>
    <row r="192" spans="1:36" x14ac:dyDescent="0.25">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c r="X192" s="879"/>
      <c r="Y192" s="879"/>
      <c r="Z192" s="879"/>
      <c r="AA192" s="879"/>
      <c r="AB192" s="879"/>
      <c r="AC192" s="879"/>
      <c r="AD192" s="879"/>
      <c r="AE192" s="879"/>
      <c r="AF192" s="879"/>
      <c r="AG192" s="879"/>
      <c r="AH192" s="879"/>
      <c r="AI192" s="879"/>
      <c r="AJ192" s="879"/>
    </row>
    <row r="193" spans="1:36" x14ac:dyDescent="0.25">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c r="X193" s="879"/>
      <c r="Y193" s="879"/>
      <c r="Z193" s="879"/>
      <c r="AA193" s="879"/>
      <c r="AB193" s="879"/>
      <c r="AC193" s="879"/>
      <c r="AD193" s="879"/>
      <c r="AE193" s="879"/>
      <c r="AF193" s="879"/>
      <c r="AG193" s="879"/>
      <c r="AH193" s="879"/>
      <c r="AI193" s="879"/>
      <c r="AJ193" s="879"/>
    </row>
    <row r="194" spans="1:36" x14ac:dyDescent="0.25">
      <c r="A194" s="879"/>
      <c r="B194" s="880" t="s">
        <v>1215</v>
      </c>
      <c r="C194" s="879">
        <f>+MATCH(R12,C50:Y50,0)</f>
        <v>9</v>
      </c>
      <c r="D194" s="879"/>
      <c r="E194" s="879"/>
      <c r="F194" s="879"/>
      <c r="G194" s="879"/>
      <c r="H194" s="879"/>
      <c r="I194" s="879"/>
      <c r="J194" s="879"/>
      <c r="K194" s="879"/>
      <c r="L194" s="879"/>
      <c r="M194" s="879"/>
      <c r="N194" s="879"/>
      <c r="O194" s="879"/>
      <c r="P194" s="879"/>
      <c r="Q194" s="879"/>
      <c r="R194" s="879"/>
      <c r="S194" s="879"/>
      <c r="T194" s="879"/>
      <c r="U194" s="879"/>
      <c r="V194" s="879"/>
      <c r="W194" s="879"/>
      <c r="X194" s="879"/>
      <c r="Y194" s="879"/>
      <c r="Z194" s="879"/>
      <c r="AA194" s="879"/>
      <c r="AB194" s="879"/>
      <c r="AC194" s="879"/>
      <c r="AD194" s="879"/>
      <c r="AE194" s="879"/>
      <c r="AF194" s="879"/>
      <c r="AG194" s="879"/>
      <c r="AH194" s="879"/>
      <c r="AI194" s="879"/>
      <c r="AJ194" s="879"/>
    </row>
    <row r="195" spans="1:36" x14ac:dyDescent="0.25">
      <c r="A195" s="879"/>
      <c r="B195" s="880" t="s">
        <v>1211</v>
      </c>
      <c r="C195" s="879">
        <f ca="1">+MIN(OFFSET($B$251:$B$2250,0,C194))</f>
        <v>1.5368662528979069</v>
      </c>
      <c r="D195" s="879"/>
      <c r="E195" s="879"/>
      <c r="F195" s="879"/>
      <c r="G195" s="879"/>
      <c r="H195" s="879"/>
      <c r="I195" s="879"/>
      <c r="J195" s="879"/>
      <c r="K195" s="879"/>
      <c r="L195" s="879"/>
      <c r="M195" s="879"/>
      <c r="N195" s="879"/>
      <c r="O195" s="879"/>
      <c r="P195" s="879"/>
      <c r="Q195" s="879"/>
      <c r="R195" s="879"/>
      <c r="S195" s="879"/>
      <c r="T195" s="879"/>
      <c r="U195" s="879"/>
      <c r="V195" s="879"/>
      <c r="W195" s="879"/>
      <c r="X195" s="879"/>
      <c r="Y195" s="879"/>
      <c r="Z195" s="879"/>
      <c r="AA195" s="879"/>
      <c r="AB195" s="879"/>
      <c r="AC195" s="879"/>
      <c r="AD195" s="879"/>
      <c r="AE195" s="879"/>
      <c r="AF195" s="879"/>
      <c r="AG195" s="879"/>
      <c r="AH195" s="879"/>
      <c r="AI195" s="879"/>
      <c r="AJ195" s="879"/>
    </row>
    <row r="196" spans="1:36" x14ac:dyDescent="0.25">
      <c r="A196" s="879"/>
      <c r="B196" s="880" t="s">
        <v>1216</v>
      </c>
      <c r="C196" s="879">
        <f ca="1">+MAX(OFFSET($B$251:$B$2250,0,C194))</f>
        <v>1.691231340121129</v>
      </c>
      <c r="D196" s="879"/>
      <c r="E196" s="879"/>
      <c r="F196" s="879"/>
      <c r="G196" s="879"/>
      <c r="H196" s="879"/>
      <c r="I196" s="879"/>
      <c r="J196" s="879"/>
      <c r="K196" s="879"/>
      <c r="L196" s="879"/>
      <c r="M196" s="879"/>
      <c r="N196" s="879"/>
      <c r="O196" s="879"/>
      <c r="P196" s="879"/>
      <c r="Q196" s="879"/>
      <c r="R196" s="879"/>
      <c r="S196" s="879"/>
      <c r="T196" s="879"/>
      <c r="U196" s="879"/>
      <c r="V196" s="879"/>
      <c r="W196" s="879"/>
      <c r="X196" s="879"/>
      <c r="Y196" s="879"/>
      <c r="Z196" s="879"/>
      <c r="AA196" s="879"/>
      <c r="AB196" s="879"/>
      <c r="AC196" s="879"/>
      <c r="AD196" s="879"/>
      <c r="AE196" s="879"/>
      <c r="AF196" s="879"/>
      <c r="AG196" s="879"/>
      <c r="AH196" s="879"/>
      <c r="AI196" s="879"/>
      <c r="AJ196" s="879"/>
    </row>
    <row r="197" spans="1:36" x14ac:dyDescent="0.25">
      <c r="A197" s="879"/>
      <c r="B197" s="880" t="s">
        <v>1218</v>
      </c>
      <c r="C197" s="879">
        <f ca="1">+C196-C195</f>
        <v>0.15436508722322206</v>
      </c>
      <c r="D197" s="879"/>
      <c r="E197" s="879"/>
      <c r="F197" s="879"/>
      <c r="G197" s="879"/>
      <c r="H197" s="879"/>
      <c r="I197" s="879"/>
      <c r="J197" s="879"/>
      <c r="K197" s="879"/>
      <c r="L197" s="879"/>
      <c r="M197" s="879"/>
      <c r="N197" s="879"/>
      <c r="O197" s="879"/>
      <c r="P197" s="879"/>
      <c r="Q197" s="879"/>
      <c r="R197" s="879"/>
      <c r="S197" s="879"/>
      <c r="T197" s="879"/>
      <c r="U197" s="879"/>
      <c r="V197" s="879"/>
      <c r="W197" s="879"/>
      <c r="X197" s="879"/>
      <c r="Y197" s="879"/>
      <c r="Z197" s="879"/>
      <c r="AA197" s="879"/>
      <c r="AB197" s="879"/>
      <c r="AC197" s="879"/>
      <c r="AD197" s="879"/>
      <c r="AE197" s="879"/>
      <c r="AF197" s="879"/>
      <c r="AG197" s="879"/>
      <c r="AH197" s="879"/>
      <c r="AI197" s="879"/>
      <c r="AJ197" s="879"/>
    </row>
    <row r="198" spans="1:36" x14ac:dyDescent="0.25">
      <c r="A198" s="879"/>
      <c r="B198" s="880" t="s">
        <v>1217</v>
      </c>
      <c r="C198" s="879">
        <f ca="1">+OFFSET(B199,0,C194)</f>
        <v>1</v>
      </c>
      <c r="D198" s="879"/>
      <c r="E198" s="879"/>
      <c r="F198" s="879"/>
      <c r="G198" s="879"/>
      <c r="H198" s="879"/>
      <c r="I198" s="879"/>
      <c r="J198" s="879"/>
      <c r="K198" s="879"/>
      <c r="L198" s="879"/>
      <c r="M198" s="879"/>
      <c r="N198" s="879"/>
      <c r="O198" s="879"/>
      <c r="P198" s="879"/>
      <c r="Q198" s="879"/>
      <c r="R198" s="879"/>
      <c r="S198" s="879"/>
      <c r="T198" s="879"/>
      <c r="U198" s="879"/>
      <c r="V198" s="879"/>
      <c r="W198" s="879"/>
      <c r="X198" s="879"/>
      <c r="Y198" s="879"/>
      <c r="Z198" s="879"/>
      <c r="AA198" s="879"/>
      <c r="AB198" s="879"/>
      <c r="AC198" s="879"/>
      <c r="AD198" s="879"/>
      <c r="AE198" s="879"/>
      <c r="AF198" s="879"/>
      <c r="AG198" s="879"/>
      <c r="AH198" s="879"/>
      <c r="AI198" s="879"/>
      <c r="AJ198" s="879"/>
    </row>
    <row r="199" spans="1:36" x14ac:dyDescent="0.25">
      <c r="A199" s="879"/>
      <c r="B199" s="880" t="s">
        <v>1217</v>
      </c>
      <c r="C199" s="1127">
        <f ca="1">+C3</f>
        <v>0.86</v>
      </c>
      <c r="D199" s="1134">
        <f ca="1">+C4</f>
        <v>1500</v>
      </c>
      <c r="E199" s="1127">
        <f ca="1">+C5</f>
        <v>0.08</v>
      </c>
      <c r="F199" s="1127">
        <f>+C6</f>
        <v>1</v>
      </c>
      <c r="G199" s="1127">
        <f>+C7</f>
        <v>1</v>
      </c>
      <c r="H199" s="1134">
        <f ca="1">+C8</f>
        <v>1348647.8117155829</v>
      </c>
      <c r="I199" s="1134">
        <f ca="1">+C9</f>
        <v>78485.452516613223</v>
      </c>
      <c r="J199" s="879"/>
      <c r="K199" s="879">
        <v>1</v>
      </c>
      <c r="L199" s="879">
        <v>1</v>
      </c>
      <c r="M199" s="879">
        <v>1</v>
      </c>
      <c r="N199" s="879">
        <v>1</v>
      </c>
      <c r="O199" s="879">
        <v>1</v>
      </c>
      <c r="P199" s="879">
        <v>1</v>
      </c>
      <c r="Q199" s="879">
        <v>1</v>
      </c>
      <c r="R199" s="879">
        <v>1</v>
      </c>
      <c r="S199" s="879">
        <v>1</v>
      </c>
      <c r="T199" s="879">
        <v>1</v>
      </c>
      <c r="U199" s="879">
        <v>1</v>
      </c>
      <c r="V199" s="879">
        <v>1</v>
      </c>
      <c r="W199" s="879">
        <v>1</v>
      </c>
      <c r="X199" s="879">
        <v>1</v>
      </c>
      <c r="Y199" s="879"/>
      <c r="Z199" s="879"/>
      <c r="AA199" s="879"/>
      <c r="AB199" s="879"/>
      <c r="AC199" s="879"/>
      <c r="AD199" s="879"/>
      <c r="AE199" s="879"/>
      <c r="AF199" s="879"/>
      <c r="AG199" s="879"/>
      <c r="AH199" s="879"/>
      <c r="AI199" s="879"/>
      <c r="AJ199" s="879"/>
    </row>
    <row r="200" spans="1:36" x14ac:dyDescent="0.25">
      <c r="A200" s="879"/>
      <c r="B200" s="880" t="s">
        <v>1214</v>
      </c>
      <c r="C200" s="879"/>
      <c r="D200" s="879"/>
      <c r="E200" s="879"/>
      <c r="F200" s="879"/>
      <c r="G200" s="879"/>
      <c r="H200" s="879"/>
      <c r="I200" s="879"/>
      <c r="J200" s="879"/>
      <c r="K200" s="879"/>
      <c r="L200" s="879"/>
      <c r="M200" s="879"/>
      <c r="N200" s="879"/>
      <c r="O200" s="879"/>
      <c r="P200" s="879"/>
      <c r="Q200" s="879"/>
      <c r="R200" s="879"/>
      <c r="S200" s="879"/>
      <c r="T200" s="879"/>
      <c r="U200" s="879"/>
      <c r="V200" s="879"/>
      <c r="W200" s="879"/>
      <c r="X200" s="879"/>
      <c r="Y200" s="879"/>
      <c r="Z200" s="879"/>
      <c r="AA200" s="879"/>
      <c r="AB200" s="879"/>
      <c r="AC200" s="879"/>
      <c r="AD200" s="879"/>
      <c r="AE200" s="879"/>
      <c r="AF200" s="879"/>
      <c r="AG200" s="879"/>
      <c r="AH200" s="879"/>
      <c r="AI200" s="879"/>
      <c r="AJ200" s="879"/>
    </row>
    <row r="201" spans="1:36" x14ac:dyDescent="0.25">
      <c r="A201" s="879"/>
      <c r="B201" s="880" t="s">
        <v>1211</v>
      </c>
      <c r="C201" s="880" t="s">
        <v>1212</v>
      </c>
      <c r="D201" s="879"/>
      <c r="E201" s="880" t="s">
        <v>1219</v>
      </c>
      <c r="F201" s="880" t="s">
        <v>1220</v>
      </c>
      <c r="G201" s="880" t="s">
        <v>1221</v>
      </c>
      <c r="H201" s="880" t="s">
        <v>1222</v>
      </c>
      <c r="I201" s="880" t="s">
        <v>1223</v>
      </c>
      <c r="J201" s="879"/>
      <c r="K201" s="879"/>
      <c r="L201" s="879"/>
      <c r="M201" s="879"/>
      <c r="N201" s="879"/>
      <c r="O201" s="879"/>
      <c r="P201" s="879"/>
      <c r="Q201" s="879"/>
      <c r="R201" s="879"/>
      <c r="S201" s="879"/>
      <c r="T201" s="879"/>
      <c r="U201" s="879"/>
      <c r="V201" s="879"/>
      <c r="W201" s="879"/>
      <c r="X201" s="879"/>
      <c r="Y201" s="879"/>
      <c r="Z201" s="879"/>
      <c r="AA201" s="879"/>
      <c r="AB201" s="879"/>
      <c r="AC201" s="879"/>
      <c r="AD201" s="879"/>
      <c r="AE201" s="879"/>
      <c r="AF201" s="879"/>
      <c r="AG201" s="879"/>
      <c r="AH201" s="879"/>
      <c r="AI201" s="879"/>
      <c r="AJ201" s="879"/>
    </row>
    <row r="202" spans="1:36" x14ac:dyDescent="0.25">
      <c r="A202" s="879"/>
      <c r="B202" s="884">
        <f ca="1">+C195</f>
        <v>1.5368662528979069</v>
      </c>
      <c r="C202" s="1132">
        <f ca="1">+B202+($C$197/20)</f>
        <v>1.544584507259068</v>
      </c>
      <c r="D202" s="879">
        <f t="shared" ref="D202:D221" ca="1" si="88">+COUNTIFS(OFFSET(B$251:B$2250,0,$C$194),"&gt;="&amp;$B202,
OFFSET(B$251:B$2250,0,$C$194),"&lt;="&amp;$C202)</f>
        <v>4</v>
      </c>
      <c r="E202" s="1135">
        <f ca="1">+B202*$C$198</f>
        <v>1.5368662528979069</v>
      </c>
      <c r="F202" s="1135">
        <f ca="1">+C202*$C$198</f>
        <v>1.544584507259068</v>
      </c>
      <c r="G202" s="1134">
        <f ca="1">+AVERAGE(E202:F202)</f>
        <v>1.5407253800784875</v>
      </c>
      <c r="H202" s="879">
        <f ca="1">+D202/$D$223</f>
        <v>2E-3</v>
      </c>
      <c r="I202" s="879">
        <f ca="1">+H202</f>
        <v>2E-3</v>
      </c>
      <c r="J202" s="879"/>
      <c r="K202" s="879"/>
      <c r="L202" s="879"/>
      <c r="M202" s="879"/>
      <c r="N202" s="879"/>
      <c r="O202" s="879"/>
      <c r="P202" s="879"/>
      <c r="Q202" s="879"/>
      <c r="R202" s="879"/>
      <c r="S202" s="879"/>
      <c r="T202" s="879"/>
      <c r="U202" s="879"/>
      <c r="V202" s="879"/>
      <c r="W202" s="879"/>
      <c r="X202" s="879"/>
      <c r="Y202" s="879"/>
      <c r="Z202" s="879"/>
      <c r="AA202" s="879"/>
      <c r="AB202" s="879"/>
      <c r="AC202" s="879"/>
      <c r="AD202" s="879"/>
      <c r="AE202" s="879"/>
      <c r="AF202" s="879"/>
      <c r="AG202" s="879"/>
      <c r="AH202" s="879"/>
      <c r="AI202" s="879"/>
      <c r="AJ202" s="879"/>
    </row>
    <row r="203" spans="1:36" x14ac:dyDescent="0.25">
      <c r="A203" s="879"/>
      <c r="B203" s="884">
        <f ca="1">+C202</f>
        <v>1.544584507259068</v>
      </c>
      <c r="C203" s="1132">
        <f t="shared" ref="C203:C220" ca="1" si="89">+B203+($C$197/20)</f>
        <v>1.5523027616202292</v>
      </c>
      <c r="D203" s="879">
        <f t="shared" ca="1" si="88"/>
        <v>8</v>
      </c>
      <c r="E203" s="1135">
        <f t="shared" ref="E203:E221" ca="1" si="90">+B203*$C$198</f>
        <v>1.544584507259068</v>
      </c>
      <c r="F203" s="1135">
        <f t="shared" ref="F203:F222" ca="1" si="91">+C203*$C$198</f>
        <v>1.5523027616202292</v>
      </c>
      <c r="G203" s="1134">
        <f t="shared" ref="G203:G222" ca="1" si="92">+AVERAGE(E203:F203)</f>
        <v>1.5484436344396486</v>
      </c>
      <c r="H203" s="879">
        <f t="shared" ref="H203:H221" ca="1" si="93">+D203/$D$223</f>
        <v>4.0000000000000001E-3</v>
      </c>
      <c r="I203" s="879">
        <f ca="1">+I202+H203</f>
        <v>6.0000000000000001E-3</v>
      </c>
      <c r="J203" s="879"/>
      <c r="K203" s="879"/>
      <c r="L203" s="879"/>
      <c r="M203" s="879"/>
      <c r="N203" s="879"/>
      <c r="O203" s="879"/>
      <c r="P203" s="879"/>
      <c r="Q203" s="879"/>
      <c r="R203" s="879"/>
      <c r="S203" s="879"/>
      <c r="T203" s="879"/>
      <c r="U203" s="879"/>
      <c r="V203" s="879"/>
      <c r="W203" s="879"/>
      <c r="X203" s="879"/>
      <c r="Y203" s="879"/>
      <c r="Z203" s="879"/>
      <c r="AA203" s="879"/>
      <c r="AB203" s="879"/>
      <c r="AC203" s="879"/>
      <c r="AD203" s="879"/>
      <c r="AE203" s="879"/>
      <c r="AF203" s="879"/>
      <c r="AG203" s="879"/>
      <c r="AH203" s="879"/>
      <c r="AI203" s="879"/>
      <c r="AJ203" s="879"/>
    </row>
    <row r="204" spans="1:36" x14ac:dyDescent="0.25">
      <c r="A204" s="879"/>
      <c r="B204" s="884">
        <f t="shared" ref="B204:B221" ca="1" si="94">+C203</f>
        <v>1.5523027616202292</v>
      </c>
      <c r="C204" s="1132">
        <f t="shared" ca="1" si="89"/>
        <v>1.5600210159813903</v>
      </c>
      <c r="D204" s="879">
        <f t="shared" ca="1" si="88"/>
        <v>28</v>
      </c>
      <c r="E204" s="1135">
        <f t="shared" ca="1" si="90"/>
        <v>1.5523027616202292</v>
      </c>
      <c r="F204" s="1135">
        <f t="shared" ca="1" si="91"/>
        <v>1.5600210159813903</v>
      </c>
      <c r="G204" s="1134">
        <f t="shared" ca="1" si="92"/>
        <v>1.5561618888008097</v>
      </c>
      <c r="H204" s="879">
        <f t="shared" ca="1" si="93"/>
        <v>1.4E-2</v>
      </c>
      <c r="I204" s="879">
        <f t="shared" ref="I204:I221" ca="1" si="95">+I203+H204</f>
        <v>0.02</v>
      </c>
      <c r="J204" s="879"/>
      <c r="K204" s="879"/>
      <c r="L204" s="879"/>
      <c r="M204" s="879"/>
      <c r="N204" s="879"/>
      <c r="O204" s="879"/>
      <c r="P204" s="879"/>
      <c r="Q204" s="879"/>
      <c r="R204" s="879"/>
      <c r="S204" s="879"/>
      <c r="T204" s="879"/>
      <c r="U204" s="879"/>
      <c r="V204" s="879"/>
      <c r="W204" s="879"/>
      <c r="X204" s="879"/>
      <c r="Y204" s="879"/>
      <c r="Z204" s="879"/>
      <c r="AA204" s="879"/>
      <c r="AB204" s="879"/>
      <c r="AC204" s="879"/>
      <c r="AD204" s="879"/>
      <c r="AE204" s="879"/>
      <c r="AF204" s="879"/>
      <c r="AG204" s="879"/>
      <c r="AH204" s="879"/>
      <c r="AI204" s="879"/>
      <c r="AJ204" s="879"/>
    </row>
    <row r="205" spans="1:36" x14ac:dyDescent="0.25">
      <c r="A205" s="879"/>
      <c r="B205" s="884">
        <f t="shared" ca="1" si="94"/>
        <v>1.5600210159813903</v>
      </c>
      <c r="C205" s="1132">
        <f t="shared" ca="1" si="89"/>
        <v>1.5677392703425514</v>
      </c>
      <c r="D205" s="879">
        <f t="shared" ca="1" si="88"/>
        <v>57</v>
      </c>
      <c r="E205" s="1135">
        <f t="shared" ca="1" si="90"/>
        <v>1.5600210159813903</v>
      </c>
      <c r="F205" s="1135">
        <f t="shared" ca="1" si="91"/>
        <v>1.5677392703425514</v>
      </c>
      <c r="G205" s="1134">
        <f t="shared" ca="1" si="92"/>
        <v>1.5638801431619709</v>
      </c>
      <c r="H205" s="879">
        <f t="shared" ca="1" si="93"/>
        <v>2.8500000000000001E-2</v>
      </c>
      <c r="I205" s="879">
        <f t="shared" ca="1" si="95"/>
        <v>4.8500000000000001E-2</v>
      </c>
      <c r="J205" s="879"/>
      <c r="K205" s="879"/>
      <c r="L205" s="879"/>
      <c r="M205" s="879"/>
      <c r="N205" s="879"/>
      <c r="O205" s="879"/>
      <c r="P205" s="879"/>
      <c r="Q205" s="879"/>
      <c r="R205" s="879"/>
      <c r="S205" s="879"/>
      <c r="T205" s="879"/>
      <c r="U205" s="879"/>
      <c r="V205" s="879"/>
      <c r="W205" s="879"/>
      <c r="X205" s="879"/>
      <c r="Y205" s="879"/>
      <c r="Z205" s="879"/>
      <c r="AA205" s="879"/>
      <c r="AB205" s="879"/>
      <c r="AC205" s="879"/>
      <c r="AD205" s="879"/>
      <c r="AE205" s="879"/>
      <c r="AF205" s="879"/>
      <c r="AG205" s="879"/>
      <c r="AH205" s="879"/>
      <c r="AI205" s="879"/>
      <c r="AJ205" s="879"/>
    </row>
    <row r="206" spans="1:36" x14ac:dyDescent="0.25">
      <c r="A206" s="879"/>
      <c r="B206" s="884">
        <f t="shared" ca="1" si="94"/>
        <v>1.5677392703425514</v>
      </c>
      <c r="C206" s="1132">
        <f t="shared" ca="1" si="89"/>
        <v>1.5754575247037126</v>
      </c>
      <c r="D206" s="879">
        <f t="shared" ca="1" si="88"/>
        <v>99</v>
      </c>
      <c r="E206" s="1135">
        <f t="shared" ca="1" si="90"/>
        <v>1.5677392703425514</v>
      </c>
      <c r="F206" s="1135">
        <f t="shared" ca="1" si="91"/>
        <v>1.5754575247037126</v>
      </c>
      <c r="G206" s="1134">
        <f t="shared" ca="1" si="92"/>
        <v>1.571598397523132</v>
      </c>
      <c r="H206" s="879">
        <f t="shared" ca="1" si="93"/>
        <v>4.9500000000000002E-2</v>
      </c>
      <c r="I206" s="879">
        <f t="shared" ca="1" si="95"/>
        <v>9.8000000000000004E-2</v>
      </c>
      <c r="J206" s="879"/>
      <c r="K206" s="879"/>
      <c r="L206" s="879"/>
      <c r="M206" s="879"/>
      <c r="N206" s="879"/>
      <c r="O206" s="879"/>
      <c r="P206" s="879"/>
      <c r="Q206" s="879"/>
      <c r="R206" s="879"/>
      <c r="S206" s="879"/>
      <c r="T206" s="879"/>
      <c r="U206" s="879"/>
      <c r="V206" s="879"/>
      <c r="W206" s="879"/>
      <c r="X206" s="879"/>
      <c r="Y206" s="879"/>
      <c r="Z206" s="879"/>
      <c r="AA206" s="879"/>
      <c r="AB206" s="879"/>
      <c r="AC206" s="879"/>
      <c r="AD206" s="879"/>
      <c r="AE206" s="879"/>
      <c r="AF206" s="879"/>
      <c r="AG206" s="879"/>
      <c r="AH206" s="879"/>
      <c r="AI206" s="879"/>
      <c r="AJ206" s="879"/>
    </row>
    <row r="207" spans="1:36" x14ac:dyDescent="0.25">
      <c r="A207" s="879"/>
      <c r="B207" s="884">
        <f t="shared" ca="1" si="94"/>
        <v>1.5754575247037126</v>
      </c>
      <c r="C207" s="1132">
        <f t="shared" ca="1" si="89"/>
        <v>1.5831757790648737</v>
      </c>
      <c r="D207" s="879">
        <f t="shared" ca="1" si="88"/>
        <v>103</v>
      </c>
      <c r="E207" s="1135">
        <f t="shared" ca="1" si="90"/>
        <v>1.5754575247037126</v>
      </c>
      <c r="F207" s="1135">
        <f t="shared" ca="1" si="91"/>
        <v>1.5831757790648737</v>
      </c>
      <c r="G207" s="1134">
        <f t="shared" ca="1" si="92"/>
        <v>1.5793166518842932</v>
      </c>
      <c r="H207" s="879">
        <f t="shared" ca="1" si="93"/>
        <v>5.1499999999999997E-2</v>
      </c>
      <c r="I207" s="879">
        <f t="shared" ca="1" si="95"/>
        <v>0.14949999999999999</v>
      </c>
      <c r="J207" s="879"/>
      <c r="K207" s="879"/>
      <c r="L207" s="879"/>
      <c r="M207" s="879"/>
      <c r="N207" s="879"/>
      <c r="O207" s="879"/>
      <c r="P207" s="879"/>
      <c r="Q207" s="879"/>
      <c r="R207" s="879"/>
      <c r="S207" s="879"/>
      <c r="T207" s="879"/>
      <c r="U207" s="879"/>
      <c r="V207" s="879"/>
      <c r="W207" s="879"/>
      <c r="X207" s="879"/>
      <c r="Y207" s="879"/>
      <c r="Z207" s="879"/>
      <c r="AA207" s="879"/>
      <c r="AB207" s="879"/>
      <c r="AC207" s="879"/>
      <c r="AD207" s="879"/>
      <c r="AE207" s="879"/>
      <c r="AF207" s="879"/>
      <c r="AG207" s="879"/>
      <c r="AH207" s="879"/>
      <c r="AI207" s="879"/>
      <c r="AJ207" s="879"/>
    </row>
    <row r="208" spans="1:36" x14ac:dyDescent="0.25">
      <c r="A208" s="879"/>
      <c r="B208" s="884">
        <f t="shared" ca="1" si="94"/>
        <v>1.5831757790648737</v>
      </c>
      <c r="C208" s="1132">
        <f t="shared" ca="1" si="89"/>
        <v>1.5908940334260349</v>
      </c>
      <c r="D208" s="879">
        <f t="shared" ca="1" si="88"/>
        <v>143</v>
      </c>
      <c r="E208" s="1135">
        <f t="shared" ca="1" si="90"/>
        <v>1.5831757790648737</v>
      </c>
      <c r="F208" s="1135">
        <f t="shared" ca="1" si="91"/>
        <v>1.5908940334260349</v>
      </c>
      <c r="G208" s="1134">
        <f t="shared" ca="1" si="92"/>
        <v>1.5870349062454543</v>
      </c>
      <c r="H208" s="879">
        <f t="shared" ca="1" si="93"/>
        <v>7.1499999999999994E-2</v>
      </c>
      <c r="I208" s="879">
        <f t="shared" ca="1" si="95"/>
        <v>0.22099999999999997</v>
      </c>
      <c r="J208" s="879"/>
      <c r="K208" s="879"/>
      <c r="L208" s="879"/>
      <c r="M208" s="879"/>
      <c r="N208" s="879"/>
      <c r="O208" s="879"/>
      <c r="P208" s="879"/>
      <c r="Q208" s="879"/>
      <c r="R208" s="879"/>
      <c r="S208" s="879"/>
      <c r="T208" s="879"/>
      <c r="U208" s="879"/>
      <c r="V208" s="879"/>
      <c r="W208" s="879"/>
      <c r="X208" s="879"/>
      <c r="Y208" s="879"/>
      <c r="Z208" s="879"/>
      <c r="AA208" s="879"/>
      <c r="AB208" s="879"/>
      <c r="AC208" s="879"/>
      <c r="AD208" s="879"/>
      <c r="AE208" s="879"/>
      <c r="AF208" s="879"/>
      <c r="AG208" s="879"/>
      <c r="AH208" s="879"/>
      <c r="AI208" s="879"/>
      <c r="AJ208" s="879"/>
    </row>
    <row r="209" spans="1:36" x14ac:dyDescent="0.25">
      <c r="A209" s="879"/>
      <c r="B209" s="884">
        <f t="shared" ca="1" si="94"/>
        <v>1.5908940334260349</v>
      </c>
      <c r="C209" s="1132">
        <f t="shared" ca="1" si="89"/>
        <v>1.598612287787196</v>
      </c>
      <c r="D209" s="879">
        <f t="shared" ca="1" si="88"/>
        <v>179</v>
      </c>
      <c r="E209" s="1135">
        <f t="shared" ca="1" si="90"/>
        <v>1.5908940334260349</v>
      </c>
      <c r="F209" s="1135">
        <f t="shared" ca="1" si="91"/>
        <v>1.598612287787196</v>
      </c>
      <c r="G209" s="1134">
        <f t="shared" ca="1" si="92"/>
        <v>1.5947531606066154</v>
      </c>
      <c r="H209" s="879">
        <f t="shared" ca="1" si="93"/>
        <v>8.9499999999999996E-2</v>
      </c>
      <c r="I209" s="879">
        <f t="shared" ca="1" si="95"/>
        <v>0.3105</v>
      </c>
      <c r="J209" s="879"/>
      <c r="K209" s="879"/>
      <c r="L209" s="879"/>
      <c r="M209" s="879"/>
      <c r="N209" s="879"/>
      <c r="O209" s="879"/>
      <c r="P209" s="879"/>
      <c r="Q209" s="879"/>
      <c r="R209" s="879"/>
      <c r="S209" s="879"/>
      <c r="T209" s="879"/>
      <c r="U209" s="879"/>
      <c r="V209" s="879"/>
      <c r="W209" s="879"/>
      <c r="X209" s="879"/>
      <c r="Y209" s="879"/>
      <c r="Z209" s="879"/>
      <c r="AA209" s="879"/>
      <c r="AB209" s="879"/>
      <c r="AC209" s="879"/>
      <c r="AD209" s="879"/>
      <c r="AE209" s="879"/>
      <c r="AF209" s="879"/>
      <c r="AG209" s="879"/>
      <c r="AH209" s="879"/>
      <c r="AI209" s="879"/>
      <c r="AJ209" s="879"/>
    </row>
    <row r="210" spans="1:36" x14ac:dyDescent="0.25">
      <c r="A210" s="879"/>
      <c r="B210" s="884">
        <f t="shared" ca="1" si="94"/>
        <v>1.598612287787196</v>
      </c>
      <c r="C210" s="1132">
        <f t="shared" ca="1" si="89"/>
        <v>1.6063305421483571</v>
      </c>
      <c r="D210" s="879">
        <f t="shared" ca="1" si="88"/>
        <v>193</v>
      </c>
      <c r="E210" s="1135">
        <f t="shared" ca="1" si="90"/>
        <v>1.598612287787196</v>
      </c>
      <c r="F210" s="1135">
        <f t="shared" ca="1" si="91"/>
        <v>1.6063305421483571</v>
      </c>
      <c r="G210" s="1134">
        <f t="shared" ca="1" si="92"/>
        <v>1.6024714149677766</v>
      </c>
      <c r="H210" s="879">
        <f t="shared" ca="1" si="93"/>
        <v>9.6500000000000002E-2</v>
      </c>
      <c r="I210" s="879">
        <f t="shared" ca="1" si="95"/>
        <v>0.40700000000000003</v>
      </c>
      <c r="J210" s="879"/>
      <c r="K210" s="879"/>
      <c r="L210" s="879"/>
      <c r="M210" s="879"/>
      <c r="N210" s="879"/>
      <c r="O210" s="879"/>
      <c r="P210" s="879"/>
      <c r="Q210" s="879"/>
      <c r="R210" s="879"/>
      <c r="S210" s="879"/>
      <c r="T210" s="879"/>
      <c r="U210" s="879"/>
      <c r="V210" s="879"/>
      <c r="W210" s="879"/>
      <c r="X210" s="879"/>
      <c r="Y210" s="879"/>
      <c r="Z210" s="879"/>
      <c r="AA210" s="879"/>
      <c r="AB210" s="879"/>
      <c r="AC210" s="879"/>
      <c r="AD210" s="879"/>
      <c r="AE210" s="879"/>
      <c r="AF210" s="879"/>
      <c r="AG210" s="879"/>
      <c r="AH210" s="879"/>
      <c r="AI210" s="879"/>
      <c r="AJ210" s="879"/>
    </row>
    <row r="211" spans="1:36" x14ac:dyDescent="0.25">
      <c r="A211" s="879"/>
      <c r="B211" s="884">
        <f t="shared" ca="1" si="94"/>
        <v>1.6063305421483571</v>
      </c>
      <c r="C211" s="1132">
        <f t="shared" ca="1" si="89"/>
        <v>1.6140487965095183</v>
      </c>
      <c r="D211" s="879">
        <f t="shared" ca="1" si="88"/>
        <v>233</v>
      </c>
      <c r="E211" s="1135">
        <f t="shared" ca="1" si="90"/>
        <v>1.6063305421483571</v>
      </c>
      <c r="F211" s="1135">
        <f t="shared" ca="1" si="91"/>
        <v>1.6140487965095183</v>
      </c>
      <c r="G211" s="1134">
        <f t="shared" ca="1" si="92"/>
        <v>1.6101896693289377</v>
      </c>
      <c r="H211" s="879">
        <f t="shared" ca="1" si="93"/>
        <v>0.11650000000000001</v>
      </c>
      <c r="I211" s="879">
        <f t="shared" ca="1" si="95"/>
        <v>0.52350000000000008</v>
      </c>
      <c r="J211" s="879"/>
      <c r="K211" s="879"/>
      <c r="L211" s="879"/>
      <c r="M211" s="879"/>
      <c r="N211" s="879"/>
      <c r="O211" s="879"/>
      <c r="P211" s="879"/>
      <c r="Q211" s="879"/>
      <c r="R211" s="879"/>
      <c r="S211" s="879"/>
      <c r="T211" s="879"/>
      <c r="U211" s="879"/>
      <c r="V211" s="879"/>
      <c r="W211" s="879"/>
      <c r="X211" s="879"/>
      <c r="Y211" s="879"/>
      <c r="Z211" s="879"/>
      <c r="AA211" s="879"/>
      <c r="AB211" s="879"/>
      <c r="AC211" s="879"/>
      <c r="AD211" s="879"/>
      <c r="AE211" s="879"/>
      <c r="AF211" s="879"/>
      <c r="AG211" s="879"/>
      <c r="AH211" s="879"/>
      <c r="AI211" s="879"/>
      <c r="AJ211" s="879"/>
    </row>
    <row r="212" spans="1:36" x14ac:dyDescent="0.25">
      <c r="A212" s="879"/>
      <c r="B212" s="884">
        <f t="shared" ca="1" si="94"/>
        <v>1.6140487965095183</v>
      </c>
      <c r="C212" s="1132">
        <f t="shared" ca="1" si="89"/>
        <v>1.6217670508706794</v>
      </c>
      <c r="D212" s="879">
        <f t="shared" ca="1" si="88"/>
        <v>201</v>
      </c>
      <c r="E212" s="1135">
        <f t="shared" ca="1" si="90"/>
        <v>1.6140487965095183</v>
      </c>
      <c r="F212" s="1135">
        <f t="shared" ca="1" si="91"/>
        <v>1.6217670508706794</v>
      </c>
      <c r="G212" s="1134">
        <f t="shared" ca="1" si="92"/>
        <v>1.6179079236900988</v>
      </c>
      <c r="H212" s="879">
        <f t="shared" ca="1" si="93"/>
        <v>0.10050000000000001</v>
      </c>
      <c r="I212" s="879">
        <f t="shared" ca="1" si="95"/>
        <v>0.62400000000000011</v>
      </c>
      <c r="J212" s="879"/>
      <c r="K212" s="879"/>
      <c r="L212" s="879"/>
      <c r="M212" s="879"/>
      <c r="N212" s="879"/>
      <c r="O212" s="879"/>
      <c r="P212" s="879"/>
      <c r="Q212" s="879"/>
      <c r="R212" s="879"/>
      <c r="S212" s="879"/>
      <c r="T212" s="879"/>
      <c r="U212" s="879"/>
      <c r="V212" s="879"/>
      <c r="W212" s="879"/>
      <c r="X212" s="879"/>
      <c r="Y212" s="879"/>
      <c r="Z212" s="879"/>
      <c r="AA212" s="879"/>
      <c r="AB212" s="879"/>
      <c r="AC212" s="879"/>
      <c r="AD212" s="879"/>
      <c r="AE212" s="879"/>
      <c r="AF212" s="879"/>
      <c r="AG212" s="879"/>
      <c r="AH212" s="879"/>
      <c r="AI212" s="879"/>
      <c r="AJ212" s="879"/>
    </row>
    <row r="213" spans="1:36" x14ac:dyDescent="0.25">
      <c r="A213" s="879"/>
      <c r="B213" s="884">
        <f t="shared" ca="1" si="94"/>
        <v>1.6217670508706794</v>
      </c>
      <c r="C213" s="1132">
        <f t="shared" ca="1" si="89"/>
        <v>1.6294853052318405</v>
      </c>
      <c r="D213" s="879">
        <f t="shared" ca="1" si="88"/>
        <v>200</v>
      </c>
      <c r="E213" s="1135">
        <f t="shared" ca="1" si="90"/>
        <v>1.6217670508706794</v>
      </c>
      <c r="F213" s="1135">
        <f t="shared" ca="1" si="91"/>
        <v>1.6294853052318405</v>
      </c>
      <c r="G213" s="1134">
        <f t="shared" ca="1" si="92"/>
        <v>1.62562617805126</v>
      </c>
      <c r="H213" s="879">
        <f t="shared" ca="1" si="93"/>
        <v>0.1</v>
      </c>
      <c r="I213" s="879">
        <f t="shared" ca="1" si="95"/>
        <v>0.72400000000000009</v>
      </c>
      <c r="J213" s="879"/>
      <c r="K213" s="879"/>
      <c r="L213" s="879"/>
      <c r="M213" s="879"/>
      <c r="N213" s="879"/>
      <c r="O213" s="879"/>
      <c r="P213" s="879"/>
      <c r="Q213" s="879"/>
      <c r="R213" s="879"/>
      <c r="S213" s="879"/>
      <c r="T213" s="879"/>
      <c r="U213" s="879"/>
      <c r="V213" s="879"/>
      <c r="W213" s="879"/>
      <c r="X213" s="879"/>
      <c r="Y213" s="879"/>
      <c r="Z213" s="879"/>
      <c r="AA213" s="879"/>
      <c r="AB213" s="879"/>
      <c r="AC213" s="879"/>
      <c r="AD213" s="879"/>
      <c r="AE213" s="879"/>
      <c r="AF213" s="879"/>
      <c r="AG213" s="879"/>
      <c r="AH213" s="879"/>
      <c r="AI213" s="879"/>
      <c r="AJ213" s="879"/>
    </row>
    <row r="214" spans="1:36" x14ac:dyDescent="0.25">
      <c r="A214" s="879"/>
      <c r="B214" s="884">
        <f t="shared" ca="1" si="94"/>
        <v>1.6294853052318405</v>
      </c>
      <c r="C214" s="1132">
        <f t="shared" ca="1" si="89"/>
        <v>1.6372035595930017</v>
      </c>
      <c r="D214" s="879">
        <f t="shared" ca="1" si="88"/>
        <v>178</v>
      </c>
      <c r="E214" s="1135">
        <f t="shared" ca="1" si="90"/>
        <v>1.6294853052318405</v>
      </c>
      <c r="F214" s="1135">
        <f t="shared" ca="1" si="91"/>
        <v>1.6372035595930017</v>
      </c>
      <c r="G214" s="1134">
        <f t="shared" ca="1" si="92"/>
        <v>1.6333444324124211</v>
      </c>
      <c r="H214" s="879">
        <f t="shared" ca="1" si="93"/>
        <v>8.8999999999999996E-2</v>
      </c>
      <c r="I214" s="879">
        <f t="shared" ca="1" si="95"/>
        <v>0.81300000000000006</v>
      </c>
      <c r="J214" s="879"/>
      <c r="K214" s="879"/>
      <c r="L214" s="879"/>
      <c r="M214" s="879"/>
      <c r="N214" s="879"/>
      <c r="O214" s="879"/>
      <c r="P214" s="879"/>
      <c r="Q214" s="879"/>
      <c r="R214" s="879"/>
      <c r="S214" s="879"/>
      <c r="T214" s="879"/>
      <c r="U214" s="879"/>
      <c r="V214" s="879"/>
      <c r="W214" s="879"/>
      <c r="X214" s="879"/>
      <c r="Y214" s="879"/>
      <c r="Z214" s="879"/>
      <c r="AA214" s="879"/>
      <c r="AB214" s="879"/>
      <c r="AC214" s="879"/>
      <c r="AD214" s="879"/>
      <c r="AE214" s="879"/>
      <c r="AF214" s="879"/>
      <c r="AG214" s="879"/>
      <c r="AH214" s="879"/>
      <c r="AI214" s="879"/>
      <c r="AJ214" s="879"/>
    </row>
    <row r="215" spans="1:36" x14ac:dyDescent="0.25">
      <c r="A215" s="879"/>
      <c r="B215" s="884">
        <f t="shared" ca="1" si="94"/>
        <v>1.6372035595930017</v>
      </c>
      <c r="C215" s="1132">
        <f t="shared" ca="1" si="89"/>
        <v>1.6449218139541628</v>
      </c>
      <c r="D215" s="879">
        <f t="shared" ca="1" si="88"/>
        <v>149</v>
      </c>
      <c r="E215" s="1135">
        <f t="shared" ca="1" si="90"/>
        <v>1.6372035595930017</v>
      </c>
      <c r="F215" s="1135">
        <f t="shared" ca="1" si="91"/>
        <v>1.6449218139541628</v>
      </c>
      <c r="G215" s="1134">
        <f t="shared" ca="1" si="92"/>
        <v>1.6410626867735822</v>
      </c>
      <c r="H215" s="879">
        <f t="shared" ca="1" si="93"/>
        <v>7.4499999999999997E-2</v>
      </c>
      <c r="I215" s="879">
        <f t="shared" ca="1" si="95"/>
        <v>0.88750000000000007</v>
      </c>
      <c r="J215" s="879"/>
      <c r="K215" s="879"/>
      <c r="L215" s="879"/>
      <c r="M215" s="879"/>
      <c r="N215" s="879"/>
      <c r="O215" s="879"/>
      <c r="P215" s="879"/>
      <c r="Q215" s="879"/>
      <c r="R215" s="879"/>
      <c r="S215" s="879"/>
      <c r="T215" s="879"/>
      <c r="U215" s="879"/>
      <c r="V215" s="879"/>
      <c r="W215" s="879"/>
      <c r="X215" s="879"/>
      <c r="Y215" s="879"/>
      <c r="Z215" s="879"/>
      <c r="AA215" s="879"/>
      <c r="AB215" s="879"/>
      <c r="AC215" s="879"/>
      <c r="AD215" s="879"/>
      <c r="AE215" s="879"/>
      <c r="AF215" s="879"/>
      <c r="AG215" s="879"/>
      <c r="AH215" s="879"/>
      <c r="AI215" s="879"/>
      <c r="AJ215" s="879"/>
    </row>
    <row r="216" spans="1:36" x14ac:dyDescent="0.25">
      <c r="A216" s="879"/>
      <c r="B216" s="884">
        <f t="shared" ca="1" si="94"/>
        <v>1.6449218139541628</v>
      </c>
      <c r="C216" s="1132">
        <f t="shared" ca="1" si="89"/>
        <v>1.652640068315324</v>
      </c>
      <c r="D216" s="879">
        <f t="shared" ca="1" si="88"/>
        <v>87</v>
      </c>
      <c r="E216" s="1135">
        <f t="shared" ca="1" si="90"/>
        <v>1.6449218139541628</v>
      </c>
      <c r="F216" s="1135">
        <f t="shared" ca="1" si="91"/>
        <v>1.652640068315324</v>
      </c>
      <c r="G216" s="1134">
        <f t="shared" ca="1" si="92"/>
        <v>1.6487809411347434</v>
      </c>
      <c r="H216" s="879">
        <f t="shared" ca="1" si="93"/>
        <v>4.3499999999999997E-2</v>
      </c>
      <c r="I216" s="879">
        <f t="shared" ca="1" si="95"/>
        <v>0.93100000000000005</v>
      </c>
      <c r="J216" s="879"/>
      <c r="K216" s="879"/>
      <c r="L216" s="879"/>
      <c r="M216" s="879"/>
      <c r="N216" s="879"/>
      <c r="O216" s="879"/>
      <c r="P216" s="879"/>
      <c r="Q216" s="879"/>
      <c r="R216" s="879"/>
      <c r="S216" s="879"/>
      <c r="T216" s="879"/>
      <c r="U216" s="879"/>
      <c r="V216" s="879"/>
      <c r="W216" s="879"/>
      <c r="X216" s="879"/>
      <c r="Y216" s="879"/>
      <c r="Z216" s="879"/>
      <c r="AA216" s="879"/>
      <c r="AB216" s="879"/>
      <c r="AC216" s="879"/>
      <c r="AD216" s="879"/>
      <c r="AE216" s="879"/>
      <c r="AF216" s="879"/>
      <c r="AG216" s="879"/>
      <c r="AH216" s="879"/>
      <c r="AI216" s="879"/>
      <c r="AJ216" s="879"/>
    </row>
    <row r="217" spans="1:36" x14ac:dyDescent="0.25">
      <c r="A217" s="879"/>
      <c r="B217" s="884">
        <f t="shared" ca="1" si="94"/>
        <v>1.652640068315324</v>
      </c>
      <c r="C217" s="1132">
        <f t="shared" ca="1" si="89"/>
        <v>1.6603583226764851</v>
      </c>
      <c r="D217" s="879">
        <f t="shared" ca="1" si="88"/>
        <v>64</v>
      </c>
      <c r="E217" s="1135">
        <f t="shared" ca="1" si="90"/>
        <v>1.652640068315324</v>
      </c>
      <c r="F217" s="1135">
        <f t="shared" ca="1" si="91"/>
        <v>1.6603583226764851</v>
      </c>
      <c r="G217" s="1134">
        <f t="shared" ca="1" si="92"/>
        <v>1.6564991954959045</v>
      </c>
      <c r="H217" s="879">
        <f t="shared" ca="1" si="93"/>
        <v>3.2000000000000001E-2</v>
      </c>
      <c r="I217" s="879">
        <f t="shared" ca="1" si="95"/>
        <v>0.96300000000000008</v>
      </c>
      <c r="J217" s="879"/>
      <c r="K217" s="879"/>
      <c r="L217" s="879"/>
      <c r="M217" s="879"/>
      <c r="N217" s="879"/>
      <c r="O217" s="879"/>
      <c r="P217" s="879"/>
      <c r="Q217" s="879"/>
      <c r="R217" s="879"/>
      <c r="S217" s="879"/>
      <c r="T217" s="879"/>
      <c r="U217" s="879"/>
      <c r="V217" s="879"/>
      <c r="W217" s="879"/>
      <c r="X217" s="879"/>
      <c r="Y217" s="879"/>
      <c r="Z217" s="879"/>
      <c r="AA217" s="879"/>
      <c r="AB217" s="879"/>
      <c r="AC217" s="879"/>
      <c r="AD217" s="879"/>
      <c r="AE217" s="879"/>
      <c r="AF217" s="879"/>
      <c r="AG217" s="879"/>
      <c r="AH217" s="879"/>
      <c r="AI217" s="879"/>
      <c r="AJ217" s="879"/>
    </row>
    <row r="218" spans="1:36" x14ac:dyDescent="0.25">
      <c r="A218" s="879"/>
      <c r="B218" s="884">
        <f t="shared" ca="1" si="94"/>
        <v>1.6603583226764851</v>
      </c>
      <c r="C218" s="1132">
        <f t="shared" ca="1" si="89"/>
        <v>1.6680765770376462</v>
      </c>
      <c r="D218" s="879">
        <f t="shared" ca="1" si="88"/>
        <v>39</v>
      </c>
      <c r="E218" s="1135">
        <f t="shared" ca="1" si="90"/>
        <v>1.6603583226764851</v>
      </c>
      <c r="F218" s="1135">
        <f t="shared" ca="1" si="91"/>
        <v>1.6680765770376462</v>
      </c>
      <c r="G218" s="1134">
        <f t="shared" ca="1" si="92"/>
        <v>1.6642174498570657</v>
      </c>
      <c r="H218" s="879">
        <f t="shared" ca="1" si="93"/>
        <v>1.95E-2</v>
      </c>
      <c r="I218" s="879">
        <f t="shared" ca="1" si="95"/>
        <v>0.98250000000000004</v>
      </c>
      <c r="J218" s="879"/>
      <c r="K218" s="879"/>
      <c r="L218" s="879"/>
      <c r="M218" s="879"/>
      <c r="N218" s="879"/>
      <c r="O218" s="879"/>
      <c r="P218" s="879"/>
      <c r="Q218" s="879"/>
      <c r="R218" s="879"/>
      <c r="S218" s="879"/>
      <c r="T218" s="879"/>
      <c r="U218" s="879"/>
      <c r="V218" s="879"/>
      <c r="W218" s="879"/>
      <c r="X218" s="879"/>
      <c r="Y218" s="879"/>
      <c r="Z218" s="879"/>
      <c r="AA218" s="879"/>
      <c r="AB218" s="879"/>
      <c r="AC218" s="879"/>
      <c r="AD218" s="879"/>
      <c r="AE218" s="879"/>
      <c r="AF218" s="879"/>
      <c r="AG218" s="879"/>
      <c r="AH218" s="879"/>
      <c r="AI218" s="879"/>
      <c r="AJ218" s="879"/>
    </row>
    <row r="219" spans="1:36" x14ac:dyDescent="0.25">
      <c r="A219" s="879"/>
      <c r="B219" s="884">
        <f t="shared" ca="1" si="94"/>
        <v>1.6680765770376462</v>
      </c>
      <c r="C219" s="1132">
        <f t="shared" ca="1" si="89"/>
        <v>1.6757948313988074</v>
      </c>
      <c r="D219" s="879">
        <f t="shared" ca="1" si="88"/>
        <v>23</v>
      </c>
      <c r="E219" s="1135">
        <f t="shared" ca="1" si="90"/>
        <v>1.6680765770376462</v>
      </c>
      <c r="F219" s="1135">
        <f t="shared" ca="1" si="91"/>
        <v>1.6757948313988074</v>
      </c>
      <c r="G219" s="1134">
        <f t="shared" ca="1" si="92"/>
        <v>1.6719357042182268</v>
      </c>
      <c r="H219" s="879">
        <f t="shared" ca="1" si="93"/>
        <v>1.15E-2</v>
      </c>
      <c r="I219" s="879">
        <f t="shared" ca="1" si="95"/>
        <v>0.99399999999999999</v>
      </c>
      <c r="J219" s="879"/>
      <c r="K219" s="879"/>
      <c r="L219" s="879"/>
      <c r="M219" s="879"/>
      <c r="N219" s="879"/>
      <c r="O219" s="879"/>
      <c r="P219" s="879"/>
      <c r="Q219" s="879"/>
      <c r="R219" s="879"/>
      <c r="S219" s="879"/>
      <c r="T219" s="879"/>
      <c r="U219" s="879"/>
      <c r="V219" s="879"/>
      <c r="W219" s="879"/>
      <c r="X219" s="879"/>
      <c r="Y219" s="879"/>
      <c r="Z219" s="879"/>
      <c r="AA219" s="879"/>
      <c r="AB219" s="879"/>
      <c r="AC219" s="879"/>
      <c r="AD219" s="879"/>
      <c r="AE219" s="879"/>
      <c r="AF219" s="879"/>
      <c r="AG219" s="879"/>
      <c r="AH219" s="879"/>
      <c r="AI219" s="879"/>
      <c r="AJ219" s="879"/>
    </row>
    <row r="220" spans="1:36" x14ac:dyDescent="0.25">
      <c r="A220" s="879"/>
      <c r="B220" s="884">
        <f t="shared" ca="1" si="94"/>
        <v>1.6757948313988074</v>
      </c>
      <c r="C220" s="1132">
        <f t="shared" ca="1" si="89"/>
        <v>1.6835130857599685</v>
      </c>
      <c r="D220" s="879">
        <f t="shared" ca="1" si="88"/>
        <v>10</v>
      </c>
      <c r="E220" s="1135">
        <f t="shared" ca="1" si="90"/>
        <v>1.6757948313988074</v>
      </c>
      <c r="F220" s="1135">
        <f t="shared" ca="1" si="91"/>
        <v>1.6835130857599685</v>
      </c>
      <c r="G220" s="1134">
        <f t="shared" ca="1" si="92"/>
        <v>1.6796539585793879</v>
      </c>
      <c r="H220" s="879">
        <f t="shared" ca="1" si="93"/>
        <v>5.0000000000000001E-3</v>
      </c>
      <c r="I220" s="879">
        <f t="shared" ca="1" si="95"/>
        <v>0.999</v>
      </c>
      <c r="J220" s="879"/>
      <c r="K220" s="879"/>
      <c r="L220" s="879"/>
      <c r="M220" s="879"/>
      <c r="N220" s="879"/>
      <c r="O220" s="879"/>
      <c r="P220" s="879"/>
      <c r="Q220" s="879"/>
      <c r="R220" s="879"/>
      <c r="S220" s="879"/>
      <c r="T220" s="879"/>
      <c r="U220" s="879"/>
      <c r="V220" s="879"/>
      <c r="W220" s="879"/>
      <c r="X220" s="879"/>
      <c r="Y220" s="879"/>
      <c r="Z220" s="879"/>
      <c r="AA220" s="879"/>
      <c r="AB220" s="879"/>
      <c r="AC220" s="879"/>
      <c r="AD220" s="879"/>
      <c r="AE220" s="879"/>
      <c r="AF220" s="879"/>
      <c r="AG220" s="879"/>
      <c r="AH220" s="879"/>
      <c r="AI220" s="879"/>
      <c r="AJ220" s="879"/>
    </row>
    <row r="221" spans="1:36" x14ac:dyDescent="0.25">
      <c r="A221" s="879"/>
      <c r="B221" s="884">
        <f t="shared" ca="1" si="94"/>
        <v>1.6835130857599685</v>
      </c>
      <c r="C221" s="1132">
        <f ca="1">+B221+($C$197/20)+0.000001</f>
        <v>1.6912323401211296</v>
      </c>
      <c r="D221" s="879">
        <f t="shared" ca="1" si="88"/>
        <v>2</v>
      </c>
      <c r="E221" s="1135">
        <f t="shared" ca="1" si="90"/>
        <v>1.6835130857599685</v>
      </c>
      <c r="F221" s="1135">
        <f t="shared" ca="1" si="91"/>
        <v>1.6912323401211296</v>
      </c>
      <c r="G221" s="1134">
        <f t="shared" ca="1" si="92"/>
        <v>1.6873727129405491</v>
      </c>
      <c r="H221" s="879">
        <f t="shared" ca="1" si="93"/>
        <v>1E-3</v>
      </c>
      <c r="I221" s="879">
        <f t="shared" ca="1" si="95"/>
        <v>1</v>
      </c>
      <c r="J221" s="879"/>
      <c r="K221" s="879"/>
      <c r="L221" s="879"/>
      <c r="M221" s="879"/>
      <c r="N221" s="879"/>
      <c r="O221" s="879"/>
      <c r="P221" s="879"/>
      <c r="Q221" s="879"/>
      <c r="R221" s="879"/>
      <c r="S221" s="879"/>
      <c r="T221" s="879"/>
      <c r="U221" s="879"/>
      <c r="V221" s="879"/>
      <c r="W221" s="879"/>
      <c r="X221" s="879"/>
      <c r="Y221" s="879"/>
      <c r="Z221" s="879"/>
      <c r="AA221" s="879"/>
      <c r="AB221" s="879"/>
      <c r="AC221" s="879"/>
      <c r="AD221" s="879"/>
      <c r="AE221" s="879"/>
      <c r="AF221" s="879"/>
      <c r="AG221" s="879"/>
      <c r="AH221" s="879"/>
      <c r="AI221" s="879"/>
      <c r="AJ221" s="879"/>
    </row>
    <row r="222" spans="1:36" x14ac:dyDescent="0.25">
      <c r="A222" s="879"/>
      <c r="B222" s="880"/>
      <c r="C222" s="1136"/>
      <c r="D222" s="879"/>
      <c r="E222" s="879"/>
      <c r="F222" s="879">
        <f t="shared" ca="1" si="91"/>
        <v>0</v>
      </c>
      <c r="G222" s="1134">
        <f t="shared" ca="1" si="92"/>
        <v>0</v>
      </c>
      <c r="H222" s="879"/>
      <c r="I222" s="879"/>
      <c r="J222" s="879"/>
      <c r="K222" s="879"/>
      <c r="L222" s="879"/>
      <c r="M222" s="879"/>
      <c r="N222" s="879"/>
      <c r="O222" s="879"/>
      <c r="P222" s="879"/>
      <c r="Q222" s="879"/>
      <c r="R222" s="879"/>
      <c r="S222" s="879"/>
      <c r="T222" s="879"/>
      <c r="U222" s="879"/>
      <c r="V222" s="879"/>
      <c r="W222" s="879"/>
      <c r="X222" s="879"/>
      <c r="Y222" s="879"/>
      <c r="Z222" s="879"/>
      <c r="AA222" s="879"/>
      <c r="AB222" s="879"/>
      <c r="AC222" s="879"/>
      <c r="AD222" s="879"/>
      <c r="AE222" s="879"/>
      <c r="AF222" s="879"/>
      <c r="AG222" s="879"/>
      <c r="AH222" s="879"/>
      <c r="AI222" s="879"/>
      <c r="AJ222" s="879"/>
    </row>
    <row r="223" spans="1:36" x14ac:dyDescent="0.25">
      <c r="A223" s="879"/>
      <c r="B223" s="880" t="s">
        <v>1213</v>
      </c>
      <c r="C223" s="879"/>
      <c r="D223" s="879">
        <f ca="1">+SUM(D202:D221)</f>
        <v>2000</v>
      </c>
      <c r="E223" s="879"/>
      <c r="F223" s="879"/>
      <c r="G223" s="879"/>
      <c r="H223" s="879"/>
      <c r="I223" s="879"/>
      <c r="J223" s="879"/>
      <c r="K223" s="879"/>
      <c r="L223" s="879"/>
      <c r="M223" s="879"/>
      <c r="N223" s="879"/>
      <c r="O223" s="879"/>
      <c r="P223" s="879"/>
      <c r="Q223" s="879"/>
      <c r="R223" s="879"/>
      <c r="S223" s="879"/>
      <c r="T223" s="879"/>
      <c r="U223" s="879"/>
      <c r="V223" s="879"/>
      <c r="W223" s="879"/>
      <c r="X223" s="879"/>
      <c r="Y223" s="879"/>
      <c r="Z223" s="879"/>
      <c r="AA223" s="879"/>
      <c r="AB223" s="879"/>
      <c r="AC223" s="879"/>
      <c r="AD223" s="879"/>
      <c r="AE223" s="879"/>
      <c r="AF223" s="879"/>
      <c r="AG223" s="879"/>
      <c r="AH223" s="879"/>
      <c r="AI223" s="879"/>
      <c r="AJ223" s="879"/>
    </row>
    <row r="224" spans="1:36" x14ac:dyDescent="0.25">
      <c r="A224" s="879"/>
      <c r="B224" s="879" t="str">
        <f t="array" ref="B224:B238">+TRANSPOSE(Sensitivity_output)</f>
        <v>Cost of hydrogen ($/kg)</v>
      </c>
      <c r="C224" s="879"/>
      <c r="D224" s="879"/>
      <c r="E224" s="879"/>
      <c r="F224" s="879"/>
      <c r="G224" s="879"/>
      <c r="H224" s="879"/>
      <c r="I224" s="879"/>
      <c r="J224" s="879"/>
      <c r="K224" s="879"/>
      <c r="L224" s="879"/>
      <c r="M224" s="879"/>
      <c r="N224" s="879"/>
      <c r="O224" s="879"/>
      <c r="P224" s="879"/>
      <c r="Q224" s="879"/>
      <c r="R224" s="879"/>
      <c r="S224" s="879"/>
      <c r="T224" s="879"/>
      <c r="U224" s="879"/>
      <c r="V224" s="879"/>
      <c r="W224" s="879"/>
      <c r="X224" s="879"/>
      <c r="Y224" s="879"/>
      <c r="Z224" s="879"/>
      <c r="AA224" s="879"/>
      <c r="AB224" s="879"/>
      <c r="AC224" s="879"/>
      <c r="AD224" s="879"/>
      <c r="AE224" s="879"/>
      <c r="AF224" s="879"/>
      <c r="AG224" s="879"/>
      <c r="AH224" s="879"/>
      <c r="AI224" s="879"/>
      <c r="AJ224" s="879"/>
    </row>
    <row r="225" spans="1:36" x14ac:dyDescent="0.25">
      <c r="A225" s="879"/>
      <c r="B225" s="879" t="str">
        <v>Revenue from byproduct sales ($/kg)</v>
      </c>
      <c r="C225" s="879"/>
      <c r="D225" s="879"/>
      <c r="E225" s="879"/>
      <c r="F225" s="879"/>
      <c r="G225" s="879"/>
      <c r="H225" s="879"/>
      <c r="I225" s="879"/>
      <c r="J225" s="879"/>
      <c r="K225" s="879"/>
      <c r="L225" s="879"/>
      <c r="M225" s="879"/>
      <c r="N225" s="879"/>
      <c r="O225" s="879"/>
      <c r="P225" s="879"/>
      <c r="Q225" s="879"/>
      <c r="R225" s="879"/>
      <c r="S225" s="879"/>
      <c r="T225" s="879"/>
      <c r="U225" s="879"/>
      <c r="V225" s="879"/>
      <c r="W225" s="879"/>
      <c r="X225" s="879"/>
      <c r="Y225" s="879"/>
      <c r="Z225" s="879"/>
      <c r="AA225" s="879"/>
      <c r="AB225" s="879"/>
      <c r="AC225" s="879"/>
      <c r="AD225" s="879"/>
      <c r="AE225" s="879"/>
      <c r="AF225" s="879"/>
      <c r="AG225" s="879"/>
      <c r="AH225" s="879"/>
      <c r="AI225" s="879"/>
      <c r="AJ225" s="879"/>
    </row>
    <row r="226" spans="1:36" x14ac:dyDescent="0.25">
      <c r="A226" s="879"/>
      <c r="B226" s="879" t="str">
        <v>Salvage value ($/kg)</v>
      </c>
      <c r="C226" s="879"/>
      <c r="D226" s="879"/>
      <c r="E226" s="879"/>
      <c r="F226" s="879"/>
      <c r="G226" s="879"/>
      <c r="H226" s="879"/>
      <c r="I226" s="879"/>
      <c r="J226" s="879"/>
      <c r="K226" s="879"/>
      <c r="L226" s="879"/>
      <c r="M226" s="879"/>
      <c r="N226" s="879"/>
      <c r="O226" s="879"/>
      <c r="P226" s="879"/>
      <c r="Q226" s="879"/>
      <c r="R226" s="879"/>
      <c r="S226" s="879"/>
      <c r="T226" s="879"/>
      <c r="U226" s="879"/>
      <c r="V226" s="879"/>
      <c r="W226" s="879"/>
      <c r="X226" s="879"/>
      <c r="Y226" s="879"/>
      <c r="Z226" s="879"/>
      <c r="AA226" s="879"/>
      <c r="AB226" s="879"/>
      <c r="AC226" s="879"/>
      <c r="AD226" s="879"/>
      <c r="AE226" s="879"/>
      <c r="AF226" s="879"/>
      <c r="AG226" s="879"/>
      <c r="AH226" s="879"/>
      <c r="AI226" s="879"/>
      <c r="AJ226" s="879"/>
    </row>
    <row r="227" spans="1:36" x14ac:dyDescent="0.25">
      <c r="A227" s="879"/>
      <c r="B227" s="879" t="str">
        <v>Initial equity depreciable capital ($/kg)</v>
      </c>
      <c r="C227" s="879"/>
      <c r="D227" s="879"/>
      <c r="E227" s="879"/>
      <c r="F227" s="879"/>
      <c r="G227" s="879"/>
      <c r="H227" s="879"/>
      <c r="I227" s="879"/>
      <c r="J227" s="879"/>
      <c r="K227" s="879"/>
      <c r="L227" s="879"/>
      <c r="M227" s="879"/>
      <c r="N227" s="879"/>
      <c r="O227" s="879"/>
      <c r="P227" s="879"/>
      <c r="Q227" s="879"/>
      <c r="R227" s="879"/>
      <c r="S227" s="879"/>
      <c r="T227" s="879"/>
      <c r="U227" s="879"/>
      <c r="V227" s="879"/>
      <c r="W227" s="879"/>
      <c r="X227" s="879"/>
      <c r="Y227" s="879"/>
      <c r="Z227" s="879"/>
      <c r="AA227" s="879"/>
      <c r="AB227" s="879"/>
      <c r="AC227" s="879"/>
      <c r="AD227" s="879"/>
      <c r="AE227" s="879"/>
      <c r="AF227" s="879"/>
      <c r="AG227" s="879"/>
      <c r="AH227" s="879"/>
      <c r="AI227" s="879"/>
      <c r="AJ227" s="879"/>
    </row>
    <row r="228" spans="1:36" x14ac:dyDescent="0.25">
      <c r="A228" s="879"/>
      <c r="B228" s="879" t="str">
        <v>Yearly replacement costs ($/kg)</v>
      </c>
      <c r="C228" s="879"/>
      <c r="D228" s="879"/>
      <c r="E228" s="879"/>
      <c r="F228" s="879"/>
      <c r="G228" s="879"/>
      <c r="H228" s="879"/>
      <c r="I228" s="879"/>
      <c r="J228" s="879"/>
      <c r="K228" s="879"/>
      <c r="L228" s="879"/>
      <c r="M228" s="879"/>
      <c r="N228" s="879"/>
      <c r="O228" s="879"/>
      <c r="P228" s="879"/>
      <c r="Q228" s="879"/>
      <c r="R228" s="879"/>
      <c r="S228" s="879"/>
      <c r="T228" s="879"/>
      <c r="U228" s="879"/>
      <c r="V228" s="879"/>
      <c r="W228" s="879"/>
      <c r="X228" s="879"/>
      <c r="Y228" s="879"/>
      <c r="Z228" s="879"/>
      <c r="AA228" s="879"/>
      <c r="AB228" s="879"/>
      <c r="AC228" s="879"/>
      <c r="AD228" s="879"/>
      <c r="AE228" s="879"/>
      <c r="AF228" s="879"/>
      <c r="AG228" s="879"/>
      <c r="AH228" s="879"/>
      <c r="AI228" s="879"/>
      <c r="AJ228" s="879"/>
    </row>
    <row r="229" spans="1:36" x14ac:dyDescent="0.25">
      <c r="A229" s="879"/>
      <c r="B229" s="879" t="str">
        <v>Cash from working capital reserve ($/kg)</v>
      </c>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c r="AA229" s="879"/>
      <c r="AB229" s="879"/>
      <c r="AC229" s="879"/>
      <c r="AD229" s="879"/>
      <c r="AE229" s="879"/>
      <c r="AF229" s="879"/>
      <c r="AG229" s="879"/>
      <c r="AH229" s="879"/>
      <c r="AI229" s="879"/>
      <c r="AJ229" s="879"/>
    </row>
    <row r="230" spans="1:36" x14ac:dyDescent="0.25">
      <c r="A230" s="879"/>
      <c r="B230" s="879" t="str">
        <v>Other non-depreciable capital costs ($/kg)</v>
      </c>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c r="AA230" s="879"/>
      <c r="AB230" s="879"/>
      <c r="AC230" s="879"/>
      <c r="AD230" s="879"/>
      <c r="AE230" s="879"/>
      <c r="AF230" s="879"/>
      <c r="AG230" s="879"/>
      <c r="AH230" s="879"/>
      <c r="AI230" s="879"/>
      <c r="AJ230" s="879"/>
    </row>
    <row r="231" spans="1:36" x14ac:dyDescent="0.25">
      <c r="A231" s="879"/>
      <c r="B231" s="879" t="str">
        <v>Decommissioning costs ($/kg)</v>
      </c>
      <c r="C231" s="879"/>
      <c r="D231" s="879"/>
      <c r="E231" s="879"/>
      <c r="F231" s="879"/>
      <c r="G231" s="879"/>
      <c r="H231" s="879"/>
      <c r="I231" s="879"/>
      <c r="J231" s="879"/>
      <c r="K231" s="879"/>
      <c r="L231" s="879"/>
      <c r="M231" s="879"/>
      <c r="N231" s="879"/>
      <c r="O231" s="879"/>
      <c r="P231" s="879"/>
      <c r="Q231" s="879"/>
      <c r="R231" s="879"/>
      <c r="S231" s="879"/>
      <c r="T231" s="879"/>
      <c r="U231" s="879"/>
      <c r="V231" s="879"/>
      <c r="W231" s="879"/>
      <c r="X231" s="879"/>
      <c r="Y231" s="879"/>
      <c r="Z231" s="879"/>
      <c r="AA231" s="879"/>
      <c r="AB231" s="879"/>
      <c r="AC231" s="879"/>
      <c r="AD231" s="879"/>
      <c r="AE231" s="879"/>
      <c r="AF231" s="879"/>
      <c r="AG231" s="879"/>
      <c r="AH231" s="879"/>
      <c r="AI231" s="879"/>
      <c r="AJ231" s="879"/>
    </row>
    <row r="232" spans="1:36" x14ac:dyDescent="0.25">
      <c r="A232" s="879"/>
      <c r="B232" s="879" t="str">
        <v>Fixed operating cost ($/kg)</v>
      </c>
      <c r="C232" s="879"/>
      <c r="D232" s="879"/>
      <c r="E232" s="879"/>
      <c r="F232" s="879"/>
      <c r="G232" s="879"/>
      <c r="H232" s="879"/>
      <c r="I232" s="879"/>
      <c r="J232" s="879"/>
      <c r="K232" s="879"/>
      <c r="L232" s="879"/>
      <c r="M232" s="879"/>
      <c r="N232" s="879"/>
      <c r="O232" s="879"/>
      <c r="P232" s="879"/>
      <c r="Q232" s="879"/>
      <c r="R232" s="879"/>
      <c r="S232" s="879"/>
      <c r="T232" s="879"/>
      <c r="U232" s="879"/>
      <c r="V232" s="879"/>
      <c r="W232" s="879"/>
      <c r="X232" s="879"/>
      <c r="Y232" s="879"/>
      <c r="Z232" s="879"/>
      <c r="AA232" s="879"/>
      <c r="AB232" s="879"/>
      <c r="AC232" s="879"/>
      <c r="AD232" s="879"/>
      <c r="AE232" s="879"/>
      <c r="AF232" s="879"/>
      <c r="AG232" s="879"/>
      <c r="AH232" s="879"/>
      <c r="AI232" s="879"/>
      <c r="AJ232" s="879"/>
    </row>
    <row r="233" spans="1:36" x14ac:dyDescent="0.25">
      <c r="A233" s="879"/>
      <c r="B233" s="879" t="str">
        <v>Feedstock cost ($/kg)</v>
      </c>
      <c r="C233" s="879"/>
      <c r="D233" s="879"/>
      <c r="E233" s="879"/>
      <c r="F233" s="879"/>
      <c r="G233" s="879"/>
      <c r="H233" s="879"/>
      <c r="I233" s="879"/>
      <c r="J233" s="879"/>
      <c r="K233" s="879"/>
      <c r="L233" s="879"/>
      <c r="M233" s="879"/>
      <c r="N233" s="879"/>
      <c r="O233" s="879"/>
      <c r="P233" s="879"/>
      <c r="Q233" s="879"/>
      <c r="R233" s="879"/>
      <c r="S233" s="879"/>
      <c r="T233" s="879"/>
      <c r="U233" s="879"/>
      <c r="V233" s="879"/>
      <c r="W233" s="879"/>
      <c r="X233" s="879"/>
      <c r="Y233" s="879"/>
      <c r="Z233" s="879"/>
      <c r="AA233" s="879"/>
      <c r="AB233" s="879"/>
      <c r="AC233" s="879"/>
      <c r="AD233" s="879"/>
      <c r="AE233" s="879"/>
      <c r="AF233" s="879"/>
      <c r="AG233" s="879"/>
      <c r="AH233" s="879"/>
      <c r="AI233" s="879"/>
      <c r="AJ233" s="879"/>
    </row>
    <row r="234" spans="1:36" x14ac:dyDescent="0.25">
      <c r="A234" s="879"/>
      <c r="B234" s="879" t="str">
        <v>Other raw material cost ($/kg)</v>
      </c>
      <c r="C234" s="879"/>
      <c r="D234" s="879"/>
      <c r="E234" s="879"/>
      <c r="F234" s="879"/>
      <c r="G234" s="879"/>
      <c r="H234" s="879"/>
      <c r="I234" s="879"/>
      <c r="J234" s="879"/>
      <c r="K234" s="879"/>
      <c r="L234" s="879"/>
      <c r="M234" s="879"/>
      <c r="N234" s="879"/>
      <c r="O234" s="879"/>
      <c r="P234" s="879"/>
      <c r="Q234" s="879"/>
      <c r="R234" s="879"/>
      <c r="S234" s="879"/>
      <c r="T234" s="879"/>
      <c r="U234" s="879"/>
      <c r="V234" s="879"/>
      <c r="W234" s="879"/>
      <c r="X234" s="879"/>
      <c r="Y234" s="879"/>
      <c r="Z234" s="879"/>
      <c r="AA234" s="879"/>
      <c r="AB234" s="879"/>
      <c r="AC234" s="879"/>
      <c r="AD234" s="879"/>
      <c r="AE234" s="879"/>
      <c r="AF234" s="879"/>
      <c r="AG234" s="879"/>
      <c r="AH234" s="879"/>
      <c r="AI234" s="879"/>
      <c r="AJ234" s="879"/>
    </row>
    <row r="235" spans="1:36" x14ac:dyDescent="0.25">
      <c r="A235" s="879"/>
      <c r="B235" s="879" t="str">
        <v>Other variable operating costs ($/kg)</v>
      </c>
      <c r="C235" s="879"/>
      <c r="D235" s="879"/>
      <c r="E235" s="879"/>
      <c r="F235" s="879"/>
      <c r="G235" s="879"/>
      <c r="H235" s="879"/>
      <c r="I235" s="879"/>
      <c r="J235" s="879"/>
      <c r="K235" s="879"/>
      <c r="L235" s="879"/>
      <c r="M235" s="879"/>
      <c r="N235" s="879"/>
      <c r="O235" s="879"/>
      <c r="P235" s="879"/>
      <c r="Q235" s="879"/>
      <c r="R235" s="879"/>
      <c r="S235" s="879"/>
      <c r="T235" s="879"/>
      <c r="U235" s="879"/>
      <c r="V235" s="879"/>
      <c r="W235" s="879"/>
      <c r="X235" s="879"/>
      <c r="Y235" s="879"/>
      <c r="Z235" s="879"/>
      <c r="AA235" s="879"/>
      <c r="AB235" s="879"/>
      <c r="AC235" s="879"/>
      <c r="AD235" s="879"/>
      <c r="AE235" s="879"/>
      <c r="AF235" s="879"/>
      <c r="AG235" s="879"/>
      <c r="AH235" s="879"/>
      <c r="AI235" s="879"/>
      <c r="AJ235" s="879"/>
    </row>
    <row r="236" spans="1:36" x14ac:dyDescent="0.25">
      <c r="A236" s="879"/>
      <c r="B236" s="879" t="str">
        <v>Debt interest ($/kg)</v>
      </c>
      <c r="C236" s="879"/>
      <c r="D236" s="879"/>
      <c r="E236" s="879"/>
      <c r="F236" s="879"/>
      <c r="G236" s="879"/>
      <c r="H236" s="879"/>
      <c r="I236" s="879"/>
      <c r="J236" s="879"/>
      <c r="K236" s="879"/>
      <c r="L236" s="879"/>
      <c r="M236" s="879"/>
      <c r="N236" s="879"/>
      <c r="O236" s="879"/>
      <c r="P236" s="879"/>
      <c r="Q236" s="879"/>
      <c r="R236" s="879"/>
      <c r="S236" s="879"/>
      <c r="T236" s="879"/>
      <c r="U236" s="879"/>
      <c r="V236" s="879"/>
      <c r="W236" s="879"/>
      <c r="X236" s="879"/>
      <c r="Y236" s="879"/>
      <c r="Z236" s="879"/>
      <c r="AA236" s="879"/>
      <c r="AB236" s="879"/>
      <c r="AC236" s="879"/>
      <c r="AD236" s="879"/>
      <c r="AE236" s="879"/>
      <c r="AF236" s="879"/>
      <c r="AG236" s="879"/>
      <c r="AH236" s="879"/>
      <c r="AI236" s="879"/>
      <c r="AJ236" s="879"/>
    </row>
    <row r="237" spans="1:36" x14ac:dyDescent="0.25">
      <c r="A237" s="879"/>
      <c r="B237" s="879" t="str">
        <v>Taxes ($/kg)</v>
      </c>
      <c r="C237" s="879"/>
      <c r="D237" s="879"/>
      <c r="E237" s="879"/>
      <c r="F237" s="879"/>
      <c r="G237" s="879"/>
      <c r="H237" s="879"/>
      <c r="I237" s="879"/>
      <c r="J237" s="879"/>
      <c r="K237" s="879"/>
      <c r="L237" s="879"/>
      <c r="M237" s="879"/>
      <c r="N237" s="879"/>
      <c r="O237" s="879"/>
      <c r="P237" s="879"/>
      <c r="Q237" s="879"/>
      <c r="R237" s="879"/>
      <c r="S237" s="879"/>
      <c r="T237" s="879"/>
      <c r="U237" s="879"/>
      <c r="V237" s="879"/>
      <c r="W237" s="879"/>
      <c r="X237" s="879"/>
      <c r="Y237" s="879"/>
      <c r="Z237" s="879"/>
      <c r="AA237" s="879"/>
      <c r="AB237" s="879"/>
      <c r="AC237" s="879"/>
      <c r="AD237" s="879"/>
      <c r="AE237" s="879"/>
      <c r="AF237" s="879"/>
      <c r="AG237" s="879"/>
      <c r="AH237" s="879"/>
      <c r="AI237" s="879"/>
      <c r="AJ237" s="879"/>
    </row>
    <row r="238" spans="1:36" x14ac:dyDescent="0.25">
      <c r="A238" s="879"/>
      <c r="B238" s="879" t="str">
        <v>Principal payment ($/kg)</v>
      </c>
      <c r="C238" s="879"/>
      <c r="D238" s="879"/>
      <c r="E238" s="879"/>
      <c r="F238" s="879"/>
      <c r="G238" s="879"/>
      <c r="H238" s="879"/>
      <c r="I238" s="879"/>
      <c r="J238" s="879"/>
      <c r="K238" s="879"/>
      <c r="L238" s="879"/>
      <c r="M238" s="879"/>
      <c r="N238" s="879"/>
      <c r="O238" s="879"/>
      <c r="P238" s="879"/>
      <c r="Q238" s="879"/>
      <c r="R238" s="879"/>
      <c r="S238" s="879"/>
      <c r="T238" s="879"/>
      <c r="U238" s="879"/>
      <c r="V238" s="879"/>
      <c r="W238" s="879"/>
      <c r="X238" s="879"/>
      <c r="Y238" s="879"/>
      <c r="Z238" s="879"/>
      <c r="AA238" s="879"/>
      <c r="AB238" s="879"/>
      <c r="AC238" s="879"/>
      <c r="AD238" s="879"/>
      <c r="AE238" s="879"/>
      <c r="AF238" s="879"/>
      <c r="AG238" s="879"/>
      <c r="AH238" s="879"/>
      <c r="AI238" s="879"/>
      <c r="AJ238" s="879"/>
    </row>
    <row r="239" spans="1:36" x14ac:dyDescent="0.25">
      <c r="A239" s="879"/>
      <c r="B239" s="879" t="str">
        <f t="array" ref="B239:B245">+TRANSPOSE(C50:I50)</f>
        <v>Operating capacity factor</v>
      </c>
      <c r="C239" s="879"/>
      <c r="D239" s="879"/>
      <c r="E239" s="879"/>
      <c r="F239" s="879"/>
      <c r="G239" s="879"/>
      <c r="H239" s="879"/>
      <c r="I239" s="879"/>
      <c r="J239" s="879"/>
      <c r="K239" s="879"/>
      <c r="L239" s="879"/>
      <c r="M239" s="879"/>
      <c r="N239" s="879"/>
      <c r="O239" s="879"/>
      <c r="P239" s="879"/>
      <c r="Q239" s="879"/>
      <c r="R239" s="879"/>
      <c r="S239" s="879"/>
      <c r="T239" s="879"/>
      <c r="U239" s="879"/>
      <c r="V239" s="879"/>
      <c r="W239" s="879"/>
      <c r="X239" s="879"/>
      <c r="Y239" s="879"/>
      <c r="Z239" s="879"/>
      <c r="AA239" s="879"/>
      <c r="AB239" s="879"/>
      <c r="AC239" s="879"/>
      <c r="AD239" s="879"/>
      <c r="AE239" s="879"/>
      <c r="AF239" s="879"/>
      <c r="AG239" s="879"/>
      <c r="AH239" s="879"/>
      <c r="AI239" s="879"/>
      <c r="AJ239" s="879"/>
    </row>
    <row r="240" spans="1:36" x14ac:dyDescent="0.25">
      <c r="A240" s="879"/>
      <c r="B240" s="879" t="str">
        <v>Plant design capacity (kg of H2/day)</v>
      </c>
      <c r="C240" s="879"/>
      <c r="D240" s="879"/>
      <c r="E240" s="879"/>
      <c r="F240" s="879"/>
      <c r="G240" s="879"/>
      <c r="H240" s="879"/>
      <c r="I240" s="879"/>
      <c r="J240" s="879"/>
      <c r="K240" s="879"/>
      <c r="L240" s="879"/>
      <c r="M240" s="879"/>
      <c r="N240" s="879"/>
      <c r="O240" s="879"/>
      <c r="P240" s="879"/>
      <c r="Q240" s="879"/>
      <c r="R240" s="879"/>
      <c r="S240" s="879"/>
      <c r="T240" s="879"/>
      <c r="U240" s="879"/>
      <c r="V240" s="879"/>
      <c r="W240" s="879"/>
      <c r="X240" s="879"/>
      <c r="Y240" s="879"/>
      <c r="Z240" s="879"/>
      <c r="AA240" s="879"/>
      <c r="AB240" s="879"/>
      <c r="AC240" s="879"/>
      <c r="AD240" s="879"/>
      <c r="AE240" s="879"/>
      <c r="AF240" s="879"/>
      <c r="AG240" s="879"/>
      <c r="AH240" s="879"/>
      <c r="AI240" s="879"/>
      <c r="AJ240" s="879"/>
    </row>
    <row r="241" spans="1:36" x14ac:dyDescent="0.25">
      <c r="A241" s="879"/>
      <c r="B241" s="879" t="str">
        <v>After-tax real IRR (%)</v>
      </c>
      <c r="C241" s="879"/>
      <c r="D241" s="879"/>
      <c r="E241" s="879"/>
      <c r="F241" s="879"/>
      <c r="G241" s="879"/>
      <c r="H241" s="879"/>
      <c r="I241" s="879"/>
      <c r="J241" s="879"/>
      <c r="K241" s="879"/>
      <c r="L241" s="879"/>
      <c r="M241" s="879"/>
      <c r="N241" s="879"/>
      <c r="O241" s="879"/>
      <c r="P241" s="879"/>
      <c r="Q241" s="879"/>
      <c r="R241" s="879"/>
      <c r="S241" s="879"/>
      <c r="T241" s="879"/>
      <c r="U241" s="879"/>
      <c r="V241" s="879"/>
      <c r="W241" s="879"/>
      <c r="X241" s="879"/>
      <c r="Y241" s="879"/>
      <c r="Z241" s="879"/>
      <c r="AA241" s="879"/>
      <c r="AB241" s="879"/>
      <c r="AC241" s="879"/>
      <c r="AD241" s="879"/>
      <c r="AE241" s="879"/>
      <c r="AF241" s="879"/>
      <c r="AG241" s="879"/>
      <c r="AH241" s="879"/>
      <c r="AI241" s="879"/>
      <c r="AJ241" s="879"/>
    </row>
    <row r="242" spans="1:36" x14ac:dyDescent="0.25">
      <c r="A242" s="879"/>
      <c r="B242" s="879" t="str">
        <v>Feedstock consumption (% of most likely value)</v>
      </c>
      <c r="C242" s="879"/>
      <c r="D242" s="879"/>
      <c r="E242" s="879"/>
      <c r="F242" s="879"/>
      <c r="G242" s="879"/>
      <c r="H242" s="879"/>
      <c r="I242" s="879"/>
      <c r="J242" s="879"/>
      <c r="K242" s="879"/>
      <c r="L242" s="879"/>
      <c r="M242" s="879"/>
      <c r="N242" s="879"/>
      <c r="O242" s="879"/>
      <c r="P242" s="879"/>
      <c r="Q242" s="879"/>
      <c r="R242" s="879"/>
      <c r="S242" s="879"/>
      <c r="T242" s="879"/>
      <c r="U242" s="879"/>
      <c r="V242" s="879"/>
      <c r="W242" s="879"/>
      <c r="X242" s="879"/>
      <c r="Y242" s="879"/>
      <c r="Z242" s="879"/>
      <c r="AA242" s="879"/>
      <c r="AB242" s="879"/>
      <c r="AC242" s="879"/>
      <c r="AD242" s="879"/>
      <c r="AE242" s="879"/>
      <c r="AF242" s="879"/>
      <c r="AG242" s="879"/>
      <c r="AH242" s="879"/>
      <c r="AI242" s="879"/>
      <c r="AJ242" s="879"/>
    </row>
    <row r="243" spans="1:36" x14ac:dyDescent="0.25">
      <c r="A243" s="879"/>
      <c r="B243" s="879" t="str">
        <v>Utilities consumption (% of most likely value)</v>
      </c>
      <c r="C243" s="879"/>
      <c r="D243" s="879"/>
      <c r="E243" s="879"/>
      <c r="F243" s="879"/>
      <c r="G243" s="879"/>
      <c r="H243" s="879"/>
      <c r="I243" s="879"/>
      <c r="J243" s="879"/>
      <c r="K243" s="879"/>
      <c r="L243" s="879"/>
      <c r="M243" s="879"/>
      <c r="N243" s="879"/>
      <c r="O243" s="879"/>
      <c r="P243" s="879"/>
      <c r="Q243" s="879"/>
      <c r="R243" s="879"/>
      <c r="S243" s="879"/>
      <c r="T243" s="879"/>
      <c r="U243" s="879"/>
      <c r="V243" s="879"/>
      <c r="W243" s="879"/>
      <c r="X243" s="879"/>
      <c r="Y243" s="879"/>
      <c r="Z243" s="879"/>
      <c r="AA243" s="879"/>
      <c r="AB243" s="879"/>
      <c r="AC243" s="879"/>
      <c r="AD243" s="879"/>
      <c r="AE243" s="879"/>
      <c r="AF243" s="879"/>
      <c r="AG243" s="879"/>
      <c r="AH243" s="879"/>
      <c r="AI243" s="879"/>
      <c r="AJ243" s="879"/>
    </row>
    <row r="244" spans="1:36" x14ac:dyDescent="0.25">
      <c r="A244" s="879"/>
      <c r="B244" s="879" t="str">
        <v>Total capital investment ($)</v>
      </c>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c r="AA244" s="879"/>
      <c r="AB244" s="879"/>
      <c r="AC244" s="879"/>
      <c r="AD244" s="879"/>
      <c r="AE244" s="879"/>
      <c r="AF244" s="879"/>
      <c r="AG244" s="879"/>
      <c r="AH244" s="879"/>
      <c r="AI244" s="879"/>
      <c r="AJ244" s="879"/>
    </row>
    <row r="245" spans="1:36" x14ac:dyDescent="0.25">
      <c r="A245" s="879"/>
      <c r="B245" s="879" t="str">
        <v>Total fixed operating cost ($/year)</v>
      </c>
      <c r="C245" s="879"/>
      <c r="D245" s="879"/>
      <c r="E245" s="879"/>
      <c r="F245" s="879"/>
      <c r="G245" s="879"/>
      <c r="H245" s="879"/>
      <c r="I245" s="879"/>
      <c r="J245" s="879"/>
      <c r="K245" s="879"/>
      <c r="L245" s="879"/>
      <c r="M245" s="879"/>
      <c r="N245" s="879"/>
      <c r="O245" s="879"/>
      <c r="P245" s="879"/>
      <c r="Q245" s="879"/>
      <c r="R245" s="879"/>
      <c r="S245" s="879"/>
      <c r="T245" s="879"/>
      <c r="U245" s="879"/>
      <c r="V245" s="879"/>
      <c r="W245" s="879"/>
      <c r="X245" s="879"/>
      <c r="Y245" s="879"/>
      <c r="Z245" s="879"/>
      <c r="AA245" s="879"/>
      <c r="AB245" s="879"/>
      <c r="AC245" s="879"/>
      <c r="AD245" s="879"/>
      <c r="AE245" s="879"/>
      <c r="AF245" s="879"/>
      <c r="AG245" s="879"/>
      <c r="AH245" s="879"/>
      <c r="AI245" s="879"/>
      <c r="AJ245" s="879"/>
    </row>
    <row r="246" spans="1:36" x14ac:dyDescent="0.25">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c r="X246" s="879"/>
      <c r="Y246" s="879"/>
      <c r="Z246" s="879"/>
      <c r="AA246" s="879"/>
      <c r="AB246" s="879"/>
      <c r="AC246" s="879"/>
      <c r="AD246" s="879"/>
      <c r="AE246" s="879"/>
      <c r="AF246" s="879"/>
      <c r="AG246" s="879"/>
      <c r="AH246" s="879"/>
      <c r="AI246" s="879"/>
      <c r="AJ246" s="879"/>
    </row>
    <row r="247" spans="1:36" x14ac:dyDescent="0.25">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c r="X247" s="879"/>
      <c r="Y247" s="879"/>
      <c r="Z247" s="879"/>
      <c r="AA247" s="879"/>
      <c r="AB247" s="879"/>
      <c r="AC247" s="879"/>
      <c r="AD247" s="879"/>
      <c r="AE247" s="879"/>
      <c r="AF247" s="879"/>
      <c r="AG247" s="879"/>
      <c r="AH247" s="879"/>
      <c r="AI247" s="879"/>
      <c r="AJ247" s="879"/>
    </row>
    <row r="248" spans="1:36" x14ac:dyDescent="0.25">
      <c r="A248" s="879"/>
      <c r="B248" s="880"/>
      <c r="C248">
        <f ca="1">+RAND()</f>
        <v>0.68164899767910103</v>
      </c>
      <c r="D248">
        <f t="shared" ref="D248:I248" ca="1" si="96">+RAND()</f>
        <v>0.89862459187289545</v>
      </c>
      <c r="E248">
        <f t="shared" ca="1" si="96"/>
        <v>0.33391838476289637</v>
      </c>
      <c r="F248">
        <f t="shared" ca="1" si="96"/>
        <v>0.13778406467814686</v>
      </c>
      <c r="G248">
        <f t="shared" ca="1" si="96"/>
        <v>6.2074507365783904E-2</v>
      </c>
      <c r="H248">
        <f t="shared" ca="1" si="96"/>
        <v>0.38556949722993206</v>
      </c>
      <c r="I248">
        <f t="shared" ca="1" si="96"/>
        <v>5.3530184799704728E-2</v>
      </c>
      <c r="J248" s="879"/>
      <c r="K248" s="879"/>
      <c r="L248" s="879"/>
      <c r="M248" s="879"/>
      <c r="N248" s="879"/>
      <c r="O248" s="879"/>
      <c r="P248" s="879"/>
      <c r="Q248" s="879"/>
      <c r="R248" s="879"/>
      <c r="S248" s="879"/>
      <c r="T248" s="879"/>
      <c r="U248" s="879"/>
      <c r="V248" s="879"/>
      <c r="W248" s="879"/>
      <c r="X248" s="879"/>
      <c r="Y248" s="879"/>
      <c r="Z248" s="879"/>
      <c r="AA248" s="879"/>
      <c r="AB248" s="879"/>
      <c r="AC248" s="879"/>
      <c r="AD248" s="879"/>
      <c r="AE248" s="879"/>
      <c r="AF248" s="879"/>
      <c r="AG248" s="879"/>
      <c r="AH248" s="879"/>
      <c r="AI248" s="879"/>
      <c r="AJ248" s="879"/>
    </row>
    <row r="249" spans="1:36" x14ac:dyDescent="0.25">
      <c r="A249" s="879"/>
      <c r="B249" s="299"/>
      <c r="C249" s="884">
        <f ca="1">IFERROR(IF(C$248&lt;=(C$190-C$189)/(C$191-C$189),C$189+SQRT(C$248*(C$191-C$189)*(C$190-C$189)),C$191-SQRT((1-C$248)*(C$191-C$189)*(C$191-C$190))),1)</f>
        <v>1.01010319547126</v>
      </c>
      <c r="D249" s="884">
        <f t="shared" ref="D249:I249" ca="1" si="97">IFERROR(IF(D$248&lt;=(D$190-D$189)/(D$191-D$189),D$189+SQRT(D$248*(D$191-D$189)*(D$190-D$189)),D$191-SQRT((1-D$248)*(D$191-D$189)*(D$191-D$190))),1)</f>
        <v>1.0274860700757171</v>
      </c>
      <c r="E249" s="884">
        <f t="shared" ca="1" si="97"/>
        <v>0.99086064027660947</v>
      </c>
      <c r="F249" s="884">
        <f t="shared" ca="1" si="97"/>
        <v>0.97624729173440061</v>
      </c>
      <c r="G249" s="884">
        <f t="shared" ca="1" si="97"/>
        <v>0.96761739302022065</v>
      </c>
      <c r="H249" s="884">
        <f t="shared" ca="1" si="97"/>
        <v>0.99390726006197216</v>
      </c>
      <c r="I249" s="884">
        <f t="shared" ca="1" si="97"/>
        <v>0.96636004046445245</v>
      </c>
    </row>
    <row r="250" spans="1:36" x14ac:dyDescent="0.25">
      <c r="A250" s="879"/>
      <c r="B250" s="299"/>
    </row>
    <row r="251" spans="1:36" x14ac:dyDescent="0.25">
      <c r="A251" s="879"/>
      <c r="B251" s="1133">
        <v>1</v>
      </c>
      <c r="C251" s="884">
        <v>0.99248345218754441</v>
      </c>
      <c r="D251" s="884">
        <v>0.99174639129363018</v>
      </c>
      <c r="E251" s="884">
        <v>0.99700806675708709</v>
      </c>
      <c r="F251" s="884">
        <v>0.99704768075195549</v>
      </c>
      <c r="G251" s="884">
        <v>0.96992657876868982</v>
      </c>
      <c r="H251" s="884">
        <v>0.9849785322919149</v>
      </c>
      <c r="I251" s="884">
        <v>0.96698517447523946</v>
      </c>
      <c r="K251">
        <v>1.6038258051318104</v>
      </c>
      <c r="L251">
        <v>0</v>
      </c>
      <c r="M251">
        <v>6.4020272142917799E-3</v>
      </c>
      <c r="N251">
        <v>0.11883035542617695</v>
      </c>
      <c r="O251">
        <v>3.1187066212986291E-2</v>
      </c>
      <c r="P251">
        <v>1.8176082361411435E-2</v>
      </c>
      <c r="Q251">
        <v>0</v>
      </c>
      <c r="R251">
        <v>6.4020272142917799E-3</v>
      </c>
      <c r="S251">
        <v>0.16359504664959709</v>
      </c>
      <c r="T251">
        <v>1.1825086419211071</v>
      </c>
      <c r="U251">
        <v>0</v>
      </c>
      <c r="V251">
        <v>1.5895199376807119E-2</v>
      </c>
      <c r="W251">
        <v>6.2637110135858515E-2</v>
      </c>
      <c r="X251">
        <v>-1.5366105502222701E-2</v>
      </c>
      <c r="Y251">
        <v>2.636240855008885E-2</v>
      </c>
    </row>
    <row r="252" spans="1:36" x14ac:dyDescent="0.25">
      <c r="A252" s="879"/>
      <c r="B252" s="1133">
        <v>2</v>
      </c>
      <c r="C252" s="884">
        <v>0.99542519244731276</v>
      </c>
      <c r="D252" s="884">
        <v>1.0125970744615898</v>
      </c>
      <c r="E252" s="884">
        <v>0.97780305249210075</v>
      </c>
      <c r="F252" s="884">
        <v>1.0034607088135035</v>
      </c>
      <c r="G252" s="884">
        <v>0.9717628789532774</v>
      </c>
      <c r="H252" s="884">
        <v>0.97281739134363499</v>
      </c>
      <c r="I252" s="884">
        <v>0.98289162467455271</v>
      </c>
      <c r="K252">
        <v>1.6071499398564373</v>
      </c>
      <c r="L252">
        <v>0</v>
      </c>
      <c r="M252">
        <v>6.3515954097995092E-3</v>
      </c>
      <c r="N252">
        <v>0.11458418350209935</v>
      </c>
      <c r="O252">
        <v>3.0852819402142295E-2</v>
      </c>
      <c r="P252">
        <v>1.8031985889736542E-2</v>
      </c>
      <c r="Q252">
        <v>0</v>
      </c>
      <c r="R252">
        <v>6.3515954097995092E-3</v>
      </c>
      <c r="S252">
        <v>0.16488226159817931</v>
      </c>
      <c r="T252">
        <v>1.1904737840883992</v>
      </c>
      <c r="U252">
        <v>0</v>
      </c>
      <c r="V252">
        <v>1.5878966388981581E-2</v>
      </c>
      <c r="W252">
        <v>6.0980729582100074E-2</v>
      </c>
      <c r="X252">
        <v>-1.4689529950917178E-2</v>
      </c>
      <c r="Y252">
        <v>2.6154739355716248E-2</v>
      </c>
    </row>
    <row r="253" spans="1:36" x14ac:dyDescent="0.25">
      <c r="A253" s="879"/>
      <c r="B253" s="1133">
        <v>3</v>
      </c>
      <c r="C253" s="884">
        <v>0.98577011022687921</v>
      </c>
      <c r="D253" s="884">
        <v>0.96759426862895836</v>
      </c>
      <c r="E253" s="884">
        <v>0.95632103899899024</v>
      </c>
      <c r="F253" s="884">
        <v>1.0308250729618726</v>
      </c>
      <c r="G253" s="884">
        <v>0.96925139333451238</v>
      </c>
      <c r="H253" s="884">
        <v>1.0277251725512748</v>
      </c>
      <c r="I253" s="884">
        <v>0.95985644284781346</v>
      </c>
      <c r="K253">
        <v>1.6572794329094656</v>
      </c>
      <c r="L253">
        <v>0</v>
      </c>
      <c r="M253">
        <v>7.045200855335749E-3</v>
      </c>
      <c r="N253">
        <v>0.12310619510365101</v>
      </c>
      <c r="O253">
        <v>3.1743377803079266E-2</v>
      </c>
      <c r="P253">
        <v>1.8174295279547913E-2</v>
      </c>
      <c r="Q253">
        <v>0</v>
      </c>
      <c r="R253">
        <v>7.045200855335749E-3</v>
      </c>
      <c r="S253">
        <v>0.16614476410792772</v>
      </c>
      <c r="T253">
        <v>1.2233527217964701</v>
      </c>
      <c r="U253">
        <v>0</v>
      </c>
      <c r="V253">
        <v>1.593260749748332E-2</v>
      </c>
      <c r="W253">
        <v>6.6228363903980667E-2</v>
      </c>
      <c r="X253">
        <v>-1.6413775705942886E-2</v>
      </c>
      <c r="Y253">
        <v>2.9010883123267467E-2</v>
      </c>
    </row>
    <row r="254" spans="1:36" x14ac:dyDescent="0.25">
      <c r="A254" s="879"/>
      <c r="B254" s="1133">
        <v>4</v>
      </c>
      <c r="C254" s="884">
        <v>1.0303847151406942</v>
      </c>
      <c r="D254" s="884">
        <v>1.0050420893285312</v>
      </c>
      <c r="E254" s="884">
        <v>1.0160655116590864</v>
      </c>
      <c r="F254" s="884">
        <v>1.0057120083366367</v>
      </c>
      <c r="G254" s="884">
        <v>0.98130848700053752</v>
      </c>
      <c r="H254" s="884">
        <v>1.0177093581989314</v>
      </c>
      <c r="I254" s="884">
        <v>1.0083999016094665</v>
      </c>
      <c r="K254">
        <v>1.614119049492079</v>
      </c>
      <c r="L254">
        <v>0</v>
      </c>
      <c r="M254">
        <v>6.229069656197744E-3</v>
      </c>
      <c r="N254">
        <v>0.11892925017424862</v>
      </c>
      <c r="O254">
        <v>2.9864236153723436E-2</v>
      </c>
      <c r="P254">
        <v>1.8604087414901209E-2</v>
      </c>
      <c r="Q254">
        <v>0</v>
      </c>
      <c r="R254">
        <v>6.229069656197744E-3</v>
      </c>
      <c r="S254">
        <v>0.16607162231819192</v>
      </c>
      <c r="T254">
        <v>1.1924289627817133</v>
      </c>
      <c r="U254">
        <v>0</v>
      </c>
      <c r="V254">
        <v>1.5693150220773434E-2</v>
      </c>
      <c r="W254">
        <v>6.2100277029250361E-2</v>
      </c>
      <c r="X254">
        <v>-1.5222736711878239E-2</v>
      </c>
      <c r="Y254">
        <v>2.5650200111155323E-2</v>
      </c>
    </row>
    <row r="255" spans="1:36" x14ac:dyDescent="0.25">
      <c r="A255" s="879"/>
      <c r="B255" s="1133">
        <v>5</v>
      </c>
      <c r="C255" s="884">
        <v>0.99730883347188537</v>
      </c>
      <c r="D255" s="884">
        <v>0.99364516544113946</v>
      </c>
      <c r="E255" s="884">
        <v>0.99773292197051322</v>
      </c>
      <c r="F255" s="884">
        <v>0.99176540603352559</v>
      </c>
      <c r="G255" s="884">
        <v>0.99676875010502475</v>
      </c>
      <c r="H255" s="884">
        <v>1.0012838411000105</v>
      </c>
      <c r="I255" s="884">
        <v>1.0325077919550616</v>
      </c>
      <c r="K255">
        <v>1.6106538264980257</v>
      </c>
      <c r="L255">
        <v>0</v>
      </c>
      <c r="M255">
        <v>6.4668973671525949E-3</v>
      </c>
      <c r="N255">
        <v>0.12016342842572174</v>
      </c>
      <c r="O255">
        <v>3.1011819285785173E-2</v>
      </c>
      <c r="P255">
        <v>1.8251762189166403E-2</v>
      </c>
      <c r="Q255">
        <v>0</v>
      </c>
      <c r="R255">
        <v>6.4668973671525949E-3</v>
      </c>
      <c r="S255">
        <v>0.17479767659638648</v>
      </c>
      <c r="T255">
        <v>1.1762304416722973</v>
      </c>
      <c r="U255">
        <v>0</v>
      </c>
      <c r="V255">
        <v>1.5868622451475849E-2</v>
      </c>
      <c r="W255">
        <v>6.3316969259653244E-2</v>
      </c>
      <c r="X255">
        <v>-1.5616425675572525E-2</v>
      </c>
      <c r="Y255">
        <v>2.6629532293112906E-2</v>
      </c>
    </row>
    <row r="256" spans="1:36" x14ac:dyDescent="0.25">
      <c r="A256" s="879"/>
      <c r="B256" s="1133">
        <v>6</v>
      </c>
      <c r="C256" s="884">
        <v>0.98881932164337205</v>
      </c>
      <c r="D256" s="884">
        <v>0.98922696800409859</v>
      </c>
      <c r="E256" s="884">
        <v>1.0040452766004797</v>
      </c>
      <c r="F256" s="884">
        <v>0.98899780591820741</v>
      </c>
      <c r="G256" s="884">
        <v>1.038920007782788</v>
      </c>
      <c r="H256" s="884">
        <v>1.0083733416814389</v>
      </c>
      <c r="I256" s="884">
        <v>1.011179196746393</v>
      </c>
      <c r="K256">
        <v>1.6096133888312658</v>
      </c>
      <c r="L256">
        <v>0</v>
      </c>
      <c r="M256">
        <v>6.5454796290572792E-3</v>
      </c>
      <c r="N256">
        <v>0.12276622865260998</v>
      </c>
      <c r="O256">
        <v>3.1328401720184029E-2</v>
      </c>
      <c r="P256">
        <v>1.8271891426358804E-2</v>
      </c>
      <c r="Q256">
        <v>0</v>
      </c>
      <c r="R256">
        <v>6.5454796290572792E-3</v>
      </c>
      <c r="S256">
        <v>0.17313310716455546</v>
      </c>
      <c r="T256">
        <v>1.1728320757024855</v>
      </c>
      <c r="U256">
        <v>0</v>
      </c>
      <c r="V256">
        <v>1.5915553704433039E-2</v>
      </c>
      <c r="W256">
        <v>6.4486043865324055E-2</v>
      </c>
      <c r="X256">
        <v>-1.6073033465199303E-2</v>
      </c>
      <c r="Y256">
        <v>2.6953120060515198E-2</v>
      </c>
    </row>
    <row r="257" spans="1:25" x14ac:dyDescent="0.25">
      <c r="A257" s="879"/>
      <c r="B257" s="1133">
        <v>7</v>
      </c>
      <c r="C257" s="884">
        <v>0.96075578329212086</v>
      </c>
      <c r="D257" s="884">
        <v>0.99611730518405628</v>
      </c>
      <c r="E257" s="884">
        <v>1.0011552476463867</v>
      </c>
      <c r="F257" s="884">
        <v>0.9930838965285177</v>
      </c>
      <c r="G257" s="884">
        <v>1.043321591442292</v>
      </c>
      <c r="H257" s="884">
        <v>1.0088653187706687</v>
      </c>
      <c r="I257" s="884">
        <v>0.97868906619061791</v>
      </c>
      <c r="K257">
        <v>1.6197518053705173</v>
      </c>
      <c r="L257">
        <v>0</v>
      </c>
      <c r="M257">
        <v>6.736104605900196E-3</v>
      </c>
      <c r="N257">
        <v>0.12580189337280237</v>
      </c>
      <c r="O257">
        <v>3.2156687339175219E-2</v>
      </c>
      <c r="P257">
        <v>1.8290123493393137E-2</v>
      </c>
      <c r="Q257">
        <v>0</v>
      </c>
      <c r="R257">
        <v>6.736104605900196E-3</v>
      </c>
      <c r="S257">
        <v>0.17241643956021213</v>
      </c>
      <c r="T257">
        <v>1.1777309938346423</v>
      </c>
      <c r="U257">
        <v>0</v>
      </c>
      <c r="V257">
        <v>1.607659546773884E-2</v>
      </c>
      <c r="W257">
        <v>6.6175414792967527E-2</v>
      </c>
      <c r="X257">
        <v>-1.6634422275588309E-2</v>
      </c>
      <c r="Y257">
        <v>2.7738079785173314E-2</v>
      </c>
    </row>
    <row r="258" spans="1:25" x14ac:dyDescent="0.25">
      <c r="A258" s="879"/>
      <c r="B258" s="1133">
        <v>8</v>
      </c>
      <c r="C258" s="884">
        <v>1.0278555033475705</v>
      </c>
      <c r="D258" s="884">
        <v>1.0220602819739051</v>
      </c>
      <c r="E258" s="884">
        <v>1.0353328114268927</v>
      </c>
      <c r="F258" s="884">
        <v>0.99942388011105188</v>
      </c>
      <c r="G258" s="884">
        <v>0.95430604695991672</v>
      </c>
      <c r="H258" s="884">
        <v>0.99078167739218137</v>
      </c>
      <c r="I258" s="884">
        <v>1.0270025131462628</v>
      </c>
      <c r="K258">
        <v>1.6033695079440393</v>
      </c>
      <c r="L258">
        <v>0</v>
      </c>
      <c r="M258">
        <v>5.9328663752065769E-3</v>
      </c>
      <c r="N258">
        <v>0.11654753015223381</v>
      </c>
      <c r="O258">
        <v>2.9720122202173706E-2</v>
      </c>
      <c r="P258">
        <v>1.8789055007126531E-2</v>
      </c>
      <c r="Q258">
        <v>0</v>
      </c>
      <c r="R258">
        <v>5.9328663752065769E-3</v>
      </c>
      <c r="S258">
        <v>0.16785321397326025</v>
      </c>
      <c r="T258">
        <v>1.1846177057792242</v>
      </c>
      <c r="U258">
        <v>0</v>
      </c>
      <c r="V258">
        <v>1.5706169284893493E-2</v>
      </c>
      <c r="W258">
        <v>6.0283108198959309E-2</v>
      </c>
      <c r="X258">
        <v>-1.4577884376084246E-2</v>
      </c>
      <c r="Y258">
        <v>2.44304877222523E-2</v>
      </c>
    </row>
    <row r="259" spans="1:25" x14ac:dyDescent="0.25">
      <c r="A259" s="879"/>
      <c r="B259" s="1133">
        <v>9</v>
      </c>
      <c r="C259" s="884">
        <v>1.008332483515525</v>
      </c>
      <c r="D259" s="884">
        <v>0.97649836193790018</v>
      </c>
      <c r="E259" s="884">
        <v>0.96595955157167823</v>
      </c>
      <c r="F259" s="884">
        <v>0.99346865772245252</v>
      </c>
      <c r="G259" s="884">
        <v>0.98709542200415179</v>
      </c>
      <c r="H259" s="884">
        <v>0.98254270218355222</v>
      </c>
      <c r="I259" s="884">
        <v>0.97278253966000494</v>
      </c>
      <c r="K259">
        <v>1.5939628672149158</v>
      </c>
      <c r="L259">
        <v>0</v>
      </c>
      <c r="M259">
        <v>6.5031133039932321E-3</v>
      </c>
      <c r="N259">
        <v>0.11527288546246894</v>
      </c>
      <c r="O259">
        <v>3.0912480907239793E-2</v>
      </c>
      <c r="P259">
        <v>1.7676318076807661E-2</v>
      </c>
      <c r="Q259">
        <v>0</v>
      </c>
      <c r="R259">
        <v>6.5031133039932321E-3</v>
      </c>
      <c r="S259">
        <v>0.16196996416439347</v>
      </c>
      <c r="T259">
        <v>1.1788396514629027</v>
      </c>
      <c r="U259">
        <v>0</v>
      </c>
      <c r="V259">
        <v>1.5808861426894357E-2</v>
      </c>
      <c r="W259">
        <v>6.1713347806452927E-2</v>
      </c>
      <c r="X259">
        <v>-1.5009305167069071E-2</v>
      </c>
      <c r="Y259">
        <v>2.6778663074826195E-2</v>
      </c>
    </row>
    <row r="260" spans="1:25" x14ac:dyDescent="0.25">
      <c r="A260" s="879"/>
      <c r="B260" s="1133">
        <v>10</v>
      </c>
      <c r="C260" s="884">
        <v>1.0040009274164359</v>
      </c>
      <c r="D260" s="884">
        <v>0.98874984004954991</v>
      </c>
      <c r="E260" s="884">
        <v>0.96937817538316895</v>
      </c>
      <c r="F260" s="884">
        <v>1.008475104823465</v>
      </c>
      <c r="G260" s="884">
        <v>1.0072349508056819</v>
      </c>
      <c r="H260" s="884">
        <v>1.0155597268387395</v>
      </c>
      <c r="I260" s="884">
        <v>0.98911993635615869</v>
      </c>
      <c r="K260">
        <v>1.6233652444892046</v>
      </c>
      <c r="L260">
        <v>0</v>
      </c>
      <c r="M260">
        <v>6.6932175900930721E-3</v>
      </c>
      <c r="N260">
        <v>0.119246490838505</v>
      </c>
      <c r="O260">
        <v>3.0888809980122004E-2</v>
      </c>
      <c r="P260">
        <v>1.802368301463601E-2</v>
      </c>
      <c r="Q260">
        <v>0</v>
      </c>
      <c r="R260">
        <v>6.6932175900930721E-3</v>
      </c>
      <c r="S260">
        <v>0.16717604730982855</v>
      </c>
      <c r="T260">
        <v>1.1965815870438248</v>
      </c>
      <c r="U260">
        <v>0</v>
      </c>
      <c r="V260">
        <v>1.5832186988672965E-2</v>
      </c>
      <c r="W260">
        <v>6.3730950155664517E-2</v>
      </c>
      <c r="X260">
        <v>-1.5675989529733959E-2</v>
      </c>
      <c r="Y260">
        <v>2.7561478687683823E-2</v>
      </c>
    </row>
    <row r="261" spans="1:25" x14ac:dyDescent="0.25">
      <c r="A261" s="879"/>
      <c r="B261" s="1133">
        <v>11</v>
      </c>
      <c r="C261" s="884">
        <v>0.99395971568048469</v>
      </c>
      <c r="D261" s="884">
        <v>0.9610081141543404</v>
      </c>
      <c r="E261" s="884">
        <v>0.99375197526471371</v>
      </c>
      <c r="F261" s="884">
        <v>1.000270543417715</v>
      </c>
      <c r="G261" s="884">
        <v>1.0038862252397749</v>
      </c>
      <c r="H261" s="884">
        <v>0.97731006420995314</v>
      </c>
      <c r="I261" s="884">
        <v>1.0022636035810817</v>
      </c>
      <c r="K261">
        <v>1.6144900996288059</v>
      </c>
      <c r="L261">
        <v>0</v>
      </c>
      <c r="M261">
        <v>6.4508908572452816E-3</v>
      </c>
      <c r="N261">
        <v>0.11916093172465685</v>
      </c>
      <c r="O261">
        <v>3.1538196371046372E-2</v>
      </c>
      <c r="P261">
        <v>1.8257095164988579E-2</v>
      </c>
      <c r="Q261">
        <v>0</v>
      </c>
      <c r="R261">
        <v>6.4508908572452816E-3</v>
      </c>
      <c r="S261">
        <v>0.16917630791578278</v>
      </c>
      <c r="T261">
        <v>1.1863915872174438</v>
      </c>
      <c r="U261">
        <v>0</v>
      </c>
      <c r="V261">
        <v>1.5887041110768402E-2</v>
      </c>
      <c r="W261">
        <v>6.291320716185117E-2</v>
      </c>
      <c r="X261">
        <v>-1.53978873721004E-2</v>
      </c>
      <c r="Y261">
        <v>2.6563620334367148E-2</v>
      </c>
    </row>
    <row r="262" spans="1:25" x14ac:dyDescent="0.25">
      <c r="A262" s="879"/>
      <c r="B262" s="1133">
        <v>12</v>
      </c>
      <c r="C262" s="884">
        <v>1.0063904045921463</v>
      </c>
      <c r="D262" s="884">
        <v>1.0177753747301277</v>
      </c>
      <c r="E262" s="884">
        <v>0.98432541453611955</v>
      </c>
      <c r="F262" s="884">
        <v>1.0147702776086065</v>
      </c>
      <c r="G262" s="884">
        <v>1.0062760128079355</v>
      </c>
      <c r="H262" s="884">
        <v>0.96720531381360642</v>
      </c>
      <c r="I262" s="884">
        <v>0.99813653167104466</v>
      </c>
      <c r="K262">
        <v>1.617616880118649</v>
      </c>
      <c r="L262">
        <v>0</v>
      </c>
      <c r="M262">
        <v>6.1966321220953682E-3</v>
      </c>
      <c r="N262">
        <v>0.1128755655996367</v>
      </c>
      <c r="O262">
        <v>3.0449338061392023E-2</v>
      </c>
      <c r="P262">
        <v>1.8302659529241181E-2</v>
      </c>
      <c r="Q262">
        <v>0</v>
      </c>
      <c r="R262">
        <v>6.1966321220953682E-3</v>
      </c>
      <c r="S262">
        <v>0.16525553199263002</v>
      </c>
      <c r="T262">
        <v>1.2037675384290438</v>
      </c>
      <c r="U262">
        <v>0</v>
      </c>
      <c r="V262">
        <v>1.5819294750320883E-2</v>
      </c>
      <c r="W262">
        <v>5.9875640729447684E-2</v>
      </c>
      <c r="X262">
        <v>-1.4245317092450228E-2</v>
      </c>
      <c r="Y262">
        <v>2.5516628119387576E-2</v>
      </c>
    </row>
    <row r="263" spans="1:25" x14ac:dyDescent="0.25">
      <c r="A263" s="879"/>
      <c r="B263" s="1133">
        <v>13</v>
      </c>
      <c r="C263" s="884">
        <v>0.99144251872074896</v>
      </c>
      <c r="D263" s="884">
        <v>0.99182753534458101</v>
      </c>
      <c r="E263" s="884">
        <v>0.97807550390643616</v>
      </c>
      <c r="F263" s="884">
        <v>1.0212940892241766</v>
      </c>
      <c r="G263" s="884">
        <v>1.0069762523809027</v>
      </c>
      <c r="H263" s="884">
        <v>0.9675039938706167</v>
      </c>
      <c r="I263" s="884">
        <v>1.038772809960042</v>
      </c>
      <c r="K263">
        <v>1.640650495993939</v>
      </c>
      <c r="L263">
        <v>0</v>
      </c>
      <c r="M263">
        <v>6.399651565501218E-3</v>
      </c>
      <c r="N263">
        <v>0.1154978126096374</v>
      </c>
      <c r="O263">
        <v>3.123439800977728E-2</v>
      </c>
      <c r="P263">
        <v>1.8445371159233559E-2</v>
      </c>
      <c r="Q263">
        <v>0</v>
      </c>
      <c r="R263">
        <v>6.399651565501218E-3</v>
      </c>
      <c r="S263">
        <v>0.17483737247275308</v>
      </c>
      <c r="T263">
        <v>1.2116255397066023</v>
      </c>
      <c r="U263">
        <v>0</v>
      </c>
      <c r="V263">
        <v>1.5900966486317458E-2</v>
      </c>
      <c r="W263">
        <v>6.1458563473940013E-2</v>
      </c>
      <c r="X263">
        <v>-1.4702153975542602E-2</v>
      </c>
      <c r="Y263">
        <v>2.6352626051219036E-2</v>
      </c>
    </row>
    <row r="264" spans="1:25" x14ac:dyDescent="0.25">
      <c r="A264" s="879"/>
      <c r="B264" s="1133">
        <v>14</v>
      </c>
      <c r="C264" s="884">
        <v>1.0253479391145941</v>
      </c>
      <c r="D264" s="884">
        <v>1.0044407780581965</v>
      </c>
      <c r="E264" s="884">
        <v>1.0081276070442684</v>
      </c>
      <c r="F264" s="884">
        <v>0.99015388297627849</v>
      </c>
      <c r="G264" s="884">
        <v>1.019270452697655</v>
      </c>
      <c r="H264" s="884">
        <v>0.99644676179509417</v>
      </c>
      <c r="I264" s="884">
        <v>1.0371109414711397</v>
      </c>
      <c r="K264">
        <v>1.5966707375699356</v>
      </c>
      <c r="L264">
        <v>0</v>
      </c>
      <c r="M264">
        <v>6.1732382373287037E-3</v>
      </c>
      <c r="N264">
        <v>0.11648657102044617</v>
      </c>
      <c r="O264">
        <v>3.0024971939930787E-2</v>
      </c>
      <c r="P264">
        <v>1.8306045513399666E-2</v>
      </c>
      <c r="Q264">
        <v>0</v>
      </c>
      <c r="R264">
        <v>6.1732382373287037E-3</v>
      </c>
      <c r="S264">
        <v>0.17039219759741195</v>
      </c>
      <c r="T264">
        <v>1.1741280276254553</v>
      </c>
      <c r="U264">
        <v>0</v>
      </c>
      <c r="V264">
        <v>1.5719140324313888E-2</v>
      </c>
      <c r="W264">
        <v>6.106387619545002E-2</v>
      </c>
      <c r="X264">
        <v>-1.487038891234793E-2</v>
      </c>
      <c r="Y264">
        <v>2.5420296265874723E-2</v>
      </c>
    </row>
    <row r="265" spans="1:25" x14ac:dyDescent="0.25">
      <c r="A265" s="879"/>
      <c r="B265" s="1133">
        <v>15</v>
      </c>
      <c r="C265" s="884">
        <v>1.0219177438586347</v>
      </c>
      <c r="D265" s="884">
        <v>0.97398744909165313</v>
      </c>
      <c r="E265" s="884">
        <v>1.0347512393569425</v>
      </c>
      <c r="F265" s="884">
        <v>0.99711236188151908</v>
      </c>
      <c r="G265" s="884">
        <v>1.0081880672828301</v>
      </c>
      <c r="H265" s="884">
        <v>1.0206421184769647</v>
      </c>
      <c r="I265" s="884">
        <v>0.97593190772513183</v>
      </c>
      <c r="K265">
        <v>1.6064409231686381</v>
      </c>
      <c r="L265">
        <v>0</v>
      </c>
      <c r="M265">
        <v>6.2839319371990228E-3</v>
      </c>
      <c r="N265">
        <v>0.12333796136072578</v>
      </c>
      <c r="O265">
        <v>3.0475006000536417E-2</v>
      </c>
      <c r="P265">
        <v>1.8671275916130624E-2</v>
      </c>
      <c r="Q265">
        <v>0</v>
      </c>
      <c r="R265">
        <v>6.2839319371990228E-3</v>
      </c>
      <c r="S265">
        <v>0.16256438371128804</v>
      </c>
      <c r="T265">
        <v>1.1818885494760494</v>
      </c>
      <c r="U265">
        <v>0</v>
      </c>
      <c r="V265">
        <v>1.5736987014320403E-2</v>
      </c>
      <c r="W265">
        <v>6.3813561259471269E-2</v>
      </c>
      <c r="X265">
        <v>-1.5922914789081359E-2</v>
      </c>
      <c r="Y265">
        <v>2.5876113219196605E-2</v>
      </c>
    </row>
    <row r="266" spans="1:25" x14ac:dyDescent="0.25">
      <c r="A266" s="879"/>
      <c r="B266" s="1133">
        <v>16</v>
      </c>
      <c r="C266" s="884">
        <v>0.99071999378971765</v>
      </c>
      <c r="D266" s="884">
        <v>1.024494725518045</v>
      </c>
      <c r="E266" s="884">
        <v>1.0023418040158185</v>
      </c>
      <c r="F266" s="884">
        <v>0.95603958494232133</v>
      </c>
      <c r="G266" s="884">
        <v>1.0327671183498084</v>
      </c>
      <c r="H266" s="884">
        <v>0.97005443837534489</v>
      </c>
      <c r="I266" s="884">
        <v>0.99335433740117762</v>
      </c>
      <c r="K266">
        <v>1.5527794506479464</v>
      </c>
      <c r="L266">
        <v>0</v>
      </c>
      <c r="M266">
        <v>6.1964845756445844E-3</v>
      </c>
      <c r="N266">
        <v>0.11592765694911562</v>
      </c>
      <c r="O266">
        <v>3.0834674653416737E-2</v>
      </c>
      <c r="P266">
        <v>1.7645300545265558E-2</v>
      </c>
      <c r="Q266">
        <v>0</v>
      </c>
      <c r="R266">
        <v>6.1964845756445844E-3</v>
      </c>
      <c r="S266">
        <v>0.16718918457799617</v>
      </c>
      <c r="T266">
        <v>1.1337778468753028</v>
      </c>
      <c r="U266">
        <v>0</v>
      </c>
      <c r="V266">
        <v>1.5904976634404634E-2</v>
      </c>
      <c r="W266">
        <v>6.0945383327205414E-2</v>
      </c>
      <c r="X266">
        <v>-1.4961593464125712E-2</v>
      </c>
      <c r="Y266">
        <v>2.551602054936554E-2</v>
      </c>
    </row>
    <row r="267" spans="1:25" x14ac:dyDescent="0.25">
      <c r="A267" s="879"/>
      <c r="B267" s="1133">
        <v>17</v>
      </c>
      <c r="C267" s="884">
        <v>0.97916695362660755</v>
      </c>
      <c r="D267" s="884">
        <v>1.0395066423787485</v>
      </c>
      <c r="E267" s="884">
        <v>0.97355947595951242</v>
      </c>
      <c r="F267" s="884">
        <v>0.99095412174559394</v>
      </c>
      <c r="G267" s="884">
        <v>0.99761595577305584</v>
      </c>
      <c r="H267" s="884">
        <v>0.97695412218383737</v>
      </c>
      <c r="I267" s="884">
        <v>1.0102345719809145</v>
      </c>
      <c r="K267">
        <v>1.6012984595962652</v>
      </c>
      <c r="L267">
        <v>0</v>
      </c>
      <c r="M267">
        <v>6.4329464773615497E-3</v>
      </c>
      <c r="N267">
        <v>0.11532316293648122</v>
      </c>
      <c r="O267">
        <v>3.1041096103056838E-2</v>
      </c>
      <c r="P267">
        <v>1.7877727560831762E-2</v>
      </c>
      <c r="Q267">
        <v>0</v>
      </c>
      <c r="R267">
        <v>6.4329464773615497E-3</v>
      </c>
      <c r="S267">
        <v>0.17227826249196637</v>
      </c>
      <c r="T267">
        <v>1.1757149684992994</v>
      </c>
      <c r="U267">
        <v>0</v>
      </c>
      <c r="V267">
        <v>1.596990203660488E-2</v>
      </c>
      <c r="W267">
        <v>6.150478530587955E-2</v>
      </c>
      <c r="X267">
        <v>-1.4901173909843799E-2</v>
      </c>
      <c r="Y267">
        <v>2.6489728571986497E-2</v>
      </c>
    </row>
    <row r="268" spans="1:25" x14ac:dyDescent="0.25">
      <c r="A268" s="879"/>
      <c r="B268" s="1133">
        <v>18</v>
      </c>
      <c r="C268" s="884">
        <v>1.0103956111980472</v>
      </c>
      <c r="D268" s="884">
        <v>1.0170131156747817</v>
      </c>
      <c r="E268" s="884">
        <v>0.97736516582220456</v>
      </c>
      <c r="F268" s="884">
        <v>1.0061024508233838</v>
      </c>
      <c r="G268" s="884">
        <v>0.99448025410288565</v>
      </c>
      <c r="H268" s="884">
        <v>1.0343872778925147</v>
      </c>
      <c r="I268" s="884">
        <v>1.0344635384252538</v>
      </c>
      <c r="K268">
        <v>1.6276547841318305</v>
      </c>
      <c r="L268">
        <v>0</v>
      </c>
      <c r="M268">
        <v>6.6431691166507914E-3</v>
      </c>
      <c r="N268">
        <v>0.11976638806471986</v>
      </c>
      <c r="O268">
        <v>3.0343167698805535E-2</v>
      </c>
      <c r="P268">
        <v>1.8193387485858647E-2</v>
      </c>
      <c r="Q268">
        <v>0</v>
      </c>
      <c r="R268">
        <v>6.6431691166507914E-3</v>
      </c>
      <c r="S268">
        <v>0.1745477874846057</v>
      </c>
      <c r="T268">
        <v>1.193616093545119</v>
      </c>
      <c r="U268">
        <v>0</v>
      </c>
      <c r="V268">
        <v>1.5797821735379053E-2</v>
      </c>
      <c r="W268">
        <v>6.3752645162094432E-2</v>
      </c>
      <c r="X268">
        <v>-1.5717895027096199E-2</v>
      </c>
      <c r="Y268">
        <v>2.7355387982344687E-2</v>
      </c>
    </row>
    <row r="269" spans="1:25" x14ac:dyDescent="0.25">
      <c r="A269" s="879"/>
      <c r="B269" s="1133">
        <v>19</v>
      </c>
      <c r="C269" s="884">
        <v>0.98664592370574666</v>
      </c>
      <c r="D269" s="884">
        <v>0.99327012321312325</v>
      </c>
      <c r="E269" s="884">
        <v>1.0180507401202259</v>
      </c>
      <c r="F269" s="884">
        <v>0.98935646766932173</v>
      </c>
      <c r="G269" s="884">
        <v>1.0060416172922229</v>
      </c>
      <c r="H269" s="884">
        <v>1.0312437510655379</v>
      </c>
      <c r="I269" s="884">
        <v>0.98960512227229147</v>
      </c>
      <c r="K269">
        <v>1.6130928507529336</v>
      </c>
      <c r="L269">
        <v>0</v>
      </c>
      <c r="M269">
        <v>6.6149522766429285E-3</v>
      </c>
      <c r="N269">
        <v>0.12666828521163834</v>
      </c>
      <c r="O269">
        <v>3.133365532316551E-2</v>
      </c>
      <c r="P269">
        <v>1.8440057473689559E-2</v>
      </c>
      <c r="Q269">
        <v>0</v>
      </c>
      <c r="R269">
        <v>6.6149522766429285E-3</v>
      </c>
      <c r="S269">
        <v>0.17111859161401127</v>
      </c>
      <c r="T269">
        <v>1.1730005542512518</v>
      </c>
      <c r="U269">
        <v>0</v>
      </c>
      <c r="V269">
        <v>1.5927698410875751E-2</v>
      </c>
      <c r="W269">
        <v>6.6076576953600127E-2</v>
      </c>
      <c r="X269">
        <v>-1.6711764542900451E-2</v>
      </c>
      <c r="Y269">
        <v>2.7239196057602607E-2</v>
      </c>
    </row>
    <row r="270" spans="1:25" x14ac:dyDescent="0.25">
      <c r="A270" s="879"/>
      <c r="B270" s="1133">
        <v>20</v>
      </c>
      <c r="C270" s="884">
        <v>1.0159413744176464</v>
      </c>
      <c r="D270" s="884">
        <v>0.9904366560181298</v>
      </c>
      <c r="E270" s="884">
        <v>1.0015781733750184</v>
      </c>
      <c r="F270" s="884">
        <v>0.9659800651682644</v>
      </c>
      <c r="G270" s="884">
        <v>1.0057290383884379</v>
      </c>
      <c r="H270" s="884">
        <v>0.97714299429112506</v>
      </c>
      <c r="I270" s="884">
        <v>1.0020553461121477</v>
      </c>
      <c r="K270">
        <v>1.5616835698484404</v>
      </c>
      <c r="L270">
        <v>0</v>
      </c>
      <c r="M270">
        <v>6.1833798909521533E-3</v>
      </c>
      <c r="N270">
        <v>0.1155517072630825</v>
      </c>
      <c r="O270">
        <v>3.0479236564617866E-2</v>
      </c>
      <c r="P270">
        <v>1.7764358644449314E-2</v>
      </c>
      <c r="Q270">
        <v>0</v>
      </c>
      <c r="R270">
        <v>6.1833798909521533E-3</v>
      </c>
      <c r="S270">
        <v>0.16518162925570953</v>
      </c>
      <c r="T270">
        <v>1.1455800746775076</v>
      </c>
      <c r="U270">
        <v>0</v>
      </c>
      <c r="V270">
        <v>1.5768368889449477E-2</v>
      </c>
      <c r="W270">
        <v>6.0770763580853891E-2</v>
      </c>
      <c r="X270">
        <v>-1.4874626817579902E-2</v>
      </c>
      <c r="Y270">
        <v>2.5462057790349026E-2</v>
      </c>
    </row>
    <row r="271" spans="1:25" x14ac:dyDescent="0.25">
      <c r="A271" s="879"/>
      <c r="B271" s="1133">
        <v>21</v>
      </c>
      <c r="C271" s="884">
        <v>1.0202167888415601</v>
      </c>
      <c r="D271" s="884">
        <v>0.96091914349617513</v>
      </c>
      <c r="E271" s="884">
        <v>1.016498327878754</v>
      </c>
      <c r="F271" s="884">
        <v>1.0191090095896855</v>
      </c>
      <c r="G271" s="884">
        <v>0.99853850371063857</v>
      </c>
      <c r="H271" s="884">
        <v>0.99447613066603202</v>
      </c>
      <c r="I271" s="884">
        <v>1.0110187931958705</v>
      </c>
      <c r="K271">
        <v>1.6337742365172698</v>
      </c>
      <c r="L271">
        <v>0</v>
      </c>
      <c r="M271">
        <v>6.2696249637132825E-3</v>
      </c>
      <c r="N271">
        <v>0.11978024430390091</v>
      </c>
      <c r="O271">
        <v>3.0708022741347794E-2</v>
      </c>
      <c r="P271">
        <v>1.8842311929164624E-2</v>
      </c>
      <c r="Q271">
        <v>0</v>
      </c>
      <c r="R271">
        <v>6.2696249637132825E-3</v>
      </c>
      <c r="S271">
        <v>0.1672911893006645</v>
      </c>
      <c r="T271">
        <v>1.2083050380852662</v>
      </c>
      <c r="U271">
        <v>0</v>
      </c>
      <c r="V271">
        <v>1.5745881287483412E-2</v>
      </c>
      <c r="W271">
        <v>6.2531279912164395E-2</v>
      </c>
      <c r="X271">
        <v>-1.5246930691651657E-2</v>
      </c>
      <c r="Y271">
        <v>2.5817199648928677E-2</v>
      </c>
    </row>
    <row r="272" spans="1:25" x14ac:dyDescent="0.25">
      <c r="A272" s="879"/>
      <c r="B272" s="1133">
        <v>22</v>
      </c>
      <c r="C272" s="884">
        <v>1.0046987624435628</v>
      </c>
      <c r="D272" s="884">
        <v>0.99463664239544569</v>
      </c>
      <c r="E272" s="884">
        <v>1.0028518533757169</v>
      </c>
      <c r="F272" s="884">
        <v>1.0237348795203833</v>
      </c>
      <c r="G272" s="884">
        <v>0.96471721848292735</v>
      </c>
      <c r="H272" s="884">
        <v>1.0062594346980474</v>
      </c>
      <c r="I272" s="884">
        <v>1.0045258530103003</v>
      </c>
      <c r="K272">
        <v>1.642852363052101</v>
      </c>
      <c r="L272">
        <v>0</v>
      </c>
      <c r="M272">
        <v>6.4195880531055976E-3</v>
      </c>
      <c r="N272">
        <v>0.12019238352425984</v>
      </c>
      <c r="O272">
        <v>3.0767087245344733E-2</v>
      </c>
      <c r="P272">
        <v>1.8752368055320379E-2</v>
      </c>
      <c r="Q272">
        <v>0</v>
      </c>
      <c r="R272">
        <v>6.4195880531055976E-3</v>
      </c>
      <c r="S272">
        <v>0.16909398269084894</v>
      </c>
      <c r="T272">
        <v>1.2140487419872799</v>
      </c>
      <c r="U272">
        <v>0</v>
      </c>
      <c r="V272">
        <v>1.5828415534592223E-2</v>
      </c>
      <c r="W272">
        <v>6.3171444668188859E-2</v>
      </c>
      <c r="X272">
        <v>-1.5436781612345584E-2</v>
      </c>
      <c r="Y272">
        <v>2.6434720958611366E-2</v>
      </c>
    </row>
    <row r="273" spans="1:25" x14ac:dyDescent="0.25">
      <c r="A273" s="879"/>
      <c r="B273" s="1133">
        <v>23</v>
      </c>
      <c r="C273" s="884">
        <v>1.0108510692875505</v>
      </c>
      <c r="D273" s="884">
        <v>1.011137607716142</v>
      </c>
      <c r="E273" s="884">
        <v>0.9942696862412721</v>
      </c>
      <c r="F273" s="884">
        <v>1.0131115652264142</v>
      </c>
      <c r="G273" s="884">
        <v>0.95958832804321337</v>
      </c>
      <c r="H273" s="884">
        <v>0.97899934789880105</v>
      </c>
      <c r="I273" s="884">
        <v>0.9964435038245536</v>
      </c>
      <c r="K273">
        <v>1.6175707233615502</v>
      </c>
      <c r="L273">
        <v>0</v>
      </c>
      <c r="M273">
        <v>6.2086464121550722E-3</v>
      </c>
      <c r="N273">
        <v>0.11477422422484028</v>
      </c>
      <c r="O273">
        <v>3.0386388302006788E-2</v>
      </c>
      <c r="P273">
        <v>1.8409834738670538E-2</v>
      </c>
      <c r="Q273">
        <v>0</v>
      </c>
      <c r="R273">
        <v>6.2086464121550722E-3</v>
      </c>
      <c r="S273">
        <v>0.16498669427103238</v>
      </c>
      <c r="T273">
        <v>1.2016121852882931</v>
      </c>
      <c r="U273">
        <v>0</v>
      </c>
      <c r="V273">
        <v>1.5795390674497384E-2</v>
      </c>
      <c r="W273">
        <v>6.0581547728557041E-2</v>
      </c>
      <c r="X273">
        <v>-1.4541642693738177E-2</v>
      </c>
      <c r="Y273">
        <v>2.5566100827389519E-2</v>
      </c>
    </row>
    <row r="274" spans="1:25" x14ac:dyDescent="0.25">
      <c r="A274" s="879"/>
      <c r="B274" s="1133">
        <v>24</v>
      </c>
      <c r="C274" s="884">
        <v>0.98527943019648745</v>
      </c>
      <c r="D274" s="884">
        <v>0.992521436955354</v>
      </c>
      <c r="E274" s="884">
        <v>1.0191578810393049</v>
      </c>
      <c r="F274" s="884">
        <v>1.0151879575989873</v>
      </c>
      <c r="G274" s="884">
        <v>1.0196404320427011</v>
      </c>
      <c r="H274" s="884">
        <v>0.97454856491674335</v>
      </c>
      <c r="I274" s="884">
        <v>0.98415540962162729</v>
      </c>
      <c r="K274">
        <v>1.6299487111857411</v>
      </c>
      <c r="L274">
        <v>0</v>
      </c>
      <c r="M274">
        <v>6.2559897736200647E-3</v>
      </c>
      <c r="N274">
        <v>0.11999096867829138</v>
      </c>
      <c r="O274">
        <v>3.1385557424258623E-2</v>
      </c>
      <c r="P274">
        <v>1.8816335830443655E-2</v>
      </c>
      <c r="Q274">
        <v>0</v>
      </c>
      <c r="R274">
        <v>6.2559897736200647E-3</v>
      </c>
      <c r="S274">
        <v>0.16712714014865251</v>
      </c>
      <c r="T274">
        <v>1.2036060816490648</v>
      </c>
      <c r="U274">
        <v>0</v>
      </c>
      <c r="V274">
        <v>1.5935361658727755E-2</v>
      </c>
      <c r="W274">
        <v>6.2559204618634984E-2</v>
      </c>
      <c r="X274">
        <v>-1.5232991185431326E-2</v>
      </c>
      <c r="Y274">
        <v>2.5761052363098166E-2</v>
      </c>
    </row>
    <row r="275" spans="1:25" x14ac:dyDescent="0.25">
      <c r="A275" s="879"/>
      <c r="B275" s="1133">
        <v>25</v>
      </c>
      <c r="C275" s="884">
        <v>0.9610803521938901</v>
      </c>
      <c r="D275" s="884">
        <v>0.97215584302926794</v>
      </c>
      <c r="E275" s="884">
        <v>0.992885273126354</v>
      </c>
      <c r="F275" s="884">
        <v>0.99783825307832275</v>
      </c>
      <c r="G275" s="884">
        <v>0.97167463801373077</v>
      </c>
      <c r="H275" s="884">
        <v>1.0188895401534497</v>
      </c>
      <c r="I275" s="884">
        <v>1.02145714105772</v>
      </c>
      <c r="K275">
        <v>1.6379301804369344</v>
      </c>
      <c r="L275">
        <v>0</v>
      </c>
      <c r="M275">
        <v>6.9249009258910855E-3</v>
      </c>
      <c r="N275">
        <v>0.12775262981788418</v>
      </c>
      <c r="O275">
        <v>3.2467776309374585E-2</v>
      </c>
      <c r="P275">
        <v>1.8364047933703453E-2</v>
      </c>
      <c r="Q275">
        <v>0</v>
      </c>
      <c r="R275">
        <v>6.9249009258910855E-3</v>
      </c>
      <c r="S275">
        <v>0.18078296025321414</v>
      </c>
      <c r="T275">
        <v>1.1835228172580208</v>
      </c>
      <c r="U275">
        <v>0</v>
      </c>
      <c r="V275">
        <v>1.6074679182118242E-2</v>
      </c>
      <c r="W275">
        <v>6.747847042759629E-2</v>
      </c>
      <c r="X275">
        <v>-1.7028710171380159E-2</v>
      </c>
      <c r="Y275">
        <v>2.8515509426403556E-2</v>
      </c>
    </row>
    <row r="276" spans="1:25" x14ac:dyDescent="0.25">
      <c r="A276" s="879"/>
      <c r="B276" s="1133">
        <v>26</v>
      </c>
      <c r="C276" s="884">
        <v>0.98876401050703167</v>
      </c>
      <c r="D276" s="884">
        <v>0.99956944115708368</v>
      </c>
      <c r="E276" s="884">
        <v>0.99125822710319711</v>
      </c>
      <c r="F276" s="884">
        <v>0.96185275046496244</v>
      </c>
      <c r="G276" s="884">
        <v>0.99628928763069535</v>
      </c>
      <c r="H276" s="884">
        <v>1.0390430373897803</v>
      </c>
      <c r="I276" s="884">
        <v>1.039770017038701</v>
      </c>
      <c r="K276">
        <v>1.5877141162334973</v>
      </c>
      <c r="L276">
        <v>0</v>
      </c>
      <c r="M276">
        <v>6.7891045597207158E-3</v>
      </c>
      <c r="N276">
        <v>0.1249457034892964</v>
      </c>
      <c r="O276">
        <v>3.1211002292253414E-2</v>
      </c>
      <c r="P276">
        <v>1.77592109741928E-2</v>
      </c>
      <c r="Q276">
        <v>0</v>
      </c>
      <c r="R276">
        <v>6.7891045597207158E-3</v>
      </c>
      <c r="S276">
        <v>0.17977931753082571</v>
      </c>
      <c r="T276">
        <v>1.1408700261243891</v>
      </c>
      <c r="U276">
        <v>0</v>
      </c>
      <c r="V276">
        <v>1.5915862114842246E-2</v>
      </c>
      <c r="W276">
        <v>6.6049384670661224E-2</v>
      </c>
      <c r="X276">
        <v>-1.6772715124329596E-2</v>
      </c>
      <c r="Y276">
        <v>2.7956324161366099E-2</v>
      </c>
    </row>
    <row r="277" spans="1:25" x14ac:dyDescent="0.25">
      <c r="A277" s="879"/>
      <c r="B277" s="1133">
        <v>27</v>
      </c>
      <c r="C277" s="884">
        <v>1.0410332648631329</v>
      </c>
      <c r="D277" s="884">
        <v>1.0022777536140162</v>
      </c>
      <c r="E277" s="884">
        <v>0.99996566343548088</v>
      </c>
      <c r="F277" s="884">
        <v>0.970224330189985</v>
      </c>
      <c r="G277" s="884">
        <v>0.98746648340212473</v>
      </c>
      <c r="H277" s="884">
        <v>1.0203968069962706</v>
      </c>
      <c r="I277" s="884">
        <v>1.0236823418246286</v>
      </c>
      <c r="K277">
        <v>1.5699913679301942</v>
      </c>
      <c r="L277">
        <v>0</v>
      </c>
      <c r="M277">
        <v>6.2769704755945132E-3</v>
      </c>
      <c r="N277">
        <v>0.1170208086311386</v>
      </c>
      <c r="O277">
        <v>2.9604855273654643E-2</v>
      </c>
      <c r="P277">
        <v>1.7833383609302273E-2</v>
      </c>
      <c r="Q277">
        <v>0</v>
      </c>
      <c r="R277">
        <v>6.2769704755945132E-3</v>
      </c>
      <c r="S277">
        <v>0.16702850565283592</v>
      </c>
      <c r="T277">
        <v>1.1506425266476106</v>
      </c>
      <c r="U277">
        <v>0</v>
      </c>
      <c r="V277">
        <v>1.5639030881050408E-2</v>
      </c>
      <c r="W277">
        <v>6.1592680743898759E-2</v>
      </c>
      <c r="X277">
        <v>-1.5217870668699542E-2</v>
      </c>
      <c r="Y277">
        <v>2.5847447159403202E-2</v>
      </c>
    </row>
    <row r="278" spans="1:25" x14ac:dyDescent="0.25">
      <c r="A278" s="879"/>
      <c r="B278" s="1133">
        <v>28</v>
      </c>
      <c r="C278" s="884">
        <v>0.96989312786722204</v>
      </c>
      <c r="D278" s="884">
        <v>0.9884782030611351</v>
      </c>
      <c r="E278" s="884">
        <v>0.961742111971439</v>
      </c>
      <c r="F278" s="884">
        <v>0.97554676916952765</v>
      </c>
      <c r="G278" s="884">
        <v>0.98423849179188061</v>
      </c>
      <c r="H278" s="884">
        <v>1.0430186229691634</v>
      </c>
      <c r="I278" s="884">
        <v>0.98505444998547298</v>
      </c>
      <c r="K278">
        <v>1.6033033935509553</v>
      </c>
      <c r="L278">
        <v>0</v>
      </c>
      <c r="M278">
        <v>7.1642552456364318E-3</v>
      </c>
      <c r="N278">
        <v>0.1261990573712212</v>
      </c>
      <c r="O278">
        <v>3.1984508522095979E-2</v>
      </c>
      <c r="P278">
        <v>1.750176741401176E-2</v>
      </c>
      <c r="Q278">
        <v>0</v>
      </c>
      <c r="R278">
        <v>7.1642552456364318E-3</v>
      </c>
      <c r="S278">
        <v>0.17396329942178354</v>
      </c>
      <c r="T278">
        <v>1.1576508357661754</v>
      </c>
      <c r="U278">
        <v>0</v>
      </c>
      <c r="V278">
        <v>1.6023137905017869E-2</v>
      </c>
      <c r="W278">
        <v>6.7706635756694833E-2</v>
      </c>
      <c r="X278">
        <v>-1.7226976517678624E-2</v>
      </c>
      <c r="Y278">
        <v>2.9501127911634159E-2</v>
      </c>
    </row>
    <row r="279" spans="1:25" x14ac:dyDescent="0.25">
      <c r="A279" s="879"/>
      <c r="B279" s="1133">
        <v>29</v>
      </c>
      <c r="C279" s="884">
        <v>0.96966318056210221</v>
      </c>
      <c r="D279" s="884">
        <v>1.0196599370992674</v>
      </c>
      <c r="E279" s="884">
        <v>1.0200617275608885</v>
      </c>
      <c r="F279" s="884">
        <v>0.99342760565364785</v>
      </c>
      <c r="G279" s="884">
        <v>1.010503004955781</v>
      </c>
      <c r="H279" s="884">
        <v>0.97703866681895768</v>
      </c>
      <c r="I279" s="884">
        <v>0.9803769367831765</v>
      </c>
      <c r="K279">
        <v>1.6071531809587916</v>
      </c>
      <c r="L279">
        <v>0</v>
      </c>
      <c r="M279">
        <v>6.291807042580198E-3</v>
      </c>
      <c r="N279">
        <v>0.12083941526942424</v>
      </c>
      <c r="O279">
        <v>3.1547910628830556E-2</v>
      </c>
      <c r="P279">
        <v>1.8506003501287106E-2</v>
      </c>
      <c r="Q279">
        <v>0</v>
      </c>
      <c r="R279">
        <v>6.291807042580198E-3</v>
      </c>
      <c r="S279">
        <v>0.16905614120159412</v>
      </c>
      <c r="T279">
        <v>1.1777904144756222</v>
      </c>
      <c r="U279">
        <v>0</v>
      </c>
      <c r="V279">
        <v>1.602447084187817E-2</v>
      </c>
      <c r="W279">
        <v>6.2973507452101882E-2</v>
      </c>
      <c r="X279">
        <v>-1.5493223913386343E-2</v>
      </c>
      <c r="Y279">
        <v>2.5908541501439768E-2</v>
      </c>
    </row>
    <row r="280" spans="1:25" x14ac:dyDescent="0.25">
      <c r="A280" s="879"/>
      <c r="B280" s="1133">
        <v>30</v>
      </c>
      <c r="C280" s="884">
        <v>0.97100786706563535</v>
      </c>
      <c r="D280" s="884">
        <v>0.99076855336935932</v>
      </c>
      <c r="E280" s="884">
        <v>1.040011344345799</v>
      </c>
      <c r="F280" s="884">
        <v>0.97143675705562194</v>
      </c>
      <c r="G280" s="884">
        <v>0.97192517548987301</v>
      </c>
      <c r="H280" s="884">
        <v>1.0121271831109213</v>
      </c>
      <c r="I280" s="884">
        <v>1.0115811553890506</v>
      </c>
      <c r="K280">
        <v>1.5985341157619029</v>
      </c>
      <c r="L280">
        <v>0</v>
      </c>
      <c r="M280">
        <v>6.4784355549986567E-3</v>
      </c>
      <c r="N280">
        <v>0.12814758864042033</v>
      </c>
      <c r="O280">
        <v>3.1849186589390489E-2</v>
      </c>
      <c r="P280">
        <v>1.8520894258894388E-2</v>
      </c>
      <c r="Q280">
        <v>0</v>
      </c>
      <c r="R280">
        <v>6.4784355549986567E-3</v>
      </c>
      <c r="S280">
        <v>0.17663013665413568</v>
      </c>
      <c r="T280">
        <v>1.151360842003831</v>
      </c>
      <c r="U280">
        <v>0</v>
      </c>
      <c r="V280">
        <v>1.60166850384766E-2</v>
      </c>
      <c r="W280">
        <v>6.6131643153863731E-2</v>
      </c>
      <c r="X280">
        <v>-1.6799905074052528E-2</v>
      </c>
      <c r="Y280">
        <v>2.667704449694212E-2</v>
      </c>
    </row>
    <row r="281" spans="1:25" x14ac:dyDescent="0.25">
      <c r="A281" s="879"/>
      <c r="B281" s="1133">
        <v>31</v>
      </c>
      <c r="C281" s="884">
        <v>0.99131401579000233</v>
      </c>
      <c r="D281" s="884">
        <v>1.0049147733738386</v>
      </c>
      <c r="E281" s="884">
        <v>0.95849621880940694</v>
      </c>
      <c r="F281" s="884">
        <v>1.0258503626966238</v>
      </c>
      <c r="G281" s="884">
        <v>0.98253246406263783</v>
      </c>
      <c r="H281" s="884">
        <v>0.9906544316258713</v>
      </c>
      <c r="I281" s="884">
        <v>1.0320779171761096</v>
      </c>
      <c r="K281">
        <v>1.6485025504263242</v>
      </c>
      <c r="L281">
        <v>0</v>
      </c>
      <c r="M281">
        <v>6.6274220801424075E-3</v>
      </c>
      <c r="N281">
        <v>0.11618099675806574</v>
      </c>
      <c r="O281">
        <v>3.1090016335267499E-2</v>
      </c>
      <c r="P281">
        <v>1.8242663288083678E-2</v>
      </c>
      <c r="Q281">
        <v>0</v>
      </c>
      <c r="R281">
        <v>6.6274220801424075E-3</v>
      </c>
      <c r="S281">
        <v>0.17497787464546816</v>
      </c>
      <c r="T281">
        <v>1.2174069988089706</v>
      </c>
      <c r="U281">
        <v>0</v>
      </c>
      <c r="V281">
        <v>1.5901679274165664E-2</v>
      </c>
      <c r="W281">
        <v>6.2434095024687018E-2</v>
      </c>
      <c r="X281">
        <v>-1.5022318197256208E-2</v>
      </c>
      <c r="Y281">
        <v>2.7290544488871183E-2</v>
      </c>
    </row>
    <row r="282" spans="1:25" x14ac:dyDescent="0.25">
      <c r="A282" s="879"/>
      <c r="B282" s="1133">
        <v>32</v>
      </c>
      <c r="C282" s="883">
        <v>1.0220947956761788</v>
      </c>
      <c r="D282" s="883">
        <v>0.97067173714504884</v>
      </c>
      <c r="E282" s="883">
        <v>1.0174209573335846</v>
      </c>
      <c r="F282" s="883">
        <v>0.9949387849620619</v>
      </c>
      <c r="G282" s="883">
        <v>1.012717944011557</v>
      </c>
      <c r="H282" s="883">
        <v>0.96987445072618073</v>
      </c>
      <c r="I282" s="883">
        <v>0.99695313903686322</v>
      </c>
      <c r="K282">
        <v>1.5945210330894362</v>
      </c>
      <c r="L282">
        <v>0</v>
      </c>
      <c r="M282">
        <v>6.0709028102434578E-3</v>
      </c>
      <c r="N282">
        <v>0.11614212987248589</v>
      </c>
      <c r="O282">
        <v>3.052721756156361E-2</v>
      </c>
      <c r="P282">
        <v>1.8410406057088068E-2</v>
      </c>
      <c r="Q282">
        <v>0</v>
      </c>
      <c r="R282">
        <v>6.0709028102434578E-3</v>
      </c>
      <c r="S282">
        <v>0.1631464686329003</v>
      </c>
      <c r="T282">
        <v>1.1796306562856262</v>
      </c>
      <c r="U282">
        <v>0</v>
      </c>
      <c r="V282">
        <v>1.5736062913590091E-2</v>
      </c>
      <c r="W282">
        <v>6.0604418119176127E-2</v>
      </c>
      <c r="X282">
        <v>-1.4675223545160031E-2</v>
      </c>
      <c r="Y282">
        <v>2.4998897192164662E-2</v>
      </c>
    </row>
    <row r="283" spans="1:25" x14ac:dyDescent="0.25">
      <c r="A283" s="879"/>
      <c r="B283" s="1133">
        <v>33</v>
      </c>
      <c r="C283" s="883">
        <v>0.98576211716353357</v>
      </c>
      <c r="D283" s="883">
        <v>0.99335553026039436</v>
      </c>
      <c r="E283" s="883">
        <v>0.97809852705430811</v>
      </c>
      <c r="F283" s="883">
        <v>0.9772745574178795</v>
      </c>
      <c r="G283" s="883">
        <v>0.96978934689285878</v>
      </c>
      <c r="H283" s="883">
        <v>1.0010230853188735</v>
      </c>
      <c r="I283" s="883">
        <v>0.95201769782986978</v>
      </c>
      <c r="K283">
        <v>1.5828686634890212</v>
      </c>
      <c r="L283">
        <v>0</v>
      </c>
      <c r="M283">
        <v>6.6548156611115523E-3</v>
      </c>
      <c r="N283">
        <v>0.1201069938952407</v>
      </c>
      <c r="O283">
        <v>3.1395028326256617E-2</v>
      </c>
      <c r="P283">
        <v>1.7603777067857113E-2</v>
      </c>
      <c r="Q283">
        <v>0</v>
      </c>
      <c r="R283">
        <v>6.6548156611115523E-3</v>
      </c>
      <c r="S283">
        <v>0.16302695412648502</v>
      </c>
      <c r="T283">
        <v>1.1594019747082389</v>
      </c>
      <c r="U283">
        <v>0</v>
      </c>
      <c r="V283">
        <v>1.5932652340159781E-2</v>
      </c>
      <c r="W283">
        <v>6.3910458393909103E-2</v>
      </c>
      <c r="X283">
        <v>-1.5912521748551955E-2</v>
      </c>
      <c r="Y283">
        <v>2.7403346379426471E-2</v>
      </c>
    </row>
    <row r="284" spans="1:25" x14ac:dyDescent="0.25">
      <c r="A284" s="879"/>
      <c r="B284" s="1133">
        <v>34</v>
      </c>
      <c r="C284" s="883">
        <v>0.99682654570628493</v>
      </c>
      <c r="D284" s="883">
        <v>0.98555072022796608</v>
      </c>
      <c r="E284" s="883">
        <v>0.98263610255640388</v>
      </c>
      <c r="F284" s="883">
        <v>0.99099701389965944</v>
      </c>
      <c r="G284" s="883">
        <v>1.027003693046576</v>
      </c>
      <c r="H284" s="883">
        <v>1.0388210853088571</v>
      </c>
      <c r="I284" s="883">
        <v>0.96668828885646318</v>
      </c>
      <c r="K284">
        <v>1.6078615188067087</v>
      </c>
      <c r="L284">
        <v>0</v>
      </c>
      <c r="M284">
        <v>6.8264730729173453E-3</v>
      </c>
      <c r="N284">
        <v>0.12403731978044173</v>
      </c>
      <c r="O284">
        <v>3.11410340600464E-2</v>
      </c>
      <c r="P284">
        <v>1.7916706039231234E-2</v>
      </c>
      <c r="Q284">
        <v>0</v>
      </c>
      <c r="R284">
        <v>6.8264730729173453E-3</v>
      </c>
      <c r="S284">
        <v>0.16592472586711238</v>
      </c>
      <c r="T284">
        <v>1.1755978255631103</v>
      </c>
      <c r="U284">
        <v>0</v>
      </c>
      <c r="V284">
        <v>1.5871267191730765E-2</v>
      </c>
      <c r="W284">
        <v>6.5852070674290636E-2</v>
      </c>
      <c r="X284">
        <v>-1.6589631416617109E-2</v>
      </c>
      <c r="Y284">
        <v>2.8110201047362421E-2</v>
      </c>
    </row>
    <row r="285" spans="1:25" x14ac:dyDescent="0.25">
      <c r="A285" s="879"/>
      <c r="B285" s="1133">
        <v>35</v>
      </c>
      <c r="C285" s="883">
        <v>1.0387191290994049</v>
      </c>
      <c r="D285" s="883">
        <v>1.0079594581418936</v>
      </c>
      <c r="E285" s="883">
        <v>1.0034101144711818</v>
      </c>
      <c r="F285" s="883">
        <v>1.0105576973675516</v>
      </c>
      <c r="G285" s="883">
        <v>0.98995630451492533</v>
      </c>
      <c r="H285" s="883">
        <v>0.98014952050961535</v>
      </c>
      <c r="I285" s="883">
        <v>1.0245878804804542</v>
      </c>
      <c r="K285">
        <v>1.6097982464226732</v>
      </c>
      <c r="L285">
        <v>0</v>
      </c>
      <c r="M285">
        <v>6.0094966277585045E-3</v>
      </c>
      <c r="N285">
        <v>0.1126074139259006</v>
      </c>
      <c r="O285">
        <v>2.9600967729540129E-2</v>
      </c>
      <c r="P285">
        <v>1.8495940583047966E-2</v>
      </c>
      <c r="Q285">
        <v>0</v>
      </c>
      <c r="R285">
        <v>6.0094966277585045E-3</v>
      </c>
      <c r="S285">
        <v>0.16519970308412169</v>
      </c>
      <c r="T285">
        <v>1.1984114245378561</v>
      </c>
      <c r="U285">
        <v>0</v>
      </c>
      <c r="V285">
        <v>1.5650697691405764E-2</v>
      </c>
      <c r="W285">
        <v>5.9168504325779067E-2</v>
      </c>
      <c r="X285">
        <v>-1.4082442917562903E-2</v>
      </c>
      <c r="Y285">
        <v>2.4746037462584657E-2</v>
      </c>
    </row>
    <row r="286" spans="1:25" x14ac:dyDescent="0.25">
      <c r="A286" s="879"/>
      <c r="B286" s="1133">
        <v>36</v>
      </c>
      <c r="C286" s="883">
        <v>1.0343033137834852</v>
      </c>
      <c r="D286" s="883">
        <v>0.99979060379156259</v>
      </c>
      <c r="E286" s="883">
        <v>0.97434256731730251</v>
      </c>
      <c r="F286" s="883">
        <v>1.027322397856832</v>
      </c>
      <c r="G286" s="883">
        <v>0.99975575942136341</v>
      </c>
      <c r="H286" s="883">
        <v>1.0061644705107489</v>
      </c>
      <c r="I286" s="883">
        <v>1.0157136118059145</v>
      </c>
      <c r="K286">
        <v>1.6358417131820724</v>
      </c>
      <c r="L286">
        <v>0</v>
      </c>
      <c r="M286">
        <v>6.3775704843049494E-3</v>
      </c>
      <c r="N286">
        <v>0.11446341230073387</v>
      </c>
      <c r="O286">
        <v>2.9847272167132979E-2</v>
      </c>
      <c r="P286">
        <v>1.8367708422954418E-2</v>
      </c>
      <c r="Q286">
        <v>0</v>
      </c>
      <c r="R286">
        <v>6.3775704843049494E-3</v>
      </c>
      <c r="S286">
        <v>0.16599524869612159</v>
      </c>
      <c r="T286">
        <v>1.2188489731853855</v>
      </c>
      <c r="U286">
        <v>0</v>
      </c>
      <c r="V286">
        <v>1.5673105061982998E-2</v>
      </c>
      <c r="W286">
        <v>6.1022267466175173E-2</v>
      </c>
      <c r="X286">
        <v>-1.4637974207553814E-2</v>
      </c>
      <c r="Y286">
        <v>2.6261700089138744E-2</v>
      </c>
    </row>
    <row r="287" spans="1:25" x14ac:dyDescent="0.25">
      <c r="A287" s="879"/>
      <c r="B287" s="1133">
        <v>37</v>
      </c>
      <c r="C287" s="883">
        <v>0.96426709656630261</v>
      </c>
      <c r="D287" s="883">
        <v>1.0242127405060262</v>
      </c>
      <c r="E287" s="883">
        <v>0.9952562688422274</v>
      </c>
      <c r="F287" s="883">
        <v>1.027138874107699</v>
      </c>
      <c r="G287" s="883">
        <v>1.0207432528656986</v>
      </c>
      <c r="H287" s="883">
        <v>0.96193325500216265</v>
      </c>
      <c r="I287" s="883">
        <v>0.99614388597738013</v>
      </c>
      <c r="K287">
        <v>1.6474169349435057</v>
      </c>
      <c r="L287">
        <v>0</v>
      </c>
      <c r="M287">
        <v>6.3531459010370186E-3</v>
      </c>
      <c r="N287">
        <v>0.11761732036913768</v>
      </c>
      <c r="O287">
        <v>3.1690225716316314E-2</v>
      </c>
      <c r="P287">
        <v>1.8739146682077414E-2</v>
      </c>
      <c r="Q287">
        <v>0</v>
      </c>
      <c r="R287">
        <v>6.3531459010370186E-3</v>
      </c>
      <c r="S287">
        <v>0.17177163375424845</v>
      </c>
      <c r="T287">
        <v>1.2182305735021655</v>
      </c>
      <c r="U287">
        <v>0</v>
      </c>
      <c r="V287">
        <v>1.6055932853665959E-2</v>
      </c>
      <c r="W287">
        <v>6.2051749704966512E-2</v>
      </c>
      <c r="X287">
        <v>-1.4900771641726969E-2</v>
      </c>
      <c r="Y287">
        <v>2.6161124002655158E-2</v>
      </c>
    </row>
    <row r="288" spans="1:25" x14ac:dyDescent="0.25">
      <c r="A288" s="879"/>
      <c r="B288" s="1133">
        <v>38</v>
      </c>
      <c r="C288" s="883">
        <v>0.99161036586794282</v>
      </c>
      <c r="D288" s="883">
        <v>0.98176023630530629</v>
      </c>
      <c r="E288" s="883">
        <v>0.97172414443692545</v>
      </c>
      <c r="F288" s="883">
        <v>0.96923859550795899</v>
      </c>
      <c r="G288" s="883">
        <v>0.99835761736811635</v>
      </c>
      <c r="H288" s="883">
        <v>0.96952199877278167</v>
      </c>
      <c r="I288" s="883">
        <v>1.0158980952333774</v>
      </c>
      <c r="K288">
        <v>1.5750837585584783</v>
      </c>
      <c r="L288">
        <v>0</v>
      </c>
      <c r="M288">
        <v>6.4769190318392234E-3</v>
      </c>
      <c r="N288">
        <v>0.11579553837902126</v>
      </c>
      <c r="O288">
        <v>3.1361829892333895E-2</v>
      </c>
      <c r="P288">
        <v>1.7500158868627953E-2</v>
      </c>
      <c r="Q288">
        <v>0</v>
      </c>
      <c r="R288">
        <v>6.4769190318392234E-3</v>
      </c>
      <c r="S288">
        <v>0.17117226885315526</v>
      </c>
      <c r="T288">
        <v>1.149983911157638</v>
      </c>
      <c r="U288">
        <v>0</v>
      </c>
      <c r="V288">
        <v>1.5900035739827383E-2</v>
      </c>
      <c r="W288">
        <v>6.1813664900626231E-2</v>
      </c>
      <c r="X288">
        <v>-1.5114448957255744E-2</v>
      </c>
      <c r="Y288">
        <v>2.667079972450264E-2</v>
      </c>
    </row>
    <row r="289" spans="1:25" x14ac:dyDescent="0.25">
      <c r="A289" s="879"/>
      <c r="B289" s="1133">
        <v>39</v>
      </c>
      <c r="C289" s="883">
        <v>0.98241740890414853</v>
      </c>
      <c r="D289" s="883">
        <v>0.9815056153871824</v>
      </c>
      <c r="E289" s="883">
        <v>1.0358847705947358</v>
      </c>
      <c r="F289" s="883">
        <v>1.0131268327041141</v>
      </c>
      <c r="G289" s="883">
        <v>0.97932375301380237</v>
      </c>
      <c r="H289" s="883">
        <v>1.0082660289660312</v>
      </c>
      <c r="I289" s="883">
        <v>0.9850862224984348</v>
      </c>
      <c r="K289">
        <v>1.6392423336087618</v>
      </c>
      <c r="L289">
        <v>0</v>
      </c>
      <c r="M289">
        <v>6.4287995627590336E-3</v>
      </c>
      <c r="N289">
        <v>0.12639287392143031</v>
      </c>
      <c r="O289">
        <v>3.1601863260425002E-2</v>
      </c>
      <c r="P289">
        <v>1.9050839287929128E-2</v>
      </c>
      <c r="Q289">
        <v>0</v>
      </c>
      <c r="R289">
        <v>6.4287995627590336E-3</v>
      </c>
      <c r="S289">
        <v>0.16987660010672598</v>
      </c>
      <c r="T289">
        <v>1.2008495185516317</v>
      </c>
      <c r="U289">
        <v>0</v>
      </c>
      <c r="V289">
        <v>1.5951480856935849E-2</v>
      </c>
      <c r="W289">
        <v>6.5357859440175178E-2</v>
      </c>
      <c r="X289">
        <v>-1.6311354132267579E-2</v>
      </c>
      <c r="Y289">
        <v>2.6472652315776626E-2</v>
      </c>
    </row>
    <row r="290" spans="1:25" x14ac:dyDescent="0.25">
      <c r="A290" s="879"/>
      <c r="B290" s="1133">
        <v>40</v>
      </c>
      <c r="C290" s="883">
        <v>0.9764344387310443</v>
      </c>
      <c r="D290" s="883">
        <v>0.96167400515751111</v>
      </c>
      <c r="E290" s="883">
        <v>1.0196982991354062</v>
      </c>
      <c r="F290" s="883">
        <v>0.99731691791427046</v>
      </c>
      <c r="G290" s="883">
        <v>0.9753173682859988</v>
      </c>
      <c r="H290" s="883">
        <v>0.96232840716612433</v>
      </c>
      <c r="I290" s="883">
        <v>1.0010282484189998</v>
      </c>
      <c r="K290">
        <v>1.6151937685623015</v>
      </c>
      <c r="L290">
        <v>0</v>
      </c>
      <c r="M290">
        <v>6.3190388061729356E-3</v>
      </c>
      <c r="N290">
        <v>0.12129719463377948</v>
      </c>
      <c r="O290">
        <v>3.2071855334662024E-2</v>
      </c>
      <c r="P290">
        <v>1.8591135488568871E-2</v>
      </c>
      <c r="Q290">
        <v>0</v>
      </c>
      <c r="R290">
        <v>6.3190388061729356E-3</v>
      </c>
      <c r="S290">
        <v>0.17111532830197704</v>
      </c>
      <c r="T290">
        <v>1.182408219677646</v>
      </c>
      <c r="U290">
        <v>0</v>
      </c>
      <c r="V290">
        <v>1.5985482800363784E-2</v>
      </c>
      <c r="W290">
        <v>6.3223389709562899E-2</v>
      </c>
      <c r="X290">
        <v>-1.5519514441100841E-2</v>
      </c>
      <c r="Y290">
        <v>2.602067705684144E-2</v>
      </c>
    </row>
    <row r="291" spans="1:25" x14ac:dyDescent="0.25">
      <c r="A291" s="879"/>
      <c r="B291" s="1133">
        <v>41</v>
      </c>
      <c r="C291" s="883">
        <v>0.99654368449673714</v>
      </c>
      <c r="D291" s="883">
        <v>0.97656888620270121</v>
      </c>
      <c r="E291" s="883">
        <v>0.99803753743911605</v>
      </c>
      <c r="F291" s="883">
        <v>1.0326161447687852</v>
      </c>
      <c r="G291" s="883">
        <v>1.0033517623337909</v>
      </c>
      <c r="H291" s="883">
        <v>0.99714177842426832</v>
      </c>
      <c r="I291" s="883">
        <v>1.0236855525951121</v>
      </c>
      <c r="K291">
        <v>1.6596132889842239</v>
      </c>
      <c r="L291">
        <v>0</v>
      </c>
      <c r="M291">
        <v>6.4934326495702313E-3</v>
      </c>
      <c r="N291">
        <v>0.12071095969505018</v>
      </c>
      <c r="O291">
        <v>3.1251317255289256E-2</v>
      </c>
      <c r="P291">
        <v>1.888382784484231E-2</v>
      </c>
      <c r="Q291">
        <v>0</v>
      </c>
      <c r="R291">
        <v>6.4934326495702313E-3</v>
      </c>
      <c r="S291">
        <v>0.17337480790482038</v>
      </c>
      <c r="T291">
        <v>1.2246734317344412</v>
      </c>
      <c r="U291">
        <v>0</v>
      </c>
      <c r="V291">
        <v>1.5872819519759388E-2</v>
      </c>
      <c r="W291">
        <v>6.3595846537842629E-2</v>
      </c>
      <c r="X291">
        <v>-1.548852137082671E-2</v>
      </c>
      <c r="Y291">
        <v>2.6738799863004533E-2</v>
      </c>
    </row>
    <row r="292" spans="1:25" x14ac:dyDescent="0.25">
      <c r="A292" s="879"/>
      <c r="B292" s="1133">
        <v>42</v>
      </c>
      <c r="C292" s="883">
        <v>0.97853584013311312</v>
      </c>
      <c r="D292" s="883">
        <v>0.99734944646196289</v>
      </c>
      <c r="E292" s="883">
        <v>1.0391553282163331</v>
      </c>
      <c r="F292" s="883">
        <v>1.0130639458974997</v>
      </c>
      <c r="G292" s="883">
        <v>0.98606940714994018</v>
      </c>
      <c r="H292" s="883">
        <v>1.005629468450558</v>
      </c>
      <c r="I292" s="883">
        <v>0.99577200950424982</v>
      </c>
      <c r="K292">
        <v>1.640391977505101</v>
      </c>
      <c r="L292">
        <v>0</v>
      </c>
      <c r="M292">
        <v>6.3732702823013831E-3</v>
      </c>
      <c r="N292">
        <v>0.12590804549637299</v>
      </c>
      <c r="O292">
        <v>3.1521432545432153E-2</v>
      </c>
      <c r="P292">
        <v>1.9125370381495782E-2</v>
      </c>
      <c r="Q292">
        <v>0</v>
      </c>
      <c r="R292">
        <v>6.3732702823013831E-3</v>
      </c>
      <c r="S292">
        <v>0.17207593028658949</v>
      </c>
      <c r="T292">
        <v>1.2007139512055618</v>
      </c>
      <c r="U292">
        <v>0</v>
      </c>
      <c r="V292">
        <v>1.5973492909410185E-2</v>
      </c>
      <c r="W292">
        <v>6.500309382358388E-2</v>
      </c>
      <c r="X292">
        <v>-1.6173331766041969E-2</v>
      </c>
      <c r="Y292">
        <v>2.6243992622695483E-2</v>
      </c>
    </row>
    <row r="293" spans="1:25" x14ac:dyDescent="0.25">
      <c r="A293" s="879"/>
      <c r="B293" s="1133">
        <v>43</v>
      </c>
      <c r="C293" s="883">
        <v>0.99841371787100908</v>
      </c>
      <c r="D293" s="883">
        <v>1.0211310908936295</v>
      </c>
      <c r="E293" s="883">
        <v>0.99518645612957302</v>
      </c>
      <c r="F293" s="883">
        <v>0.97107856317195129</v>
      </c>
      <c r="G293" s="883">
        <v>0.99174250504030848</v>
      </c>
      <c r="H293" s="883">
        <v>1.0193191842932638</v>
      </c>
      <c r="I293" s="883">
        <v>0.97588984325225892</v>
      </c>
      <c r="K293">
        <v>1.5768197535857102</v>
      </c>
      <c r="L293">
        <v>0</v>
      </c>
      <c r="M293">
        <v>6.5110397211563219E-3</v>
      </c>
      <c r="N293">
        <v>0.12052797587870877</v>
      </c>
      <c r="O293">
        <v>3.06433636011012E-2</v>
      </c>
      <c r="P293">
        <v>1.7769621425226534E-2</v>
      </c>
      <c r="Q293">
        <v>0</v>
      </c>
      <c r="R293">
        <v>6.5110397211563219E-3</v>
      </c>
      <c r="S293">
        <v>0.16577131613805746</v>
      </c>
      <c r="T293">
        <v>1.1517419117928509</v>
      </c>
      <c r="U293">
        <v>0</v>
      </c>
      <c r="V293">
        <v>1.5862573185540102E-2</v>
      </c>
      <c r="W293">
        <v>6.3589542642094821E-2</v>
      </c>
      <c r="X293">
        <v>-1.5897853727723853E-2</v>
      </c>
      <c r="Y293">
        <v>2.6811302649854141E-2</v>
      </c>
    </row>
    <row r="294" spans="1:25" x14ac:dyDescent="0.25">
      <c r="A294" s="879"/>
      <c r="B294" s="1133">
        <v>44</v>
      </c>
      <c r="C294" s="883">
        <v>1.0036209162975291</v>
      </c>
      <c r="D294" s="883">
        <v>1.0049297410005615</v>
      </c>
      <c r="E294" s="883">
        <v>1.0304263333912413</v>
      </c>
      <c r="F294" s="883">
        <v>1.0073896858164499</v>
      </c>
      <c r="G294" s="883">
        <v>0.96295542595482753</v>
      </c>
      <c r="H294" s="883">
        <v>0.96266268979366065</v>
      </c>
      <c r="I294" s="883">
        <v>1.0251055157407234</v>
      </c>
      <c r="K294">
        <v>1.6166224520781771</v>
      </c>
      <c r="L294">
        <v>0</v>
      </c>
      <c r="M294">
        <v>5.9739686922877337E-3</v>
      </c>
      <c r="N294">
        <v>0.11650707402046975</v>
      </c>
      <c r="O294">
        <v>3.0648886713391756E-2</v>
      </c>
      <c r="P294">
        <v>1.8884092968606329E-2</v>
      </c>
      <c r="Q294">
        <v>0</v>
      </c>
      <c r="R294">
        <v>5.9739686922877337E-3</v>
      </c>
      <c r="S294">
        <v>0.17008872336379555</v>
      </c>
      <c r="T294">
        <v>1.1941507236074802</v>
      </c>
      <c r="U294">
        <v>0</v>
      </c>
      <c r="V294">
        <v>1.5834242966976202E-2</v>
      </c>
      <c r="W294">
        <v>6.0407240711588497E-2</v>
      </c>
      <c r="X294">
        <v>-1.4498272022184766E-2</v>
      </c>
      <c r="Y294">
        <v>2.4599739748052799E-2</v>
      </c>
    </row>
    <row r="295" spans="1:25" x14ac:dyDescent="0.25">
      <c r="A295" s="879"/>
      <c r="B295" s="1133">
        <v>45</v>
      </c>
      <c r="C295" s="883">
        <v>1.0115972846317502</v>
      </c>
      <c r="D295" s="883">
        <v>1.0031121151653986</v>
      </c>
      <c r="E295" s="883">
        <v>1.0188060838282884</v>
      </c>
      <c r="F295" s="883">
        <v>1.0119180466939866</v>
      </c>
      <c r="G295" s="883">
        <v>0.99493469644743526</v>
      </c>
      <c r="H295" s="883">
        <v>1.0222269025861799</v>
      </c>
      <c r="I295" s="883">
        <v>1.0115074097532526</v>
      </c>
      <c r="K295">
        <v>1.6308069473749727</v>
      </c>
      <c r="L295">
        <v>0</v>
      </c>
      <c r="M295">
        <v>6.3631042521456373E-3</v>
      </c>
      <c r="N295">
        <v>0.12198194101586589</v>
      </c>
      <c r="O295">
        <v>3.0439832797667845E-2</v>
      </c>
      <c r="P295">
        <v>1.8795477849420705E-2</v>
      </c>
      <c r="Q295">
        <v>0</v>
      </c>
      <c r="R295">
        <v>6.3631042521456373E-3</v>
      </c>
      <c r="S295">
        <v>0.16996198294792614</v>
      </c>
      <c r="T295">
        <v>1.1997358641191624</v>
      </c>
      <c r="U295">
        <v>0</v>
      </c>
      <c r="V295">
        <v>1.5791412394132336E-2</v>
      </c>
      <c r="W295">
        <v>6.3608256278491426E-2</v>
      </c>
      <c r="X295">
        <v>-1.5709950747694271E-2</v>
      </c>
      <c r="Y295">
        <v>2.6202130720000039E-2</v>
      </c>
    </row>
    <row r="296" spans="1:25" x14ac:dyDescent="0.25">
      <c r="A296" s="879"/>
      <c r="B296" s="1133">
        <v>46</v>
      </c>
      <c r="C296" s="883">
        <v>1.0156368854358833</v>
      </c>
      <c r="D296" s="883">
        <v>1.0000131552484335</v>
      </c>
      <c r="E296" s="883">
        <v>1.026435648848149</v>
      </c>
      <c r="F296" s="883">
        <v>1.0068973955931908</v>
      </c>
      <c r="G296" s="883">
        <v>1.0070319545868547</v>
      </c>
      <c r="H296" s="883">
        <v>0.95909715468299539</v>
      </c>
      <c r="I296" s="883">
        <v>1.0081723022606628</v>
      </c>
      <c r="K296">
        <v>1.608034855376135</v>
      </c>
      <c r="L296">
        <v>0</v>
      </c>
      <c r="M296">
        <v>5.9149519354752709E-3</v>
      </c>
      <c r="N296">
        <v>0.11467753936453288</v>
      </c>
      <c r="O296">
        <v>3.0349422042223372E-2</v>
      </c>
      <c r="P296">
        <v>1.8752945538891036E-2</v>
      </c>
      <c r="Q296">
        <v>0</v>
      </c>
      <c r="R296">
        <v>5.9149519354752709E-3</v>
      </c>
      <c r="S296">
        <v>0.1651351482002415</v>
      </c>
      <c r="T296">
        <v>1.1936413421924013</v>
      </c>
      <c r="U296">
        <v>0</v>
      </c>
      <c r="V296">
        <v>1.5769977646674854E-2</v>
      </c>
      <c r="W296">
        <v>5.9575248756213166E-2</v>
      </c>
      <c r="X296">
        <v>-1.4223487613132359E-2</v>
      </c>
      <c r="Y296">
        <v>2.43567192480902E-2</v>
      </c>
    </row>
    <row r="297" spans="1:25" x14ac:dyDescent="0.25">
      <c r="A297" s="879"/>
      <c r="B297" s="1133">
        <v>47</v>
      </c>
      <c r="C297" s="883">
        <v>1.0042010268910575</v>
      </c>
      <c r="D297" s="883">
        <v>1.0305922399528384</v>
      </c>
      <c r="E297" s="883">
        <v>0.98052900733165949</v>
      </c>
      <c r="F297" s="883">
        <v>1.0015431168567959</v>
      </c>
      <c r="G297" s="883">
        <v>1.0204654429478792</v>
      </c>
      <c r="H297" s="883">
        <v>0.99839835142085542</v>
      </c>
      <c r="I297" s="883">
        <v>1.0061207412445696</v>
      </c>
      <c r="K297">
        <v>1.6098600180169709</v>
      </c>
      <c r="L297">
        <v>0</v>
      </c>
      <c r="M297">
        <v>6.3959247415598264E-3</v>
      </c>
      <c r="N297">
        <v>0.11585153202478332</v>
      </c>
      <c r="O297">
        <v>3.0366338627999766E-2</v>
      </c>
      <c r="P297">
        <v>1.8087941751361688E-2</v>
      </c>
      <c r="Q297">
        <v>0</v>
      </c>
      <c r="R297">
        <v>6.3959247415598264E-3</v>
      </c>
      <c r="S297">
        <v>0.16861281146360682</v>
      </c>
      <c r="T297">
        <v>1.1881478251581195</v>
      </c>
      <c r="U297">
        <v>0</v>
      </c>
      <c r="V297">
        <v>1.5831105013702596E-2</v>
      </c>
      <c r="W297">
        <v>6.1571076492340997E-2</v>
      </c>
      <c r="X297">
        <v>-1.4945892168522663E-2</v>
      </c>
      <c r="Y297">
        <v>2.6337279653578322E-2</v>
      </c>
    </row>
    <row r="298" spans="1:25" x14ac:dyDescent="0.25">
      <c r="A298" s="879"/>
      <c r="B298" s="1133">
        <v>48</v>
      </c>
      <c r="C298" s="883">
        <v>1.0375796346183535</v>
      </c>
      <c r="D298" s="883">
        <v>1.0193378621037963</v>
      </c>
      <c r="E298" s="883">
        <v>1.0303417869312153</v>
      </c>
      <c r="F298" s="883">
        <v>1.0135726112592398</v>
      </c>
      <c r="G298" s="883">
        <v>1.0054226786510059</v>
      </c>
      <c r="H298" s="883">
        <v>1.0301679784701359</v>
      </c>
      <c r="I298" s="883">
        <v>0.99710477173072032</v>
      </c>
      <c r="K298">
        <v>1.6211602829883665</v>
      </c>
      <c r="L298">
        <v>0</v>
      </c>
      <c r="M298">
        <v>6.1449954551528957E-3</v>
      </c>
      <c r="N298">
        <v>0.11982754018252001</v>
      </c>
      <c r="O298">
        <v>2.9477530659526262E-2</v>
      </c>
      <c r="P298">
        <v>1.8892308593267092E-2</v>
      </c>
      <c r="Q298">
        <v>0</v>
      </c>
      <c r="R298">
        <v>6.1449954551528957E-3</v>
      </c>
      <c r="S298">
        <v>0.16363492531642101</v>
      </c>
      <c r="T298">
        <v>1.2014814892707233</v>
      </c>
      <c r="U298">
        <v>0</v>
      </c>
      <c r="V298">
        <v>1.5656461621413587E-2</v>
      </c>
      <c r="W298">
        <v>6.2131431205626156E-2</v>
      </c>
      <c r="X298">
        <v>-1.5245401377034649E-2</v>
      </c>
      <c r="Y298">
        <v>2.5303997515902565E-2</v>
      </c>
    </row>
    <row r="299" spans="1:25" x14ac:dyDescent="0.25">
      <c r="A299" s="879"/>
      <c r="B299" s="1133">
        <v>49</v>
      </c>
      <c r="C299" s="883">
        <v>1.0080114502399575</v>
      </c>
      <c r="D299" s="883">
        <v>0.98585855490261398</v>
      </c>
      <c r="E299" s="883">
        <v>1.0100932258969819</v>
      </c>
      <c r="F299" s="883">
        <v>0.9755354755176302</v>
      </c>
      <c r="G299" s="883">
        <v>1.0085367366413076</v>
      </c>
      <c r="H299" s="883">
        <v>0.97785893825988979</v>
      </c>
      <c r="I299" s="883">
        <v>1.0086657514204462</v>
      </c>
      <c r="K299">
        <v>1.5784197675251481</v>
      </c>
      <c r="L299">
        <v>0</v>
      </c>
      <c r="M299">
        <v>6.2031567564263231E-3</v>
      </c>
      <c r="N299">
        <v>0.11739224404620291</v>
      </c>
      <c r="O299">
        <v>3.0768619402142754E-2</v>
      </c>
      <c r="P299">
        <v>1.8063625604129233E-2</v>
      </c>
      <c r="Q299">
        <v>0</v>
      </c>
      <c r="R299">
        <v>6.2031567564263231E-3</v>
      </c>
      <c r="S299">
        <v>0.16767564361216239</v>
      </c>
      <c r="T299">
        <v>1.1567579066187708</v>
      </c>
      <c r="U299">
        <v>0</v>
      </c>
      <c r="V299">
        <v>1.5810583322696883E-2</v>
      </c>
      <c r="W299">
        <v>6.1478821242782436E-2</v>
      </c>
      <c r="X299">
        <v>-1.5071171725959955E-2</v>
      </c>
      <c r="Y299">
        <v>2.5543495402220839E-2</v>
      </c>
    </row>
    <row r="300" spans="1:25" x14ac:dyDescent="0.25">
      <c r="A300" s="879"/>
      <c r="B300" s="1133">
        <v>50</v>
      </c>
      <c r="C300" s="883">
        <v>0.95017969566213822</v>
      </c>
      <c r="D300" s="883">
        <v>0.97930240299698756</v>
      </c>
      <c r="E300" s="883">
        <v>1.0275170868348882</v>
      </c>
      <c r="F300" s="883">
        <v>1.0375381318089394</v>
      </c>
      <c r="G300" s="883">
        <v>1.0247185618492054</v>
      </c>
      <c r="H300" s="883">
        <v>1.0275527375577758</v>
      </c>
      <c r="I300" s="883">
        <v>1.0066312412494611</v>
      </c>
      <c r="K300">
        <v>1.691231340121129</v>
      </c>
      <c r="L300">
        <v>0</v>
      </c>
      <c r="M300">
        <v>6.8307818590041995E-3</v>
      </c>
      <c r="N300">
        <v>0.13264533195383124</v>
      </c>
      <c r="O300">
        <v>3.2711808118413642E-2</v>
      </c>
      <c r="P300">
        <v>1.9481355411796727E-2</v>
      </c>
      <c r="Q300">
        <v>0</v>
      </c>
      <c r="R300">
        <v>6.8307818590041995E-3</v>
      </c>
      <c r="S300">
        <v>0.18069357159942129</v>
      </c>
      <c r="T300">
        <v>1.2299441344001121</v>
      </c>
      <c r="U300">
        <v>0</v>
      </c>
      <c r="V300">
        <v>1.6139754043557712E-2</v>
      </c>
      <c r="W300">
        <v>6.8872964234651127E-2</v>
      </c>
      <c r="X300">
        <v>-1.7385523502188215E-2</v>
      </c>
      <c r="Y300">
        <v>2.8127943861532761E-2</v>
      </c>
    </row>
    <row r="301" spans="1:25" x14ac:dyDescent="0.25">
      <c r="A301" s="879"/>
      <c r="B301" s="1133">
        <v>51</v>
      </c>
      <c r="C301" s="883">
        <v>0.9693869476243272</v>
      </c>
      <c r="D301" s="883">
        <v>0.99219038566892426</v>
      </c>
      <c r="E301" s="883">
        <v>0.99992994891888987</v>
      </c>
      <c r="F301" s="883">
        <v>1.0295060458530334</v>
      </c>
      <c r="G301" s="883">
        <v>0.96645006125174393</v>
      </c>
      <c r="H301" s="883">
        <v>1.0120778713123393</v>
      </c>
      <c r="I301" s="883">
        <v>0.99093133651112442</v>
      </c>
      <c r="K301">
        <v>1.6634333986614485</v>
      </c>
      <c r="L301">
        <v>0</v>
      </c>
      <c r="M301">
        <v>6.7163869711201847E-3</v>
      </c>
      <c r="N301">
        <v>0.12520617280869734</v>
      </c>
      <c r="O301">
        <v>3.1921849355039202E-2</v>
      </c>
      <c r="P301">
        <v>1.8861541194212742E-2</v>
      </c>
      <c r="Q301">
        <v>0</v>
      </c>
      <c r="R301">
        <v>6.7163869711201847E-3</v>
      </c>
      <c r="S301">
        <v>0.17325093557539134</v>
      </c>
      <c r="T301">
        <v>1.2209486651157777</v>
      </c>
      <c r="U301">
        <v>0</v>
      </c>
      <c r="V301">
        <v>1.6026072919042851E-2</v>
      </c>
      <c r="W301">
        <v>6.5902130633837347E-2</v>
      </c>
      <c r="X301">
        <v>-1.6340855015309071E-2</v>
      </c>
      <c r="Y301">
        <v>2.7656886074757386E-2</v>
      </c>
    </row>
    <row r="302" spans="1:25" x14ac:dyDescent="0.25">
      <c r="A302" s="879"/>
      <c r="B302" s="1133">
        <v>52</v>
      </c>
      <c r="C302" s="883">
        <v>1.0363350101997557</v>
      </c>
      <c r="D302" s="883">
        <v>1.0050837628008082</v>
      </c>
      <c r="E302" s="883">
        <v>0.96264650980014366</v>
      </c>
      <c r="F302" s="883">
        <v>1.0302617751543108</v>
      </c>
      <c r="G302" s="883">
        <v>1.0214618510095426</v>
      </c>
      <c r="H302" s="883">
        <v>1.0244021725298695</v>
      </c>
      <c r="I302" s="883">
        <v>1.0026581706373252</v>
      </c>
      <c r="K302">
        <v>1.6396621138786875</v>
      </c>
      <c r="L302">
        <v>0</v>
      </c>
      <c r="M302">
        <v>6.531361708924004E-3</v>
      </c>
      <c r="N302">
        <v>0.11520526292767146</v>
      </c>
      <c r="O302">
        <v>2.9734450208552615E-2</v>
      </c>
      <c r="P302">
        <v>1.8229613217152208E-2</v>
      </c>
      <c r="Q302">
        <v>0</v>
      </c>
      <c r="R302">
        <v>6.531361708924004E-3</v>
      </c>
      <c r="S302">
        <v>0.16449624181806793</v>
      </c>
      <c r="T302">
        <v>1.2225619516452053</v>
      </c>
      <c r="U302">
        <v>0</v>
      </c>
      <c r="V302">
        <v>1.5662771815964701E-2</v>
      </c>
      <c r="W302">
        <v>6.1780204262615893E-2</v>
      </c>
      <c r="X302">
        <v>-1.4903366994845083E-2</v>
      </c>
      <c r="Y302">
        <v>2.6894984978302474E-2</v>
      </c>
    </row>
    <row r="303" spans="1:25" x14ac:dyDescent="0.25">
      <c r="A303" s="879"/>
      <c r="B303" s="1133">
        <v>53</v>
      </c>
      <c r="C303" s="883">
        <v>1.0054315435245011</v>
      </c>
      <c r="D303" s="883">
        <v>0.98658371000216416</v>
      </c>
      <c r="E303" s="883">
        <v>0.99452498543497947</v>
      </c>
      <c r="F303" s="883">
        <v>0.98729486935443311</v>
      </c>
      <c r="G303" s="883">
        <v>0.98413374065914638</v>
      </c>
      <c r="H303" s="883">
        <v>1.0447306412152115</v>
      </c>
      <c r="I303" s="883">
        <v>1.0026284721559551</v>
      </c>
      <c r="K303">
        <v>1.6080944857321602</v>
      </c>
      <c r="L303">
        <v>0</v>
      </c>
      <c r="M303">
        <v>6.7331629324728377E-3</v>
      </c>
      <c r="N303">
        <v>0.12451764270104541</v>
      </c>
      <c r="O303">
        <v>3.0851855586637191E-2</v>
      </c>
      <c r="P303">
        <v>1.8085751869928512E-2</v>
      </c>
      <c r="Q303">
        <v>0</v>
      </c>
      <c r="R303">
        <v>6.7331629324728377E-3</v>
      </c>
      <c r="S303">
        <v>0.17096538733704394</v>
      </c>
      <c r="T303">
        <v>1.1709873167036662</v>
      </c>
      <c r="U303">
        <v>0</v>
      </c>
      <c r="V303">
        <v>1.5824460849420165E-2</v>
      </c>
      <c r="W303">
        <v>6.5716087351295971E-2</v>
      </c>
      <c r="X303">
        <v>-1.6579983164474895E-2</v>
      </c>
      <c r="Y303">
        <v>2.7725966497597797E-2</v>
      </c>
    </row>
    <row r="304" spans="1:25" x14ac:dyDescent="0.25">
      <c r="A304" s="879"/>
      <c r="B304" s="1133">
        <v>54</v>
      </c>
      <c r="C304" s="883">
        <v>0.99668769019783043</v>
      </c>
      <c r="D304" s="883">
        <v>1.0002090770329126</v>
      </c>
      <c r="E304" s="883">
        <v>1.0169366722091306</v>
      </c>
      <c r="F304" s="883">
        <v>1.00250977200003</v>
      </c>
      <c r="G304" s="883">
        <v>1.0308210967595672</v>
      </c>
      <c r="H304" s="883">
        <v>1.0018055469158624</v>
      </c>
      <c r="I304" s="883">
        <v>1.0297573612987154</v>
      </c>
      <c r="K304">
        <v>1.623756374075602</v>
      </c>
      <c r="L304">
        <v>0</v>
      </c>
      <c r="M304">
        <v>6.3478359369010745E-3</v>
      </c>
      <c r="N304">
        <v>0.12135313683154825</v>
      </c>
      <c r="O304">
        <v>3.0932717622156807E-2</v>
      </c>
      <c r="P304">
        <v>1.8680313522487051E-2</v>
      </c>
      <c r="Q304">
        <v>0</v>
      </c>
      <c r="R304">
        <v>6.3478359369010745E-3</v>
      </c>
      <c r="S304">
        <v>0.17442353951916381</v>
      </c>
      <c r="T304">
        <v>1.1886160425997823</v>
      </c>
      <c r="U304">
        <v>0</v>
      </c>
      <c r="V304">
        <v>1.5872029113644916E-2</v>
      </c>
      <c r="W304">
        <v>6.3338712235305947E-2</v>
      </c>
      <c r="X304">
        <v>-1.5599375883969546E-2</v>
      </c>
      <c r="Y304">
        <v>2.6139258515481729E-2</v>
      </c>
    </row>
    <row r="305" spans="1:25" x14ac:dyDescent="0.25">
      <c r="A305" s="879"/>
      <c r="B305" s="1133">
        <v>55</v>
      </c>
      <c r="C305" s="883">
        <v>0.99470576632177565</v>
      </c>
      <c r="D305" s="883">
        <v>0.98411668643418315</v>
      </c>
      <c r="E305" s="883">
        <v>0.97019546788349365</v>
      </c>
      <c r="F305" s="883">
        <v>0.99032193670602486</v>
      </c>
      <c r="G305" s="883">
        <v>0.99642419267180682</v>
      </c>
      <c r="H305" s="883">
        <v>0.99512663804559875</v>
      </c>
      <c r="I305" s="883">
        <v>1.0035266047843046</v>
      </c>
      <c r="K305">
        <v>1.6031698247895692</v>
      </c>
      <c r="L305">
        <v>0</v>
      </c>
      <c r="M305">
        <v>6.6290122820363744E-3</v>
      </c>
      <c r="N305">
        <v>0.11824601468174398</v>
      </c>
      <c r="O305">
        <v>3.1235454084421709E-2</v>
      </c>
      <c r="P305">
        <v>1.7791678862990129E-2</v>
      </c>
      <c r="Q305">
        <v>0</v>
      </c>
      <c r="R305">
        <v>6.6290122820363744E-3</v>
      </c>
      <c r="S305">
        <v>0.17004460906805483</v>
      </c>
      <c r="T305">
        <v>1.1750272382320117</v>
      </c>
      <c r="U305">
        <v>0</v>
      </c>
      <c r="V305">
        <v>1.588292742674241E-2</v>
      </c>
      <c r="W305">
        <v>6.3170284041133201E-2</v>
      </c>
      <c r="X305">
        <v>-1.5525474264753834E-2</v>
      </c>
      <c r="Y305">
        <v>2.7297092657225155E-2</v>
      </c>
    </row>
    <row r="306" spans="1:25" x14ac:dyDescent="0.25">
      <c r="A306" s="879"/>
      <c r="B306" s="1133">
        <v>56</v>
      </c>
      <c r="C306" s="883">
        <v>1.0421684999302987</v>
      </c>
      <c r="D306" s="883">
        <v>0.98258190659325506</v>
      </c>
      <c r="E306" s="883">
        <v>1.0026081496264492</v>
      </c>
      <c r="F306" s="883">
        <v>1.0048856357499583</v>
      </c>
      <c r="G306" s="883">
        <v>1.0316894046650265</v>
      </c>
      <c r="H306" s="883">
        <v>0.9585236239063547</v>
      </c>
      <c r="I306" s="883">
        <v>1.0311312790421763</v>
      </c>
      <c r="K306">
        <v>1.6001470822327701</v>
      </c>
      <c r="L306">
        <v>0</v>
      </c>
      <c r="M306">
        <v>5.9286261869069797E-3</v>
      </c>
      <c r="N306">
        <v>0.11096016360985542</v>
      </c>
      <c r="O306">
        <v>2.9806126297723157E-2</v>
      </c>
      <c r="P306">
        <v>1.8387853641213002E-2</v>
      </c>
      <c r="Q306">
        <v>0</v>
      </c>
      <c r="R306">
        <v>5.9286261869069797E-3</v>
      </c>
      <c r="S306">
        <v>0.1646989988009841</v>
      </c>
      <c r="T306">
        <v>1.1916999437782454</v>
      </c>
      <c r="U306">
        <v>0</v>
      </c>
      <c r="V306">
        <v>1.5633326490003163E-2</v>
      </c>
      <c r="W306">
        <v>5.8326169328555069E-2</v>
      </c>
      <c r="X306">
        <v>-1.3778527095368618E-2</v>
      </c>
      <c r="Y306">
        <v>2.4413027381559954E-2</v>
      </c>
    </row>
    <row r="307" spans="1:25" x14ac:dyDescent="0.25">
      <c r="A307" s="879"/>
      <c r="B307" s="1133">
        <v>57</v>
      </c>
      <c r="C307" s="883">
        <v>1.0178391775658491</v>
      </c>
      <c r="D307" s="883">
        <v>1.0013937300165132</v>
      </c>
      <c r="E307" s="883">
        <v>1.0085535332357338</v>
      </c>
      <c r="F307" s="883">
        <v>0.98911156418162882</v>
      </c>
      <c r="G307" s="883">
        <v>1.0277480502401155</v>
      </c>
      <c r="H307" s="883">
        <v>1.0065855579499847</v>
      </c>
      <c r="I307" s="883">
        <v>0.98362874151102619</v>
      </c>
      <c r="K307">
        <v>1.5920383001555114</v>
      </c>
      <c r="L307">
        <v>0</v>
      </c>
      <c r="M307">
        <v>6.2882302076790412E-3</v>
      </c>
      <c r="N307">
        <v>0.11873127393407203</v>
      </c>
      <c r="O307">
        <v>3.0282884984975573E-2</v>
      </c>
      <c r="P307">
        <v>1.8201348622140359E-2</v>
      </c>
      <c r="Q307">
        <v>0</v>
      </c>
      <c r="R307">
        <v>6.2882302076790412E-3</v>
      </c>
      <c r="S307">
        <v>0.1633951183023496</v>
      </c>
      <c r="T307">
        <v>1.1728842279523064</v>
      </c>
      <c r="U307">
        <v>0</v>
      </c>
      <c r="V307">
        <v>1.5758363606083799E-2</v>
      </c>
      <c r="W307">
        <v>6.2227461054981968E-2</v>
      </c>
      <c r="X307">
        <v>-1.5336191033367896E-2</v>
      </c>
      <c r="Y307">
        <v>2.5893812731969692E-2</v>
      </c>
    </row>
    <row r="308" spans="1:25" x14ac:dyDescent="0.25">
      <c r="A308" s="879"/>
      <c r="B308" s="1133">
        <v>58</v>
      </c>
      <c r="C308" s="883">
        <v>0.96808540824373412</v>
      </c>
      <c r="D308" s="883">
        <v>0.96806295532143538</v>
      </c>
      <c r="E308" s="883">
        <v>0.99794329690958083</v>
      </c>
      <c r="F308" s="883">
        <v>0.99210297849173279</v>
      </c>
      <c r="G308" s="883">
        <v>1.0074284820740478</v>
      </c>
      <c r="H308" s="883">
        <v>0.96148381831537644</v>
      </c>
      <c r="I308" s="883">
        <v>0.99556901776116213</v>
      </c>
      <c r="K308">
        <v>1.6094063662010361</v>
      </c>
      <c r="L308">
        <v>0</v>
      </c>
      <c r="M308">
        <v>6.4710564769988269E-3</v>
      </c>
      <c r="N308">
        <v>0.12027819699249929</v>
      </c>
      <c r="O308">
        <v>3.2282847337133186E-2</v>
      </c>
      <c r="P308">
        <v>1.8218170548695518E-2</v>
      </c>
      <c r="Q308">
        <v>0</v>
      </c>
      <c r="R308">
        <v>6.4710564769988269E-3</v>
      </c>
      <c r="S308">
        <v>0.17150787969154965</v>
      </c>
      <c r="T308">
        <v>1.1766269205031736</v>
      </c>
      <c r="U308">
        <v>0</v>
      </c>
      <c r="V308">
        <v>1.6033633801945425E-2</v>
      </c>
      <c r="W308">
        <v>6.3370816411645228E-2</v>
      </c>
      <c r="X308">
        <v>-1.5558757852772231E-2</v>
      </c>
      <c r="Y308">
        <v>2.6646658767165741E-2</v>
      </c>
    </row>
    <row r="309" spans="1:25" x14ac:dyDescent="0.25">
      <c r="A309" s="879"/>
      <c r="B309" s="1133">
        <v>59</v>
      </c>
      <c r="C309" s="883">
        <v>1.0095233293276833</v>
      </c>
      <c r="D309" s="883">
        <v>0.96969165170373361</v>
      </c>
      <c r="E309" s="883">
        <v>0.99658886816946068</v>
      </c>
      <c r="F309" s="883">
        <v>1.0083191612057125</v>
      </c>
      <c r="G309" s="883">
        <v>0.99698151996714013</v>
      </c>
      <c r="H309" s="883">
        <v>0.98359607150283768</v>
      </c>
      <c r="I309" s="883">
        <v>1.0041836925059291</v>
      </c>
      <c r="K309">
        <v>1.619152883627383</v>
      </c>
      <c r="L309">
        <v>0</v>
      </c>
      <c r="M309">
        <v>6.3508927730192991E-3</v>
      </c>
      <c r="N309">
        <v>0.11780802747463483</v>
      </c>
      <c r="O309">
        <v>3.0938068906157353E-2</v>
      </c>
      <c r="P309">
        <v>1.8395179446642047E-2</v>
      </c>
      <c r="Q309">
        <v>0</v>
      </c>
      <c r="R309">
        <v>6.3508927730192991E-3</v>
      </c>
      <c r="S309">
        <v>0.1671662513036683</v>
      </c>
      <c r="T309">
        <v>1.195884593486773</v>
      </c>
      <c r="U309">
        <v>0</v>
      </c>
      <c r="V309">
        <v>1.5802483765513381E-2</v>
      </c>
      <c r="W309">
        <v>6.2111173440425611E-2</v>
      </c>
      <c r="X309">
        <v>-1.5104740218951617E-2</v>
      </c>
      <c r="Y309">
        <v>2.6151846022520027E-2</v>
      </c>
    </row>
    <row r="310" spans="1:25" x14ac:dyDescent="0.25">
      <c r="A310" s="879"/>
      <c r="B310" s="1133">
        <v>60</v>
      </c>
      <c r="C310" s="883">
        <v>0.99226263076896482</v>
      </c>
      <c r="D310" s="883">
        <v>0.99541387610048604</v>
      </c>
      <c r="E310" s="883">
        <v>1.0013721313613946</v>
      </c>
      <c r="F310" s="883">
        <v>0.97003060096012605</v>
      </c>
      <c r="G310" s="883">
        <v>0.98129492235375604</v>
      </c>
      <c r="H310" s="883">
        <v>1.0109034270469484</v>
      </c>
      <c r="I310" s="883">
        <v>0.98295388876667233</v>
      </c>
      <c r="K310">
        <v>1.580221650803401</v>
      </c>
      <c r="L310">
        <v>0</v>
      </c>
      <c r="M310">
        <v>6.536213841680601E-3</v>
      </c>
      <c r="N310">
        <v>0.12210800528092459</v>
      </c>
      <c r="O310">
        <v>3.1144243203087639E-2</v>
      </c>
      <c r="P310">
        <v>1.7862694988896033E-2</v>
      </c>
      <c r="Q310">
        <v>0</v>
      </c>
      <c r="R310">
        <v>6.536213841680601E-3</v>
      </c>
      <c r="S310">
        <v>0.16779411861596952</v>
      </c>
      <c r="T310">
        <v>1.1503874203160327</v>
      </c>
      <c r="U310">
        <v>0</v>
      </c>
      <c r="V310">
        <v>1.589642178802356E-2</v>
      </c>
      <c r="W310">
        <v>6.4225408761902789E-2</v>
      </c>
      <c r="X310">
        <v>-1.6111627348781687E-2</v>
      </c>
      <c r="Y310">
        <v>2.6914965197346714E-2</v>
      </c>
    </row>
    <row r="311" spans="1:25" x14ac:dyDescent="0.25">
      <c r="A311" s="879"/>
      <c r="B311" s="1133">
        <v>61</v>
      </c>
      <c r="C311" s="883">
        <v>0.9908086689669946</v>
      </c>
      <c r="D311" s="883">
        <v>1.0053707914565577</v>
      </c>
      <c r="E311" s="883">
        <v>0.99665448422894753</v>
      </c>
      <c r="F311" s="883">
        <v>1.0029287940311278</v>
      </c>
      <c r="G311" s="883">
        <v>0.99639048632930349</v>
      </c>
      <c r="H311" s="883">
        <v>1.0127743575645465</v>
      </c>
      <c r="I311" s="883">
        <v>0.98429607952032305</v>
      </c>
      <c r="K311">
        <v>1.6199118645504811</v>
      </c>
      <c r="L311">
        <v>0</v>
      </c>
      <c r="M311">
        <v>6.555830749329741E-3</v>
      </c>
      <c r="N311">
        <v>0.12162141866426189</v>
      </c>
      <c r="O311">
        <v>3.1070048493439386E-2</v>
      </c>
      <c r="P311">
        <v>1.8326908760443298E-2</v>
      </c>
      <c r="Q311">
        <v>0</v>
      </c>
      <c r="R311">
        <v>6.555830749329741E-3</v>
      </c>
      <c r="S311">
        <v>0.16826904643216176</v>
      </c>
      <c r="T311">
        <v>1.1894902973900741</v>
      </c>
      <c r="U311">
        <v>0</v>
      </c>
      <c r="V311">
        <v>1.5904484155784829E-2</v>
      </c>
      <c r="W311">
        <v>6.4119590911513674E-2</v>
      </c>
      <c r="X311">
        <v>-1.5885674388564482E-2</v>
      </c>
      <c r="Y311">
        <v>2.6995744131366475E-2</v>
      </c>
    </row>
    <row r="312" spans="1:25" x14ac:dyDescent="0.25">
      <c r="A312" s="879"/>
      <c r="B312" s="1133">
        <v>62</v>
      </c>
      <c r="C312" s="883">
        <v>0.97044035653488325</v>
      </c>
      <c r="D312" s="883">
        <v>0.98260448944854806</v>
      </c>
      <c r="E312" s="883">
        <v>0.99604904586399878</v>
      </c>
      <c r="F312" s="883">
        <v>1.0139104888694628</v>
      </c>
      <c r="G312" s="883">
        <v>1.0109589271377817</v>
      </c>
      <c r="H312" s="883">
        <v>0.97962099441141215</v>
      </c>
      <c r="I312" s="883">
        <v>1.001883443338031</v>
      </c>
      <c r="K312">
        <v>1.6387790955680643</v>
      </c>
      <c r="L312">
        <v>0</v>
      </c>
      <c r="M312">
        <v>6.5442850782803227E-3</v>
      </c>
      <c r="N312">
        <v>0.12129835123843578</v>
      </c>
      <c r="O312">
        <v>3.2014672276478633E-2</v>
      </c>
      <c r="P312">
        <v>1.8558620327455144E-2</v>
      </c>
      <c r="Q312">
        <v>0</v>
      </c>
      <c r="R312">
        <v>6.5442850782803227E-3</v>
      </c>
      <c r="S312">
        <v>0.1731207380784531</v>
      </c>
      <c r="T312">
        <v>1.202526189406834</v>
      </c>
      <c r="U312">
        <v>0</v>
      </c>
      <c r="V312">
        <v>1.6019968321857859E-2</v>
      </c>
      <c r="W312">
        <v>6.3968527619025342E-2</v>
      </c>
      <c r="X312">
        <v>-1.5676172813512565E-2</v>
      </c>
      <c r="Y312">
        <v>2.6948201113037799E-2</v>
      </c>
    </row>
    <row r="313" spans="1:25" x14ac:dyDescent="0.25">
      <c r="A313" s="879"/>
      <c r="B313" s="1133">
        <v>63</v>
      </c>
      <c r="C313" s="883">
        <v>0.99480427266054072</v>
      </c>
      <c r="D313" s="883">
        <v>0.9756217526603187</v>
      </c>
      <c r="E313" s="883">
        <v>0.97687491372372992</v>
      </c>
      <c r="F313" s="883">
        <v>0.98490779641494386</v>
      </c>
      <c r="G313" s="883">
        <v>1.0011742901388263</v>
      </c>
      <c r="H313" s="883">
        <v>0.99927770926244175</v>
      </c>
      <c r="I313" s="883">
        <v>1.0262551768872503</v>
      </c>
      <c r="K313">
        <v>1.6027846426089782</v>
      </c>
      <c r="L313">
        <v>0</v>
      </c>
      <c r="M313">
        <v>6.6430620189068153E-3</v>
      </c>
      <c r="N313">
        <v>0.11967735641369534</v>
      </c>
      <c r="O313">
        <v>3.1335612052300947E-2</v>
      </c>
      <c r="P313">
        <v>1.7853203301964965E-2</v>
      </c>
      <c r="Q313">
        <v>0</v>
      </c>
      <c r="R313">
        <v>6.6430620189068153E-3</v>
      </c>
      <c r="S313">
        <v>0.1742301954674628</v>
      </c>
      <c r="T313">
        <v>1.1684802802087606</v>
      </c>
      <c r="U313">
        <v>0</v>
      </c>
      <c r="V313">
        <v>1.5882384729092074E-2</v>
      </c>
      <c r="W313">
        <v>6.3720911208011211E-2</v>
      </c>
      <c r="X313">
        <v>-1.5750247745208161E-2</v>
      </c>
      <c r="Y313">
        <v>2.7354946972897684E-2</v>
      </c>
    </row>
    <row r="314" spans="1:25" x14ac:dyDescent="0.25">
      <c r="A314" s="879"/>
      <c r="B314" s="1133">
        <v>64</v>
      </c>
      <c r="C314" s="883">
        <v>0.96647925307768723</v>
      </c>
      <c r="D314" s="883">
        <v>0.96680998822761222</v>
      </c>
      <c r="E314" s="883">
        <v>0.99283519647814145</v>
      </c>
      <c r="F314" s="883">
        <v>0.98733337119203346</v>
      </c>
      <c r="G314" s="883">
        <v>0.97823217259319228</v>
      </c>
      <c r="H314" s="883">
        <v>1.0030909372414654</v>
      </c>
      <c r="I314" s="883">
        <v>0.997829912464264</v>
      </c>
      <c r="K314">
        <v>1.6152402060508331</v>
      </c>
      <c r="L314">
        <v>0</v>
      </c>
      <c r="M314">
        <v>6.7964633672369709E-3</v>
      </c>
      <c r="N314">
        <v>0.12537386911730844</v>
      </c>
      <c r="O314">
        <v>3.2357741457160354E-2</v>
      </c>
      <c r="P314">
        <v>1.8116422261254553E-2</v>
      </c>
      <c r="Q314">
        <v>0</v>
      </c>
      <c r="R314">
        <v>6.7964633672369709E-3</v>
      </c>
      <c r="S314">
        <v>0.1747187261766403</v>
      </c>
      <c r="T314">
        <v>1.1710640355741375</v>
      </c>
      <c r="U314">
        <v>0</v>
      </c>
      <c r="V314">
        <v>1.6042992325334418E-2</v>
      </c>
      <c r="W314">
        <v>6.6223669509558478E-2</v>
      </c>
      <c r="X314">
        <v>-1.6643876791460555E-2</v>
      </c>
      <c r="Y314">
        <v>2.7986626420899132E-2</v>
      </c>
    </row>
    <row r="315" spans="1:25" x14ac:dyDescent="0.25">
      <c r="A315" s="879"/>
      <c r="B315" s="1133">
        <v>65</v>
      </c>
      <c r="C315" s="883">
        <v>0.99179950525918525</v>
      </c>
      <c r="D315" s="883">
        <v>1.0190506311053824</v>
      </c>
      <c r="E315" s="883">
        <v>0.99799306829040557</v>
      </c>
      <c r="F315" s="883">
        <v>1.0092993106660182</v>
      </c>
      <c r="G315" s="883">
        <v>0.97121011657354983</v>
      </c>
      <c r="H315" s="883">
        <v>0.96053475906202868</v>
      </c>
      <c r="I315" s="883">
        <v>1.0300745371174893</v>
      </c>
      <c r="K315">
        <v>1.6209510506683222</v>
      </c>
      <c r="L315">
        <v>0</v>
      </c>
      <c r="M315">
        <v>6.1669456519675078E-3</v>
      </c>
      <c r="N315">
        <v>0.11463411113893184</v>
      </c>
      <c r="O315">
        <v>3.0870534134670148E-2</v>
      </c>
      <c r="P315">
        <v>1.8504728852134361E-2</v>
      </c>
      <c r="Q315">
        <v>0</v>
      </c>
      <c r="R315">
        <v>6.1669456519675078E-3</v>
      </c>
      <c r="S315">
        <v>0.17265733870976813</v>
      </c>
      <c r="T315">
        <v>1.1970207113922922</v>
      </c>
      <c r="U315">
        <v>0</v>
      </c>
      <c r="V315">
        <v>1.5898987301032581E-2</v>
      </c>
      <c r="W315">
        <v>6.0395630149836912E-2</v>
      </c>
      <c r="X315">
        <v>-1.4425375529739893E-2</v>
      </c>
      <c r="Y315">
        <v>2.5394384519395751E-2</v>
      </c>
    </row>
    <row r="316" spans="1:25" x14ac:dyDescent="0.25">
      <c r="A316" s="879"/>
      <c r="B316" s="1133">
        <v>66</v>
      </c>
      <c r="C316" s="883">
        <v>1.0287553983302555</v>
      </c>
      <c r="D316" s="883">
        <v>1.0274145660288179</v>
      </c>
      <c r="E316" s="883">
        <v>1.0213467170642272</v>
      </c>
      <c r="F316" s="883">
        <v>1.012229930856444</v>
      </c>
      <c r="G316" s="883">
        <v>0.9918302962522999</v>
      </c>
      <c r="H316" s="883">
        <v>1.0306968455927101</v>
      </c>
      <c r="I316" s="883">
        <v>1.0149435608931583</v>
      </c>
      <c r="K316">
        <v>1.6247219465088023</v>
      </c>
      <c r="L316">
        <v>0</v>
      </c>
      <c r="M316">
        <v>6.2280068195654696E-3</v>
      </c>
      <c r="N316">
        <v>0.11984165407078085</v>
      </c>
      <c r="O316">
        <v>2.9644678015411683E-2</v>
      </c>
      <c r="P316">
        <v>1.8806555430327086E-2</v>
      </c>
      <c r="Q316">
        <v>0</v>
      </c>
      <c r="R316">
        <v>6.2280068195654696E-3</v>
      </c>
      <c r="S316">
        <v>0.16792959375230307</v>
      </c>
      <c r="T316">
        <v>1.2000580675448946</v>
      </c>
      <c r="U316">
        <v>0</v>
      </c>
      <c r="V316">
        <v>1.5701529758189642E-2</v>
      </c>
      <c r="W316">
        <v>6.2414032539320818E-2</v>
      </c>
      <c r="X316">
        <v>-1.5319988141506922E-2</v>
      </c>
      <c r="Y316">
        <v>2.5645823539081493E-2</v>
      </c>
    </row>
    <row r="317" spans="1:25" x14ac:dyDescent="0.25">
      <c r="A317" s="879"/>
      <c r="B317" s="1133">
        <v>67</v>
      </c>
      <c r="C317" s="883">
        <v>1.0061826176498478</v>
      </c>
      <c r="D317" s="883">
        <v>0.99416555210764956</v>
      </c>
      <c r="E317" s="883">
        <v>0.99815520789447587</v>
      </c>
      <c r="F317" s="883">
        <v>1.0423025540160324</v>
      </c>
      <c r="G317" s="883">
        <v>0.98074835005449479</v>
      </c>
      <c r="H317" s="883">
        <v>0.99300460286096903</v>
      </c>
      <c r="I317" s="883">
        <v>0.9782960764702533</v>
      </c>
      <c r="K317">
        <v>1.6568206842800692</v>
      </c>
      <c r="L317">
        <v>0</v>
      </c>
      <c r="M317">
        <v>6.3530349714651744E-3</v>
      </c>
      <c r="N317">
        <v>0.11812160193758345</v>
      </c>
      <c r="O317">
        <v>3.0731525585909872E-2</v>
      </c>
      <c r="P317">
        <v>1.8908567444349048E-2</v>
      </c>
      <c r="Q317">
        <v>0</v>
      </c>
      <c r="R317">
        <v>6.3530349714651744E-3</v>
      </c>
      <c r="S317">
        <v>0.16368657152525695</v>
      </c>
      <c r="T317">
        <v>1.2361591452432192</v>
      </c>
      <c r="U317">
        <v>0</v>
      </c>
      <c r="V317">
        <v>1.5820413417755318E-2</v>
      </c>
      <c r="W317">
        <v>6.2228019416247823E-2</v>
      </c>
      <c r="X317">
        <v>-1.499582750467519E-2</v>
      </c>
      <c r="Y317">
        <v>2.616066721442303E-2</v>
      </c>
    </row>
    <row r="318" spans="1:25" x14ac:dyDescent="0.25">
      <c r="A318" s="879"/>
      <c r="B318" s="1133">
        <v>68</v>
      </c>
      <c r="C318" s="883">
        <v>0.96862420416383999</v>
      </c>
      <c r="D318" s="883">
        <v>0.97526247839151481</v>
      </c>
      <c r="E318" s="883">
        <v>1.0108431741332962</v>
      </c>
      <c r="F318" s="883">
        <v>1.000880130773655</v>
      </c>
      <c r="G318" s="883">
        <v>1.0045927211987389</v>
      </c>
      <c r="H318" s="883">
        <v>0.99103289109389625</v>
      </c>
      <c r="I318" s="883">
        <v>0.96393673643116806</v>
      </c>
      <c r="K318">
        <v>1.6215373724331705</v>
      </c>
      <c r="L318">
        <v>0</v>
      </c>
      <c r="M318">
        <v>6.5697007663826383E-3</v>
      </c>
      <c r="N318">
        <v>0.12446704520401572</v>
      </c>
      <c r="O318">
        <v>3.2157782100603105E-2</v>
      </c>
      <c r="P318">
        <v>1.8481172121643245E-2</v>
      </c>
      <c r="Q318">
        <v>0</v>
      </c>
      <c r="R318">
        <v>6.5697007663826383E-3</v>
      </c>
      <c r="S318">
        <v>0.16763251015413702</v>
      </c>
      <c r="T318">
        <v>1.1867968502020358</v>
      </c>
      <c r="U318">
        <v>0</v>
      </c>
      <c r="V318">
        <v>1.6030501372135818E-2</v>
      </c>
      <c r="W318">
        <v>6.5159755278751549E-2</v>
      </c>
      <c r="X318">
        <v>-1.6241102392971867E-2</v>
      </c>
      <c r="Y318">
        <v>2.7052858392819294E-2</v>
      </c>
    </row>
    <row r="319" spans="1:25" x14ac:dyDescent="0.25">
      <c r="A319" s="879"/>
      <c r="B319" s="1133">
        <v>69</v>
      </c>
      <c r="C319" s="883">
        <v>1.0043925292910121</v>
      </c>
      <c r="D319" s="883">
        <v>0.99332997294799918</v>
      </c>
      <c r="E319" s="883">
        <v>1.0220704127688465</v>
      </c>
      <c r="F319" s="883">
        <v>0.9566438198063939</v>
      </c>
      <c r="G319" s="883">
        <v>0.98258741649749393</v>
      </c>
      <c r="H319" s="883">
        <v>1.0283865562467662</v>
      </c>
      <c r="I319" s="883">
        <v>1.01071878907524</v>
      </c>
      <c r="K319">
        <v>1.5695367382699421</v>
      </c>
      <c r="L319">
        <v>0</v>
      </c>
      <c r="M319">
        <v>6.4571316016190858E-3</v>
      </c>
      <c r="N319">
        <v>0.12438363102129733</v>
      </c>
      <c r="O319">
        <v>3.0775630226940832E-2</v>
      </c>
      <c r="P319">
        <v>1.7971179141752659E-2</v>
      </c>
      <c r="Q319">
        <v>0</v>
      </c>
      <c r="R319">
        <v>6.4571316016190858E-3</v>
      </c>
      <c r="S319">
        <v>0.17151799954681404</v>
      </c>
      <c r="T319">
        <v>1.1341446656706606</v>
      </c>
      <c r="U319">
        <v>0</v>
      </c>
      <c r="V319">
        <v>1.5830069928435445E-2</v>
      </c>
      <c r="W319">
        <v>6.4756440172044613E-2</v>
      </c>
      <c r="X319">
        <v>-1.6432196046891657E-2</v>
      </c>
      <c r="Y319">
        <v>2.6589318608887389E-2</v>
      </c>
    </row>
    <row r="320" spans="1:25" x14ac:dyDescent="0.25">
      <c r="A320" s="879"/>
      <c r="B320" s="1133">
        <v>70</v>
      </c>
      <c r="C320" s="883">
        <v>0.97683023868469787</v>
      </c>
      <c r="D320" s="883">
        <v>0.96369525600056305</v>
      </c>
      <c r="E320" s="883">
        <v>1.0201202963382141</v>
      </c>
      <c r="F320" s="883">
        <v>0.9907454706720541</v>
      </c>
      <c r="G320" s="883">
        <v>1.0081493887928574</v>
      </c>
      <c r="H320" s="883">
        <v>0.99995318078161155</v>
      </c>
      <c r="I320" s="883">
        <v>1.0086550908556946</v>
      </c>
      <c r="K320">
        <v>1.6178253266396672</v>
      </c>
      <c r="L320">
        <v>0</v>
      </c>
      <c r="M320">
        <v>6.5548584877259718E-3</v>
      </c>
      <c r="N320">
        <v>0.1259024458965583</v>
      </c>
      <c r="O320">
        <v>3.2031548635448097E-2</v>
      </c>
      <c r="P320">
        <v>1.8538721881555604E-2</v>
      </c>
      <c r="Q320">
        <v>0</v>
      </c>
      <c r="R320">
        <v>6.5548584877259718E-3</v>
      </c>
      <c r="S320">
        <v>0.17461846714623888</v>
      </c>
      <c r="T320">
        <v>1.1746094487935959</v>
      </c>
      <c r="U320">
        <v>0</v>
      </c>
      <c r="V320">
        <v>1.5983220555575602E-2</v>
      </c>
      <c r="W320">
        <v>6.5610131153298223E-2</v>
      </c>
      <c r="X320">
        <v>-1.6460397953741462E-2</v>
      </c>
      <c r="Y320">
        <v>2.6991740531138265E-2</v>
      </c>
    </row>
    <row r="321" spans="1:25" x14ac:dyDescent="0.25">
      <c r="A321" s="879"/>
      <c r="B321" s="1133">
        <v>71</v>
      </c>
      <c r="C321" s="883">
        <v>1.0185604093621117</v>
      </c>
      <c r="D321" s="883">
        <v>0.98581908397748053</v>
      </c>
      <c r="E321" s="883">
        <v>1.0288120623650507</v>
      </c>
      <c r="F321" s="883">
        <v>1.0020233246875336</v>
      </c>
      <c r="G321" s="883">
        <v>0.97047210268151707</v>
      </c>
      <c r="H321" s="883">
        <v>0.99586563113047055</v>
      </c>
      <c r="I321" s="883">
        <v>1.0063486338132988</v>
      </c>
      <c r="K321">
        <v>1.6112232664882584</v>
      </c>
      <c r="L321">
        <v>0</v>
      </c>
      <c r="M321">
        <v>6.1504534418262312E-3</v>
      </c>
      <c r="N321">
        <v>0.11966307023486303</v>
      </c>
      <c r="O321">
        <v>3.0433669769663114E-2</v>
      </c>
      <c r="P321">
        <v>1.8726458142300381E-2</v>
      </c>
      <c r="Q321">
        <v>0</v>
      </c>
      <c r="R321">
        <v>6.1504534418262312E-3</v>
      </c>
      <c r="S321">
        <v>0.16661630766504709</v>
      </c>
      <c r="T321">
        <v>1.1878193378588231</v>
      </c>
      <c r="U321">
        <v>0</v>
      </c>
      <c r="V321">
        <v>1.575457102433226E-2</v>
      </c>
      <c r="W321">
        <v>6.209274116371763E-2</v>
      </c>
      <c r="X321">
        <v>-1.5209361904026511E-2</v>
      </c>
      <c r="Y321">
        <v>2.5326472533537946E-2</v>
      </c>
    </row>
    <row r="322" spans="1:25" x14ac:dyDescent="0.25">
      <c r="A322" s="879"/>
      <c r="B322" s="1133">
        <v>72</v>
      </c>
      <c r="C322" s="883">
        <v>1.0185834594115164</v>
      </c>
      <c r="D322" s="883">
        <v>0.99019427160330264</v>
      </c>
      <c r="E322" s="883">
        <v>1.0409797723900538</v>
      </c>
      <c r="F322" s="883">
        <v>0.98892459213933825</v>
      </c>
      <c r="G322" s="883">
        <v>1.0404530317832852</v>
      </c>
      <c r="H322" s="883">
        <v>0.98221503178917446</v>
      </c>
      <c r="I322" s="883">
        <v>1.0224243505421766</v>
      </c>
      <c r="K322">
        <v>1.5949112487535226</v>
      </c>
      <c r="L322">
        <v>0</v>
      </c>
      <c r="M322">
        <v>5.9897835427086647E-3</v>
      </c>
      <c r="N322">
        <v>0.11865133968488957</v>
      </c>
      <c r="O322">
        <v>3.036770583749555E-2</v>
      </c>
      <c r="P322">
        <v>1.870282950189836E-2</v>
      </c>
      <c r="Q322">
        <v>0</v>
      </c>
      <c r="R322">
        <v>5.9897835427086647E-3</v>
      </c>
      <c r="S322">
        <v>0.16844340998301233</v>
      </c>
      <c r="T322">
        <v>1.1720700486861098</v>
      </c>
      <c r="U322">
        <v>0</v>
      </c>
      <c r="V322">
        <v>1.5754449904714755E-2</v>
      </c>
      <c r="W322">
        <v>6.1202064334855227E-2</v>
      </c>
      <c r="X322">
        <v>-1.4945461666600697E-2</v>
      </c>
      <c r="Y322">
        <v>2.4664862487147759E-2</v>
      </c>
    </row>
    <row r="323" spans="1:25" x14ac:dyDescent="0.25">
      <c r="A323" s="879"/>
      <c r="B323" s="1133">
        <v>73</v>
      </c>
      <c r="C323" s="883">
        <v>1.0348706351756682</v>
      </c>
      <c r="D323" s="883">
        <v>1.0005823524016053</v>
      </c>
      <c r="E323" s="883">
        <v>0.99072456397850339</v>
      </c>
      <c r="F323" s="883">
        <v>0.97660610066291231</v>
      </c>
      <c r="G323" s="883">
        <v>1.0291519313539612</v>
      </c>
      <c r="H323" s="883">
        <v>0.96726481501207218</v>
      </c>
      <c r="I323" s="883">
        <v>0.99202832457483248</v>
      </c>
      <c r="K323">
        <v>1.5619949884762423</v>
      </c>
      <c r="L323">
        <v>0</v>
      </c>
      <c r="M323">
        <v>6.0386103111904222E-3</v>
      </c>
      <c r="N323">
        <v>0.11104582776804776</v>
      </c>
      <c r="O323">
        <v>2.9808803933323129E-2</v>
      </c>
      <c r="P323">
        <v>1.7716499534750903E-2</v>
      </c>
      <c r="Q323">
        <v>0</v>
      </c>
      <c r="R323">
        <v>6.0386103111904222E-3</v>
      </c>
      <c r="S323">
        <v>0.15988333930378823</v>
      </c>
      <c r="T323">
        <v>1.1583789343370803</v>
      </c>
      <c r="U323">
        <v>0</v>
      </c>
      <c r="V323">
        <v>1.5670215571815357E-2</v>
      </c>
      <c r="W323">
        <v>5.8717184509767081E-2</v>
      </c>
      <c r="X323">
        <v>-1.4091738911244676E-2</v>
      </c>
      <c r="Y323">
        <v>2.4865922428914829E-2</v>
      </c>
    </row>
    <row r="324" spans="1:25" x14ac:dyDescent="0.25">
      <c r="A324" s="879"/>
      <c r="B324" s="1133">
        <v>74</v>
      </c>
      <c r="C324" s="883">
        <v>1.0083154357082844</v>
      </c>
      <c r="D324" s="883">
        <v>0.97414020236488796</v>
      </c>
      <c r="E324" s="883">
        <v>1.0344695521197218</v>
      </c>
      <c r="F324" s="883">
        <v>1.0081466458712542</v>
      </c>
      <c r="G324" s="883">
        <v>1.0044966567468185</v>
      </c>
      <c r="H324" s="883">
        <v>1.0195344467075884</v>
      </c>
      <c r="I324" s="883">
        <v>0.96895178138585203</v>
      </c>
      <c r="K324">
        <v>1.6235489802942664</v>
      </c>
      <c r="L324">
        <v>0</v>
      </c>
      <c r="M324">
        <v>6.3629169783123406E-3</v>
      </c>
      <c r="N324">
        <v>0.12483626777910574</v>
      </c>
      <c r="O324">
        <v>3.0884448979188153E-2</v>
      </c>
      <c r="P324">
        <v>1.886098648142406E-2</v>
      </c>
      <c r="Q324">
        <v>0</v>
      </c>
      <c r="R324">
        <v>6.3629169783123406E-3</v>
      </c>
      <c r="S324">
        <v>0.16351457427858299</v>
      </c>
      <c r="T324">
        <v>1.194972845392529</v>
      </c>
      <c r="U324">
        <v>0</v>
      </c>
      <c r="V324">
        <v>1.5808952837038405E-2</v>
      </c>
      <c r="W324">
        <v>6.4597676256241687E-2</v>
      </c>
      <c r="X324">
        <v>-1.6128131269531762E-2</v>
      </c>
      <c r="Y324">
        <v>2.6201359559688015E-2</v>
      </c>
    </row>
    <row r="325" spans="1:25" x14ac:dyDescent="0.25">
      <c r="A325" s="879"/>
      <c r="B325" s="1133">
        <v>75</v>
      </c>
      <c r="C325" s="883">
        <v>1.0159858869760012</v>
      </c>
      <c r="D325" s="883">
        <v>1.0218453721000136</v>
      </c>
      <c r="E325" s="883">
        <v>1.0151416114439087</v>
      </c>
      <c r="F325" s="883">
        <v>1.0250082600835544</v>
      </c>
      <c r="G325" s="883">
        <v>0.97436813718980153</v>
      </c>
      <c r="H325" s="883">
        <v>0.99816731053809438</v>
      </c>
      <c r="I325" s="883">
        <v>1.0350783745520638</v>
      </c>
      <c r="K325">
        <v>1.6409695128739539</v>
      </c>
      <c r="L325">
        <v>0</v>
      </c>
      <c r="M325">
        <v>6.1553979864698979E-3</v>
      </c>
      <c r="N325">
        <v>0.11736210248791211</v>
      </c>
      <c r="O325">
        <v>3.0088076923687354E-2</v>
      </c>
      <c r="P325">
        <v>1.8976337582247149E-2</v>
      </c>
      <c r="Q325">
        <v>0</v>
      </c>
      <c r="R325">
        <v>6.1553979864698979E-3</v>
      </c>
      <c r="S325">
        <v>0.17156161324554828</v>
      </c>
      <c r="T325">
        <v>1.2153252240364141</v>
      </c>
      <c r="U325">
        <v>0</v>
      </c>
      <c r="V325">
        <v>1.5768133789641512E-2</v>
      </c>
      <c r="W325">
        <v>6.1309919166225905E-2</v>
      </c>
      <c r="X325">
        <v>-1.4768727646007975E-2</v>
      </c>
      <c r="Y325">
        <v>2.534683328828443E-2</v>
      </c>
    </row>
    <row r="326" spans="1:25" x14ac:dyDescent="0.25">
      <c r="A326" s="879"/>
      <c r="B326" s="1133">
        <v>76</v>
      </c>
      <c r="C326" s="883">
        <v>0.95467487108167659</v>
      </c>
      <c r="D326" s="883">
        <v>0.99608178839741202</v>
      </c>
      <c r="E326" s="883">
        <v>1.0339412829081021</v>
      </c>
      <c r="F326" s="883">
        <v>1.00586855307557</v>
      </c>
      <c r="G326" s="883">
        <v>1.0055095122583453</v>
      </c>
      <c r="H326" s="883">
        <v>0.99934700935979492</v>
      </c>
      <c r="I326" s="883">
        <v>1.0344028456492327</v>
      </c>
      <c r="K326">
        <v>1.647081896596944</v>
      </c>
      <c r="L326">
        <v>0</v>
      </c>
      <c r="M326">
        <v>6.5252062029008866E-3</v>
      </c>
      <c r="N326">
        <v>0.12792037702877068</v>
      </c>
      <c r="O326">
        <v>3.2330947513936475E-2</v>
      </c>
      <c r="P326">
        <v>1.9086376759812684E-2</v>
      </c>
      <c r="Q326">
        <v>0</v>
      </c>
      <c r="R326">
        <v>6.5252062029008866E-3</v>
      </c>
      <c r="S326">
        <v>0.18283201689949036</v>
      </c>
      <c r="T326">
        <v>1.1922823797107138</v>
      </c>
      <c r="U326">
        <v>0</v>
      </c>
      <c r="V326">
        <v>1.6112738640693965E-2</v>
      </c>
      <c r="W326">
        <v>6.6210704614059854E-2</v>
      </c>
      <c r="X326">
        <v>-1.6563282270673631E-2</v>
      </c>
      <c r="Y326">
        <v>2.6869637700138511E-2</v>
      </c>
    </row>
    <row r="327" spans="1:25" x14ac:dyDescent="0.25">
      <c r="A327" s="879"/>
      <c r="B327" s="1133">
        <v>77</v>
      </c>
      <c r="C327" s="883">
        <v>0.99161653532753058</v>
      </c>
      <c r="D327" s="883">
        <v>0.99141513226275768</v>
      </c>
      <c r="E327" s="883">
        <v>1.0171960597714682</v>
      </c>
      <c r="F327" s="883">
        <v>0.95976370258282728</v>
      </c>
      <c r="G327" s="883">
        <v>0.9658159256546075</v>
      </c>
      <c r="H327" s="883">
        <v>0.97962529315144331</v>
      </c>
      <c r="I327" s="883">
        <v>0.96959095530683592</v>
      </c>
      <c r="K327">
        <v>1.5592890836945472</v>
      </c>
      <c r="L327">
        <v>0</v>
      </c>
      <c r="M327">
        <v>6.262245365888288E-3</v>
      </c>
      <c r="N327">
        <v>0.11976283617047083</v>
      </c>
      <c r="O327">
        <v>3.1200691757334021E-2</v>
      </c>
      <c r="P327">
        <v>1.7854865320784362E-2</v>
      </c>
      <c r="Q327">
        <v>0</v>
      </c>
      <c r="R327">
        <v>6.262245365888288E-3</v>
      </c>
      <c r="S327">
        <v>0.1638990021065459</v>
      </c>
      <c r="T327">
        <v>1.1379299695540743</v>
      </c>
      <c r="U327">
        <v>0</v>
      </c>
      <c r="V327">
        <v>1.5900001534925691E-2</v>
      </c>
      <c r="W327">
        <v>6.2500679260726583E-2</v>
      </c>
      <c r="X327">
        <v>-1.5545773788921398E-2</v>
      </c>
      <c r="Y327">
        <v>2.5786811778604788E-2</v>
      </c>
    </row>
    <row r="328" spans="1:25" x14ac:dyDescent="0.25">
      <c r="A328" s="879"/>
      <c r="B328" s="1133">
        <v>78</v>
      </c>
      <c r="C328" s="883">
        <v>0.98910068430116449</v>
      </c>
      <c r="D328" s="883">
        <v>1.0236455557335287</v>
      </c>
      <c r="E328" s="883">
        <v>1.0010960125669335</v>
      </c>
      <c r="F328" s="883">
        <v>0.98741327102452514</v>
      </c>
      <c r="G328" s="883">
        <v>0.98670465113689987</v>
      </c>
      <c r="H328" s="883">
        <v>0.96894075394218093</v>
      </c>
      <c r="I328" s="883">
        <v>0.96728734036637953</v>
      </c>
      <c r="K328">
        <v>1.5865756243959439</v>
      </c>
      <c r="L328">
        <v>0</v>
      </c>
      <c r="M328">
        <v>6.2085480706541392E-3</v>
      </c>
      <c r="N328">
        <v>0.11593919861448072</v>
      </c>
      <c r="O328">
        <v>3.0896469983542858E-2</v>
      </c>
      <c r="P328">
        <v>1.8071031141021016E-2</v>
      </c>
      <c r="Q328">
        <v>0</v>
      </c>
      <c r="R328">
        <v>6.2085480706541392E-3</v>
      </c>
      <c r="S328">
        <v>0.1630119165055986</v>
      </c>
      <c r="T328">
        <v>1.1710070985049508</v>
      </c>
      <c r="U328">
        <v>0</v>
      </c>
      <c r="V328">
        <v>1.5913985383091203E-2</v>
      </c>
      <c r="W328">
        <v>6.0989146971035441E-2</v>
      </c>
      <c r="X328">
        <v>-1.4818918582370066E-2</v>
      </c>
      <c r="Y328">
        <v>2.5565695874592811E-2</v>
      </c>
    </row>
    <row r="329" spans="1:25" x14ac:dyDescent="0.25">
      <c r="A329" s="879"/>
      <c r="B329" s="1133">
        <v>79</v>
      </c>
      <c r="C329" s="883">
        <v>0.99324106687260572</v>
      </c>
      <c r="D329" s="883">
        <v>0.98423899258235181</v>
      </c>
      <c r="E329" s="883">
        <v>1.0006562596896931</v>
      </c>
      <c r="F329" s="883">
        <v>0.97768091622308162</v>
      </c>
      <c r="G329" s="883">
        <v>1.0189884649917451</v>
      </c>
      <c r="H329" s="883">
        <v>0.99621594798590163</v>
      </c>
      <c r="I329" s="883">
        <v>0.99184215004327392</v>
      </c>
      <c r="K329">
        <v>1.5881745610240361</v>
      </c>
      <c r="L329">
        <v>0</v>
      </c>
      <c r="M329">
        <v>6.4714549660382882E-3</v>
      </c>
      <c r="N329">
        <v>0.12077005417318069</v>
      </c>
      <c r="O329">
        <v>3.1255007900580126E-2</v>
      </c>
      <c r="P329">
        <v>1.7982719469717107E-2</v>
      </c>
      <c r="Q329">
        <v>0</v>
      </c>
      <c r="R329">
        <v>6.4714549660382882E-3</v>
      </c>
      <c r="S329">
        <v>0.16840736349954111</v>
      </c>
      <c r="T329">
        <v>1.1594731556299351</v>
      </c>
      <c r="U329">
        <v>0</v>
      </c>
      <c r="V329">
        <v>1.5891009546026891E-2</v>
      </c>
      <c r="W329">
        <v>6.3544262025107934E-2</v>
      </c>
      <c r="X329">
        <v>-1.5797310894155186E-2</v>
      </c>
      <c r="Y329">
        <v>2.6648299674101837E-2</v>
      </c>
    </row>
    <row r="330" spans="1:25" x14ac:dyDescent="0.25">
      <c r="A330" s="879"/>
      <c r="B330" s="1133">
        <v>80</v>
      </c>
      <c r="C330" s="883">
        <v>0.99978090898142669</v>
      </c>
      <c r="D330" s="883">
        <v>1.0227010425388927</v>
      </c>
      <c r="E330" s="883">
        <v>1.016413052623524</v>
      </c>
      <c r="F330" s="883">
        <v>0.9817043940142689</v>
      </c>
      <c r="G330" s="883">
        <v>0.98666926424929102</v>
      </c>
      <c r="H330" s="883">
        <v>0.98764106098434412</v>
      </c>
      <c r="I330" s="883">
        <v>0.99316273452897708</v>
      </c>
      <c r="K330">
        <v>1.5852979017888169</v>
      </c>
      <c r="L330">
        <v>0</v>
      </c>
      <c r="M330">
        <v>6.1800165546295272E-3</v>
      </c>
      <c r="N330">
        <v>0.11805339218652787</v>
      </c>
      <c r="O330">
        <v>3.0564394451857064E-2</v>
      </c>
      <c r="P330">
        <v>1.8233852903840584E-2</v>
      </c>
      <c r="Q330">
        <v>0</v>
      </c>
      <c r="R330">
        <v>6.1800165546295272E-3</v>
      </c>
      <c r="S330">
        <v>0.16667537320777423</v>
      </c>
      <c r="T330">
        <v>1.1639578626530871</v>
      </c>
      <c r="U330">
        <v>0</v>
      </c>
      <c r="V330">
        <v>1.5855106293228904E-2</v>
      </c>
      <c r="W330">
        <v>6.1632369341062337E-2</v>
      </c>
      <c r="X330">
        <v>-1.5122657418584469E-2</v>
      </c>
      <c r="Y330">
        <v>2.5448208170024005E-2</v>
      </c>
    </row>
    <row r="331" spans="1:25" x14ac:dyDescent="0.25">
      <c r="A331" s="879"/>
      <c r="B331" s="1133">
        <v>81</v>
      </c>
      <c r="C331" s="883">
        <v>0.96263633275636307</v>
      </c>
      <c r="D331" s="883">
        <v>0.97472441818452404</v>
      </c>
      <c r="E331" s="883">
        <v>1.0337330959086735</v>
      </c>
      <c r="F331" s="883">
        <v>0.97775414915047321</v>
      </c>
      <c r="G331" s="883">
        <v>1.0109255287818222</v>
      </c>
      <c r="H331" s="883">
        <v>1.02012409151425</v>
      </c>
      <c r="I331" s="883">
        <v>0.99239735578466137</v>
      </c>
      <c r="K331">
        <v>1.6099098718358122</v>
      </c>
      <c r="L331">
        <v>0</v>
      </c>
      <c r="M331">
        <v>6.6712257658556968E-3</v>
      </c>
      <c r="N331">
        <v>0.13074272007433205</v>
      </c>
      <c r="O331">
        <v>3.2342957349121647E-2</v>
      </c>
      <c r="P331">
        <v>1.8524383208846487E-2</v>
      </c>
      <c r="Q331">
        <v>0</v>
      </c>
      <c r="R331">
        <v>6.6712257658556968E-3</v>
      </c>
      <c r="S331">
        <v>0.17544589259448715</v>
      </c>
      <c r="T331">
        <v>1.1589613919880559</v>
      </c>
      <c r="U331">
        <v>0</v>
      </c>
      <c r="V331">
        <v>1.6065510471615214E-2</v>
      </c>
      <c r="W331">
        <v>6.7678430980326582E-2</v>
      </c>
      <c r="X331">
        <v>-1.7322335100845139E-2</v>
      </c>
      <c r="Y331">
        <v>2.7470920269873102E-2</v>
      </c>
    </row>
    <row r="332" spans="1:25" x14ac:dyDescent="0.25">
      <c r="A332" s="879"/>
      <c r="B332" s="1133">
        <v>82</v>
      </c>
      <c r="C332" s="883">
        <v>0.99098346441225493</v>
      </c>
      <c r="D332" s="883">
        <v>0.97835119040755403</v>
      </c>
      <c r="E332" s="883">
        <v>1.0119797360187646</v>
      </c>
      <c r="F332" s="883">
        <v>0.98528992546799865</v>
      </c>
      <c r="G332" s="883">
        <v>0.99886541057757328</v>
      </c>
      <c r="H332" s="883">
        <v>0.98572365820957675</v>
      </c>
      <c r="I332" s="883">
        <v>0.96431396374946199</v>
      </c>
      <c r="K332">
        <v>1.5921021755328295</v>
      </c>
      <c r="L332">
        <v>0</v>
      </c>
      <c r="M332">
        <v>6.3717176945658439E-3</v>
      </c>
      <c r="N332">
        <v>0.12091939396153978</v>
      </c>
      <c r="O332">
        <v>3.1391461496627845E-2</v>
      </c>
      <c r="P332">
        <v>1.8190728915335179E-2</v>
      </c>
      <c r="Q332">
        <v>0</v>
      </c>
      <c r="R332">
        <v>6.3717176945658439E-3</v>
      </c>
      <c r="S332">
        <v>0.16358117437285924</v>
      </c>
      <c r="T332">
        <v>1.16828995751961</v>
      </c>
      <c r="U332">
        <v>0</v>
      </c>
      <c r="V332">
        <v>1.5903513645935664E-2</v>
      </c>
      <c r="W332">
        <v>6.3266968764082651E-2</v>
      </c>
      <c r="X332">
        <v>-1.5678622485912574E-2</v>
      </c>
      <c r="Y332">
        <v>2.6237599342750842E-2</v>
      </c>
    </row>
    <row r="333" spans="1:25" x14ac:dyDescent="0.25">
      <c r="A333" s="879"/>
      <c r="B333" s="1133">
        <v>83</v>
      </c>
      <c r="C333" s="883">
        <v>0.96163042992016712</v>
      </c>
      <c r="D333" s="883">
        <v>1.0365148645954099</v>
      </c>
      <c r="E333" s="883">
        <v>1.038396237479418</v>
      </c>
      <c r="F333" s="883">
        <v>1.0080393781939292</v>
      </c>
      <c r="G333" s="883">
        <v>0.99561350699406281</v>
      </c>
      <c r="H333" s="883">
        <v>0.99308363766653607</v>
      </c>
      <c r="I333" s="883">
        <v>1.0370352205181281</v>
      </c>
      <c r="K333">
        <v>1.64137248118296</v>
      </c>
      <c r="L333">
        <v>0</v>
      </c>
      <c r="M333">
        <v>6.2996077987799715E-3</v>
      </c>
      <c r="N333">
        <v>0.12431331792648069</v>
      </c>
      <c r="O333">
        <v>3.1585917862463925E-2</v>
      </c>
      <c r="P333">
        <v>1.9159684879177751E-2</v>
      </c>
      <c r="Q333">
        <v>0</v>
      </c>
      <c r="R333">
        <v>6.2996077987799715E-3</v>
      </c>
      <c r="S333">
        <v>0.18116849341062419</v>
      </c>
      <c r="T333">
        <v>1.1947727719837045</v>
      </c>
      <c r="U333">
        <v>0</v>
      </c>
      <c r="V333">
        <v>1.60714344249221E-2</v>
      </c>
      <c r="W333">
        <v>6.4203596372687785E-2</v>
      </c>
      <c r="X333">
        <v>-1.5843399304089557E-2</v>
      </c>
      <c r="Y333">
        <v>2.59406636269876E-2</v>
      </c>
    </row>
    <row r="334" spans="1:25" x14ac:dyDescent="0.25">
      <c r="A334" s="879"/>
      <c r="B334" s="1133">
        <v>84</v>
      </c>
      <c r="C334" s="883">
        <v>1.0026668548704991</v>
      </c>
      <c r="D334" s="883">
        <v>0.99723282134078328</v>
      </c>
      <c r="E334" s="883">
        <v>1.0231479013361333</v>
      </c>
      <c r="F334" s="883">
        <v>0.98534002428455725</v>
      </c>
      <c r="G334" s="883">
        <v>0.9819726677534466</v>
      </c>
      <c r="H334" s="883">
        <v>0.99092679514715765</v>
      </c>
      <c r="I334" s="883">
        <v>0.99450248225071836</v>
      </c>
      <c r="K334">
        <v>1.5925435697693617</v>
      </c>
      <c r="L334">
        <v>0</v>
      </c>
      <c r="M334">
        <v>6.2158715379847362E-3</v>
      </c>
      <c r="N334">
        <v>0.11992720701460029</v>
      </c>
      <c r="O334">
        <v>3.077929332260115E-2</v>
      </c>
      <c r="P334">
        <v>1.8384804247866648E-2</v>
      </c>
      <c r="Q334">
        <v>0</v>
      </c>
      <c r="R334">
        <v>6.2158715379847362E-3</v>
      </c>
      <c r="S334">
        <v>0.16685787903508212</v>
      </c>
      <c r="T334">
        <v>1.1681456924839977</v>
      </c>
      <c r="U334">
        <v>0</v>
      </c>
      <c r="V334">
        <v>1.5839411603784055E-2</v>
      </c>
      <c r="W334">
        <v>6.2403247769297655E-2</v>
      </c>
      <c r="X334">
        <v>-1.538981831740038E-2</v>
      </c>
      <c r="Y334">
        <v>2.5595852609531618E-2</v>
      </c>
    </row>
    <row r="335" spans="1:25" x14ac:dyDescent="0.25">
      <c r="A335" s="879"/>
      <c r="B335" s="1133">
        <v>85</v>
      </c>
      <c r="C335" s="883">
        <v>0.96514947253647843</v>
      </c>
      <c r="D335" s="883">
        <v>1.0303677586410918</v>
      </c>
      <c r="E335" s="883">
        <v>0.99212398072331065</v>
      </c>
      <c r="F335" s="883">
        <v>1.0046648743590716</v>
      </c>
      <c r="G335" s="883">
        <v>1.0388820316272445</v>
      </c>
      <c r="H335" s="883">
        <v>1.0382758133089038</v>
      </c>
      <c r="I335" s="883">
        <v>1.0252771711884325</v>
      </c>
      <c r="K335">
        <v>1.6433779733159291</v>
      </c>
      <c r="L335">
        <v>0</v>
      </c>
      <c r="M335">
        <v>6.8515378664496477E-3</v>
      </c>
      <c r="N335">
        <v>0.12625664939965223</v>
      </c>
      <c r="O335">
        <v>3.1588134914453496E-2</v>
      </c>
      <c r="P335">
        <v>1.8466626921359194E-2</v>
      </c>
      <c r="Q335">
        <v>0</v>
      </c>
      <c r="R335">
        <v>6.8515378664496477E-3</v>
      </c>
      <c r="S335">
        <v>0.18121419158712554</v>
      </c>
      <c r="T335">
        <v>1.1916340228080771</v>
      </c>
      <c r="U335">
        <v>0</v>
      </c>
      <c r="V335">
        <v>1.6050764076754886E-2</v>
      </c>
      <c r="W335">
        <v>6.6713594945417398E-2</v>
      </c>
      <c r="X335">
        <v>-1.6759424742673033E-2</v>
      </c>
      <c r="Y335">
        <v>2.8213413405761507E-2</v>
      </c>
    </row>
    <row r="336" spans="1:25" x14ac:dyDescent="0.25">
      <c r="A336" s="879"/>
      <c r="B336" s="1133">
        <v>86</v>
      </c>
      <c r="C336" s="883">
        <v>0.96836926154465519</v>
      </c>
      <c r="D336" s="883">
        <v>1.0150338494067546</v>
      </c>
      <c r="E336" s="883">
        <v>1.011009287643446</v>
      </c>
      <c r="F336" s="883">
        <v>1.0123403177776833</v>
      </c>
      <c r="G336" s="883">
        <v>0.98760836870521929</v>
      </c>
      <c r="H336" s="883">
        <v>0.96949539141873597</v>
      </c>
      <c r="I336" s="883">
        <v>1.002272996771028</v>
      </c>
      <c r="K336">
        <v>1.6325170948394114</v>
      </c>
      <c r="L336">
        <v>0</v>
      </c>
      <c r="M336">
        <v>6.3140705949437156E-3</v>
      </c>
      <c r="N336">
        <v>0.11965339202932335</v>
      </c>
      <c r="O336">
        <v>3.1655904410453892E-2</v>
      </c>
      <c r="P336">
        <v>1.8734421996791165E-2</v>
      </c>
      <c r="Q336">
        <v>0</v>
      </c>
      <c r="R336">
        <v>6.3140705949437156E-3</v>
      </c>
      <c r="S336">
        <v>0.17264670253901343</v>
      </c>
      <c r="T336">
        <v>1.2003826867073115</v>
      </c>
      <c r="U336">
        <v>0</v>
      </c>
      <c r="V336">
        <v>1.603198311270506E-2</v>
      </c>
      <c r="W336">
        <v>6.263461482101218E-2</v>
      </c>
      <c r="X336">
        <v>-1.5222829624507404E-2</v>
      </c>
      <c r="Y336">
        <v>2.6000218847308153E-2</v>
      </c>
    </row>
    <row r="337" spans="1:25" x14ac:dyDescent="0.25">
      <c r="A337" s="879"/>
      <c r="B337" s="1133">
        <v>87</v>
      </c>
      <c r="C337" s="883">
        <v>0.98753986570357966</v>
      </c>
      <c r="D337" s="883">
        <v>1.000364351319792</v>
      </c>
      <c r="E337" s="883">
        <v>1.0144177346543501</v>
      </c>
      <c r="F337" s="883">
        <v>0.99519202676992813</v>
      </c>
      <c r="G337" s="883">
        <v>0.9954142588976338</v>
      </c>
      <c r="H337" s="883">
        <v>1.0192816632771762</v>
      </c>
      <c r="I337" s="883">
        <v>1.0052115533300046</v>
      </c>
      <c r="K337">
        <v>1.6185716563686434</v>
      </c>
      <c r="L337">
        <v>0</v>
      </c>
      <c r="M337">
        <v>6.5323302362042517E-3</v>
      </c>
      <c r="N337">
        <v>0.12441554390916749</v>
      </c>
      <c r="O337">
        <v>3.1219603509944585E-2</v>
      </c>
      <c r="P337">
        <v>1.8508160356701883E-2</v>
      </c>
      <c r="Q337">
        <v>0</v>
      </c>
      <c r="R337">
        <v>6.5323302362042517E-3</v>
      </c>
      <c r="S337">
        <v>0.172870008764092</v>
      </c>
      <c r="T337">
        <v>1.1799862455058938</v>
      </c>
      <c r="U337">
        <v>0</v>
      </c>
      <c r="V337">
        <v>1.5922696690372919E-2</v>
      </c>
      <c r="W337">
        <v>6.5017863558036779E-2</v>
      </c>
      <c r="X337">
        <v>-1.6267439126817794E-2</v>
      </c>
      <c r="Y337">
        <v>2.6898973201251102E-2</v>
      </c>
    </row>
    <row r="338" spans="1:25" x14ac:dyDescent="0.25">
      <c r="A338" s="879"/>
      <c r="B338" s="1133">
        <v>88</v>
      </c>
      <c r="C338" s="883">
        <v>0.98365666397305573</v>
      </c>
      <c r="D338" s="883">
        <v>1.0113909901354925</v>
      </c>
      <c r="E338" s="883">
        <v>0.98979022545232653</v>
      </c>
      <c r="F338" s="883">
        <v>1.0185856243428335</v>
      </c>
      <c r="G338" s="883">
        <v>1.0000486246361122</v>
      </c>
      <c r="H338" s="883">
        <v>0.97599914779980101</v>
      </c>
      <c r="I338" s="883">
        <v>0.97834546583411863</v>
      </c>
      <c r="K338">
        <v>1.6306861837434397</v>
      </c>
      <c r="L338">
        <v>0</v>
      </c>
      <c r="M338">
        <v>6.3849434293476648E-3</v>
      </c>
      <c r="N338">
        <v>0.11725212126342822</v>
      </c>
      <c r="O338">
        <v>3.1227081375207945E-2</v>
      </c>
      <c r="P338">
        <v>1.8453577381151182E-2</v>
      </c>
      <c r="Q338">
        <v>0</v>
      </c>
      <c r="R338">
        <v>6.3849434293476648E-3</v>
      </c>
      <c r="S338">
        <v>0.166289308169107</v>
      </c>
      <c r="T338">
        <v>1.2081897120535878</v>
      </c>
      <c r="U338">
        <v>0</v>
      </c>
      <c r="V338">
        <v>1.5944489730497037E-2</v>
      </c>
      <c r="W338">
        <v>6.2027747835045929E-2</v>
      </c>
      <c r="X338">
        <v>-1.4989914629073021E-2</v>
      </c>
      <c r="Y338">
        <v>2.629206056448935E-2</v>
      </c>
    </row>
    <row r="339" spans="1:25" x14ac:dyDescent="0.25">
      <c r="A339" s="879"/>
      <c r="B339" s="1133">
        <v>89</v>
      </c>
      <c r="C339" s="883">
        <v>1.0235566150855224</v>
      </c>
      <c r="D339" s="883">
        <v>1.0253112245801681</v>
      </c>
      <c r="E339" s="883">
        <v>1.0113431164092055</v>
      </c>
      <c r="F339" s="883">
        <v>0.99020000188205126</v>
      </c>
      <c r="G339" s="883">
        <v>0.99489779185980742</v>
      </c>
      <c r="H339" s="883">
        <v>0.99106120589413282</v>
      </c>
      <c r="I339" s="883">
        <v>1.0145325661688869</v>
      </c>
      <c r="K339">
        <v>1.5903912190945977</v>
      </c>
      <c r="L339">
        <v>0</v>
      </c>
      <c r="M339">
        <v>6.0773912114256796E-3</v>
      </c>
      <c r="N339">
        <v>0.11522517664488037</v>
      </c>
      <c r="O339">
        <v>2.9828376698129395E-2</v>
      </c>
      <c r="P339">
        <v>1.829742217779921E-2</v>
      </c>
      <c r="Q339">
        <v>0</v>
      </c>
      <c r="R339">
        <v>6.0773912114256796E-3</v>
      </c>
      <c r="S339">
        <v>0.16647202634442712</v>
      </c>
      <c r="T339">
        <v>1.1741236765072418</v>
      </c>
      <c r="U339">
        <v>0</v>
      </c>
      <c r="V339">
        <v>1.5728445338945234E-2</v>
      </c>
      <c r="W339">
        <v>6.0306636176852717E-2</v>
      </c>
      <c r="X339">
        <v>-1.4616156067019239E-2</v>
      </c>
      <c r="Y339">
        <v>2.5025615273340698E-2</v>
      </c>
    </row>
    <row r="340" spans="1:25" x14ac:dyDescent="0.25">
      <c r="A340" s="879"/>
      <c r="B340" s="1133">
        <v>90</v>
      </c>
      <c r="C340" s="883">
        <v>1.0008025261455435</v>
      </c>
      <c r="D340" s="883">
        <v>1.0144014341513969</v>
      </c>
      <c r="E340" s="883">
        <v>0.98552321889870509</v>
      </c>
      <c r="F340" s="883">
        <v>1.0114312518415507</v>
      </c>
      <c r="G340" s="883">
        <v>1.0106090798905905</v>
      </c>
      <c r="H340" s="883">
        <v>1.0003775896538278</v>
      </c>
      <c r="I340" s="883">
        <v>0.99165625131474577</v>
      </c>
      <c r="K340">
        <v>1.6229995244418451</v>
      </c>
      <c r="L340">
        <v>0</v>
      </c>
      <c r="M340">
        <v>6.4477479435165897E-3</v>
      </c>
      <c r="N340">
        <v>0.11765863484903313</v>
      </c>
      <c r="O340">
        <v>3.0659084365635039E-2</v>
      </c>
      <c r="P340">
        <v>1.8290651848929626E-2</v>
      </c>
      <c r="Q340">
        <v>0</v>
      </c>
      <c r="R340">
        <v>6.4477479435165897E-3</v>
      </c>
      <c r="S340">
        <v>0.16702364686328394</v>
      </c>
      <c r="T340">
        <v>1.1997840355059539</v>
      </c>
      <c r="U340">
        <v>0</v>
      </c>
      <c r="V340">
        <v>1.584954006525743E-2</v>
      </c>
      <c r="W340">
        <v>6.2375507771841358E-2</v>
      </c>
      <c r="X340">
        <v>-1.5192255203139009E-2</v>
      </c>
      <c r="Y340">
        <v>2.6550678375050187E-2</v>
      </c>
    </row>
    <row r="341" spans="1:25" x14ac:dyDescent="0.25">
      <c r="A341" s="879"/>
      <c r="B341" s="1133">
        <v>91</v>
      </c>
      <c r="C341" s="883">
        <v>0.96196498981248935</v>
      </c>
      <c r="D341" s="883">
        <v>0.98693305569847489</v>
      </c>
      <c r="E341" s="883">
        <v>0.9899359984055387</v>
      </c>
      <c r="F341" s="883">
        <v>0.99870236773045873</v>
      </c>
      <c r="G341" s="883">
        <v>0.98553092290448507</v>
      </c>
      <c r="H341" s="883">
        <v>0.96254385193684244</v>
      </c>
      <c r="I341" s="883">
        <v>1.0025267399970543</v>
      </c>
      <c r="K341">
        <v>1.6189688514907912</v>
      </c>
      <c r="L341">
        <v>0</v>
      </c>
      <c r="M341">
        <v>6.5087776727259516E-3</v>
      </c>
      <c r="N341">
        <v>0.11955202936170263</v>
      </c>
      <c r="O341">
        <v>3.2245309100154947E-2</v>
      </c>
      <c r="P341">
        <v>1.824239884170022E-2</v>
      </c>
      <c r="Q341">
        <v>0</v>
      </c>
      <c r="R341">
        <v>6.5087776727259516E-3</v>
      </c>
      <c r="S341">
        <v>0.1736680758405672</v>
      </c>
      <c r="T341">
        <v>1.1846025848818345</v>
      </c>
      <c r="U341">
        <v>0</v>
      </c>
      <c r="V341">
        <v>1.6069462762984647E-2</v>
      </c>
      <c r="W341">
        <v>6.3239828735559903E-2</v>
      </c>
      <c r="X341">
        <v>-1.545282597075931E-2</v>
      </c>
      <c r="Y341">
        <v>2.6801987937047494E-2</v>
      </c>
    </row>
    <row r="342" spans="1:25" x14ac:dyDescent="0.25">
      <c r="A342" s="879"/>
      <c r="B342" s="1133">
        <v>92</v>
      </c>
      <c r="C342" s="883">
        <v>1.016878820476486</v>
      </c>
      <c r="D342" s="883">
        <v>1.0258718466518872</v>
      </c>
      <c r="E342" s="883">
        <v>0.98073248586567863</v>
      </c>
      <c r="F342" s="883">
        <v>0.98048674855986373</v>
      </c>
      <c r="G342" s="883">
        <v>0.99336140282397534</v>
      </c>
      <c r="H342" s="883">
        <v>1.0060614493488644</v>
      </c>
      <c r="I342" s="883">
        <v>0.98157874394887334</v>
      </c>
      <c r="K342">
        <v>1.5777184188691535</v>
      </c>
      <c r="L342">
        <v>0</v>
      </c>
      <c r="M342">
        <v>6.3765579724519373E-3</v>
      </c>
      <c r="N342">
        <v>0.11553560818423103</v>
      </c>
      <c r="O342">
        <v>3.0042710960150112E-2</v>
      </c>
      <c r="P342">
        <v>1.7685477310147781E-2</v>
      </c>
      <c r="Q342">
        <v>0</v>
      </c>
      <c r="R342">
        <v>6.3765579724519373E-3</v>
      </c>
      <c r="S342">
        <v>0.16291572796890788</v>
      </c>
      <c r="T342">
        <v>1.1631645685189829</v>
      </c>
      <c r="U342">
        <v>0</v>
      </c>
      <c r="V342">
        <v>1.5763421974096314E-2</v>
      </c>
      <c r="W342">
        <v>6.1396919861957715E-2</v>
      </c>
      <c r="X342">
        <v>-1.5043546654868132E-2</v>
      </c>
      <c r="Y342">
        <v>2.625753074554843E-2</v>
      </c>
    </row>
    <row r="343" spans="1:25" x14ac:dyDescent="0.25">
      <c r="A343" s="879"/>
      <c r="B343" s="1133">
        <v>93</v>
      </c>
      <c r="C343" s="883">
        <v>0.99049174538733398</v>
      </c>
      <c r="D343" s="883">
        <v>1.0276261910179578</v>
      </c>
      <c r="E343" s="883">
        <v>1.0360576500342873</v>
      </c>
      <c r="F343" s="883">
        <v>1.0090769318409381</v>
      </c>
      <c r="G343" s="883">
        <v>1.0230115034321685</v>
      </c>
      <c r="H343" s="883">
        <v>0.98086557578486644</v>
      </c>
      <c r="I343" s="883">
        <v>1.0008073928164629</v>
      </c>
      <c r="K343">
        <v>1.6221035031914828</v>
      </c>
      <c r="L343">
        <v>0</v>
      </c>
      <c r="M343">
        <v>6.076460269908269E-3</v>
      </c>
      <c r="N343">
        <v>0.11949625671859944</v>
      </c>
      <c r="O343">
        <v>3.0773619878925049E-2</v>
      </c>
      <c r="P343">
        <v>1.8976196996873557E-2</v>
      </c>
      <c r="Q343">
        <v>0</v>
      </c>
      <c r="R343">
        <v>6.076460269908269E-3</v>
      </c>
      <c r="S343">
        <v>0.16911700868423185</v>
      </c>
      <c r="T343">
        <v>1.196045995479623</v>
      </c>
      <c r="U343">
        <v>0</v>
      </c>
      <c r="V343">
        <v>1.5906244671618473E-2</v>
      </c>
      <c r="W343">
        <v>6.178638528243835E-2</v>
      </c>
      <c r="X343">
        <v>-1.5019986342700173E-2</v>
      </c>
      <c r="Y343">
        <v>2.5021781821873416E-2</v>
      </c>
    </row>
    <row r="344" spans="1:25" x14ac:dyDescent="0.25">
      <c r="A344" s="879"/>
      <c r="B344" s="1133">
        <v>94</v>
      </c>
      <c r="C344" s="883">
        <v>0.9922215832101442</v>
      </c>
      <c r="D344" s="883">
        <v>0.97003926810861973</v>
      </c>
      <c r="E344" s="883">
        <v>1.0164078117823578</v>
      </c>
      <c r="F344" s="883">
        <v>0.96260421104341432</v>
      </c>
      <c r="G344" s="883">
        <v>1.0048662184348178</v>
      </c>
      <c r="H344" s="883">
        <v>1.0043941471995919</v>
      </c>
      <c r="I344" s="883">
        <v>1.0157046800816727</v>
      </c>
      <c r="K344">
        <v>1.5789065370145448</v>
      </c>
      <c r="L344">
        <v>0</v>
      </c>
      <c r="M344">
        <v>6.4838953583953056E-3</v>
      </c>
      <c r="N344">
        <v>0.12385725815323755</v>
      </c>
      <c r="O344">
        <v>3.1455442904093404E-2</v>
      </c>
      <c r="P344">
        <v>1.8017638034109728E-2</v>
      </c>
      <c r="Q344">
        <v>0</v>
      </c>
      <c r="R344">
        <v>6.4838953583953056E-3</v>
      </c>
      <c r="S344">
        <v>0.17330184704934437</v>
      </c>
      <c r="T344">
        <v>1.1413118231772768</v>
      </c>
      <c r="U344">
        <v>0</v>
      </c>
      <c r="V344">
        <v>1.5896649076841112E-2</v>
      </c>
      <c r="W344">
        <v>6.4662572371574564E-2</v>
      </c>
      <c r="X344">
        <v>-1.6296220747454609E-2</v>
      </c>
      <c r="Y344">
        <v>2.669952699552074E-2</v>
      </c>
    </row>
    <row r="345" spans="1:25" x14ac:dyDescent="0.25">
      <c r="A345" s="879"/>
      <c r="B345" s="1133">
        <v>95</v>
      </c>
      <c r="C345" s="883">
        <v>1.0304886870738157</v>
      </c>
      <c r="D345" s="883">
        <v>0.9799172195519068</v>
      </c>
      <c r="E345" s="883">
        <v>1.0331240914970341</v>
      </c>
      <c r="F345" s="883">
        <v>0.97422599243626695</v>
      </c>
      <c r="G345" s="883">
        <v>0.96629281368552888</v>
      </c>
      <c r="H345" s="883">
        <v>0.96787838450348718</v>
      </c>
      <c r="I345" s="883">
        <v>1.0011074590185738</v>
      </c>
      <c r="K345">
        <v>1.5663714597194425</v>
      </c>
      <c r="L345">
        <v>0</v>
      </c>
      <c r="M345">
        <v>5.9019253474099868E-3</v>
      </c>
      <c r="N345">
        <v>0.1155619135873163</v>
      </c>
      <c r="O345">
        <v>3.0149760273173638E-2</v>
      </c>
      <c r="P345">
        <v>1.827331003711917E-2</v>
      </c>
      <c r="Q345">
        <v>0</v>
      </c>
      <c r="R345">
        <v>5.9019253474099868E-3</v>
      </c>
      <c r="S345">
        <v>0.16230400138969853</v>
      </c>
      <c r="T345">
        <v>1.1547903008583977</v>
      </c>
      <c r="U345">
        <v>0</v>
      </c>
      <c r="V345">
        <v>1.5692616395017525E-2</v>
      </c>
      <c r="W345">
        <v>5.983799906401803E-2</v>
      </c>
      <c r="X345">
        <v>-1.4541519962382397E-2</v>
      </c>
      <c r="Y345">
        <v>2.4303078077083599E-2</v>
      </c>
    </row>
    <row r="346" spans="1:25" x14ac:dyDescent="0.25">
      <c r="A346" s="879"/>
      <c r="B346" s="1133">
        <v>96</v>
      </c>
      <c r="C346" s="883">
        <v>1.0239594282045523</v>
      </c>
      <c r="D346" s="883">
        <v>0.98367285655154879</v>
      </c>
      <c r="E346" s="883">
        <v>0.9969929232564938</v>
      </c>
      <c r="F346" s="883">
        <v>0.99779102083305282</v>
      </c>
      <c r="G346" s="883">
        <v>1.0178024378833483</v>
      </c>
      <c r="H346" s="883">
        <v>0.97546716123933641</v>
      </c>
      <c r="I346" s="883">
        <v>0.96876276559931207</v>
      </c>
      <c r="K346">
        <v>1.5916205033467412</v>
      </c>
      <c r="L346">
        <v>0</v>
      </c>
      <c r="M346">
        <v>6.167855788617331E-3</v>
      </c>
      <c r="N346">
        <v>0.11448124546506711</v>
      </c>
      <c r="O346">
        <v>3.0327401905973148E-2</v>
      </c>
      <c r="P346">
        <v>1.8116065763389207E-2</v>
      </c>
      <c r="Q346">
        <v>0</v>
      </c>
      <c r="R346">
        <v>6.167855788617331E-3</v>
      </c>
      <c r="S346">
        <v>0.15840950498069317</v>
      </c>
      <c r="T346">
        <v>1.1833905318042885</v>
      </c>
      <c r="U346">
        <v>0</v>
      </c>
      <c r="V346">
        <v>1.5726350092903546E-2</v>
      </c>
      <c r="W346">
        <v>6.0345089022765058E-2</v>
      </c>
      <c r="X346">
        <v>-1.4573817988460745E-2</v>
      </c>
      <c r="Y346">
        <v>2.5398132300121435E-2</v>
      </c>
    </row>
    <row r="347" spans="1:25" x14ac:dyDescent="0.25">
      <c r="A347" s="879"/>
      <c r="B347" s="1133">
        <v>97</v>
      </c>
      <c r="C347" s="883">
        <v>0.98284396701899424</v>
      </c>
      <c r="D347" s="883">
        <v>1.0021962690567738</v>
      </c>
      <c r="E347" s="883">
        <v>0.99533157091305613</v>
      </c>
      <c r="F347" s="883">
        <v>1.0151157778555364</v>
      </c>
      <c r="G347" s="883">
        <v>0.95798234289492734</v>
      </c>
      <c r="H347" s="883">
        <v>0.99635152079111344</v>
      </c>
      <c r="I347" s="883">
        <v>1.0076481465070029</v>
      </c>
      <c r="K347">
        <v>1.6381577080633571</v>
      </c>
      <c r="L347">
        <v>0</v>
      </c>
      <c r="M347">
        <v>6.51849016331278E-3</v>
      </c>
      <c r="N347">
        <v>0.12069184668366742</v>
      </c>
      <c r="O347">
        <v>3.1362608802596469E-2</v>
      </c>
      <c r="P347">
        <v>1.8561349292860175E-2</v>
      </c>
      <c r="Q347">
        <v>0</v>
      </c>
      <c r="R347">
        <v>6.51849016331278E-3</v>
      </c>
      <c r="S347">
        <v>0.17271425691557646</v>
      </c>
      <c r="T347">
        <v>1.2039692456059483</v>
      </c>
      <c r="U347">
        <v>0</v>
      </c>
      <c r="V347">
        <v>1.5949072484636253E-2</v>
      </c>
      <c r="W347">
        <v>6.3671401703365313E-2</v>
      </c>
      <c r="X347">
        <v>-1.5604055669817804E-2</v>
      </c>
      <c r="Y347">
        <v>2.6841982244525168E-2</v>
      </c>
    </row>
    <row r="348" spans="1:25" x14ac:dyDescent="0.25">
      <c r="A348" s="879"/>
      <c r="B348" s="1133">
        <v>98</v>
      </c>
      <c r="C348" s="883">
        <v>1.00293900711968</v>
      </c>
      <c r="D348" s="883">
        <v>0.98268259812232184</v>
      </c>
      <c r="E348" s="883">
        <v>1.0105635034807472</v>
      </c>
      <c r="F348" s="883">
        <v>0.99463435199693684</v>
      </c>
      <c r="G348" s="883">
        <v>1.001030802872515</v>
      </c>
      <c r="H348" s="883">
        <v>1.010883162649755</v>
      </c>
      <c r="I348" s="883">
        <v>0.96833218750463523</v>
      </c>
      <c r="K348">
        <v>1.6049930277151694</v>
      </c>
      <c r="L348">
        <v>0</v>
      </c>
      <c r="M348">
        <v>6.4517192338407955E-3</v>
      </c>
      <c r="N348">
        <v>0.12218121875095558</v>
      </c>
      <c r="O348">
        <v>3.0963757327588548E-2</v>
      </c>
      <c r="P348">
        <v>1.832154933605231E-2</v>
      </c>
      <c r="Q348">
        <v>0</v>
      </c>
      <c r="R348">
        <v>6.4517192338407955E-3</v>
      </c>
      <c r="S348">
        <v>0.16367937216677411</v>
      </c>
      <c r="T348">
        <v>1.1793960545943019</v>
      </c>
      <c r="U348">
        <v>0</v>
      </c>
      <c r="V348">
        <v>1.5837936213947055E-2</v>
      </c>
      <c r="W348">
        <v>6.3971947979156674E-2</v>
      </c>
      <c r="X348">
        <v>-1.5925840095349537E-2</v>
      </c>
      <c r="Y348">
        <v>2.6567031441741943E-2</v>
      </c>
    </row>
    <row r="349" spans="1:25" x14ac:dyDescent="0.25">
      <c r="A349" s="879"/>
      <c r="B349" s="1133">
        <v>99</v>
      </c>
      <c r="C349" s="883">
        <v>0.99444931457491026</v>
      </c>
      <c r="D349" s="883">
        <v>0.97429163660566587</v>
      </c>
      <c r="E349" s="883">
        <v>0.98132825943244217</v>
      </c>
      <c r="F349" s="883">
        <v>0.97129002435387979</v>
      </c>
      <c r="G349" s="883">
        <v>1.0014870872507227</v>
      </c>
      <c r="H349" s="883">
        <v>0.99306660078502862</v>
      </c>
      <c r="I349" s="883">
        <v>1.0117978766573776</v>
      </c>
      <c r="K349">
        <v>1.582807233043469</v>
      </c>
      <c r="L349">
        <v>0</v>
      </c>
      <c r="M349">
        <v>6.5825546881547728E-3</v>
      </c>
      <c r="N349">
        <v>0.1193734863992927</v>
      </c>
      <c r="O349">
        <v>3.1360333464888125E-2</v>
      </c>
      <c r="P349">
        <v>1.7664427524596901E-2</v>
      </c>
      <c r="Q349">
        <v>0</v>
      </c>
      <c r="R349">
        <v>6.5825546881547728E-3</v>
      </c>
      <c r="S349">
        <v>0.17148602625095635</v>
      </c>
      <c r="T349">
        <v>1.1522435687175447</v>
      </c>
      <c r="U349">
        <v>0</v>
      </c>
      <c r="V349">
        <v>1.5884340792009091E-2</v>
      </c>
      <c r="W349">
        <v>6.3417498543416814E-2</v>
      </c>
      <c r="X349">
        <v>-1.5728237204000302E-2</v>
      </c>
      <c r="Y349">
        <v>2.7105788554764164E-2</v>
      </c>
    </row>
    <row r="350" spans="1:25" x14ac:dyDescent="0.25">
      <c r="A350" s="879"/>
      <c r="B350" s="1133">
        <v>100</v>
      </c>
      <c r="C350" s="883">
        <v>1.0306967509853711</v>
      </c>
      <c r="D350" s="883">
        <v>0.97178699340747132</v>
      </c>
      <c r="E350" s="883">
        <v>1.021680475511054</v>
      </c>
      <c r="F350" s="883">
        <v>1.0013301178835252</v>
      </c>
      <c r="G350" s="883">
        <v>1.0189458574475818</v>
      </c>
      <c r="H350" s="883">
        <v>0.99132354970294068</v>
      </c>
      <c r="I350" s="883">
        <v>1.022727209458822</v>
      </c>
      <c r="K350">
        <v>1.6085711802027685</v>
      </c>
      <c r="L350">
        <v>0</v>
      </c>
      <c r="M350">
        <v>6.1273293529576812E-3</v>
      </c>
      <c r="N350">
        <v>0.11796260057485203</v>
      </c>
      <c r="O350">
        <v>3.0254747813374207E-2</v>
      </c>
      <c r="P350">
        <v>1.8625578823618316E-2</v>
      </c>
      <c r="Q350">
        <v>0</v>
      </c>
      <c r="R350">
        <v>6.1273293529576812E-3</v>
      </c>
      <c r="S350">
        <v>0.16721067672042556</v>
      </c>
      <c r="T350">
        <v>1.1871295191915665</v>
      </c>
      <c r="U350">
        <v>0</v>
      </c>
      <c r="V350">
        <v>1.5691548450564183E-2</v>
      </c>
      <c r="W350">
        <v>6.1425320301186748E-2</v>
      </c>
      <c r="X350">
        <v>-1.4960063324330369E-2</v>
      </c>
      <c r="Y350">
        <v>2.5231251651511636E-2</v>
      </c>
    </row>
    <row r="351" spans="1:25" x14ac:dyDescent="0.25">
      <c r="A351" s="879"/>
      <c r="B351" s="1133">
        <v>101</v>
      </c>
      <c r="C351" s="883">
        <v>1.0145116616637262</v>
      </c>
      <c r="D351" s="883">
        <v>1.0284397093577851</v>
      </c>
      <c r="E351" s="883">
        <v>1.0098651484927441</v>
      </c>
      <c r="F351" s="883">
        <v>0.98286634341808443</v>
      </c>
      <c r="G351" s="883">
        <v>0.9915091802344298</v>
      </c>
      <c r="H351" s="883">
        <v>0.98270931197581679</v>
      </c>
      <c r="I351" s="883">
        <v>0.98558300128821541</v>
      </c>
      <c r="K351">
        <v>1.5777260032180385</v>
      </c>
      <c r="L351">
        <v>0</v>
      </c>
      <c r="M351">
        <v>6.0795117367841382E-3</v>
      </c>
      <c r="N351">
        <v>0.11501347179766838</v>
      </c>
      <c r="O351">
        <v>3.0058932456193968E-2</v>
      </c>
      <c r="P351">
        <v>1.8109656533296072E-2</v>
      </c>
      <c r="Q351">
        <v>0</v>
      </c>
      <c r="R351">
        <v>6.0795117367841382E-3</v>
      </c>
      <c r="S351">
        <v>0.16266952907308291</v>
      </c>
      <c r="T351">
        <v>1.1654547652624994</v>
      </c>
      <c r="U351">
        <v>0</v>
      </c>
      <c r="V351">
        <v>1.5775931106553724E-2</v>
      </c>
      <c r="W351">
        <v>6.0239843303278084E-2</v>
      </c>
      <c r="X351">
        <v>-1.4630473533862678E-2</v>
      </c>
      <c r="Y351">
        <v>2.5034347219327388E-2</v>
      </c>
    </row>
    <row r="352" spans="1:25" x14ac:dyDescent="0.25">
      <c r="A352" s="879"/>
      <c r="B352" s="1133">
        <v>102</v>
      </c>
      <c r="C352" s="883">
        <v>1.0030195079209958</v>
      </c>
      <c r="D352" s="883">
        <v>1.0284715862595086</v>
      </c>
      <c r="E352" s="883">
        <v>1.0019617955104414</v>
      </c>
      <c r="F352" s="883">
        <v>1.0297805312821722</v>
      </c>
      <c r="G352" s="883">
        <v>0.98391934793399061</v>
      </c>
      <c r="H352" s="883">
        <v>0.99048228101569524</v>
      </c>
      <c r="I352" s="883">
        <v>0.98720341859366734</v>
      </c>
      <c r="K352">
        <v>1.6404917633296778</v>
      </c>
      <c r="L352">
        <v>0</v>
      </c>
      <c r="M352">
        <v>6.2406862471075276E-3</v>
      </c>
      <c r="N352">
        <v>0.11668890806942449</v>
      </c>
      <c r="O352">
        <v>3.0409723845529077E-2</v>
      </c>
      <c r="P352">
        <v>1.8784313237216785E-2</v>
      </c>
      <c r="Q352">
        <v>0</v>
      </c>
      <c r="R352">
        <v>6.2406862471075276E-3</v>
      </c>
      <c r="S352">
        <v>0.16523329441090326</v>
      </c>
      <c r="T352">
        <v>1.2212353144420154</v>
      </c>
      <c r="U352">
        <v>0</v>
      </c>
      <c r="V352">
        <v>1.5837499957013834E-2</v>
      </c>
      <c r="W352">
        <v>6.1357155946722267E-2</v>
      </c>
      <c r="X352">
        <v>-1.475248174399435E-2</v>
      </c>
      <c r="Y352">
        <v>2.5698035164845704E-2</v>
      </c>
    </row>
    <row r="353" spans="1:25" x14ac:dyDescent="0.25">
      <c r="A353" s="879"/>
      <c r="B353" s="1133">
        <v>103</v>
      </c>
      <c r="C353" s="883">
        <v>0.9516759316241632</v>
      </c>
      <c r="D353" s="883">
        <v>1.010263750764504</v>
      </c>
      <c r="E353" s="883">
        <v>1.0113482686927715</v>
      </c>
      <c r="F353" s="883">
        <v>1.0121158776510113</v>
      </c>
      <c r="G353" s="883">
        <v>0.97696055560213368</v>
      </c>
      <c r="H353" s="883">
        <v>1.0078406063102112</v>
      </c>
      <c r="I353" s="883">
        <v>0.99690541032289037</v>
      </c>
      <c r="K353">
        <v>1.6486153133776242</v>
      </c>
      <c r="L353">
        <v>0</v>
      </c>
      <c r="M353">
        <v>6.6909921380090302E-3</v>
      </c>
      <c r="N353">
        <v>0.12685979956210497</v>
      </c>
      <c r="O353">
        <v>3.2271616526721204E-2</v>
      </c>
      <c r="P353">
        <v>1.8796999237085235E-2</v>
      </c>
      <c r="Q353">
        <v>0</v>
      </c>
      <c r="R353">
        <v>6.6909921380090302E-3</v>
      </c>
      <c r="S353">
        <v>0.17709818029521401</v>
      </c>
      <c r="T353">
        <v>1.2001101972845081</v>
      </c>
      <c r="U353">
        <v>0</v>
      </c>
      <c r="V353">
        <v>1.6130733529283025E-2</v>
      </c>
      <c r="W353">
        <v>6.6395804414620327E-2</v>
      </c>
      <c r="X353">
        <v>-1.6600332144030689E-2</v>
      </c>
      <c r="Y353">
        <v>2.7552314672117433E-2</v>
      </c>
    </row>
    <row r="354" spans="1:25" x14ac:dyDescent="0.25">
      <c r="A354" s="879"/>
      <c r="B354" s="1133">
        <v>104</v>
      </c>
      <c r="C354" s="883">
        <v>1.0149677092493177</v>
      </c>
      <c r="D354" s="883">
        <v>1.0085642868335067</v>
      </c>
      <c r="E354" s="883">
        <v>1.0304997527692314</v>
      </c>
      <c r="F354" s="883">
        <v>1.0145689353902361</v>
      </c>
      <c r="G354" s="883">
        <v>1.012159208565119</v>
      </c>
      <c r="H354" s="883">
        <v>1.0226044622729331</v>
      </c>
      <c r="I354" s="883">
        <v>1.0149422893316884</v>
      </c>
      <c r="K354">
        <v>1.6333548392270492</v>
      </c>
      <c r="L354">
        <v>0</v>
      </c>
      <c r="M354">
        <v>6.2645077000760586E-3</v>
      </c>
      <c r="N354">
        <v>0.12218655836490633</v>
      </c>
      <c r="O354">
        <v>3.026244788400375E-2</v>
      </c>
      <c r="P354">
        <v>1.8998785898584999E-2</v>
      </c>
      <c r="Q354">
        <v>0</v>
      </c>
      <c r="R354">
        <v>6.2645077000760586E-3</v>
      </c>
      <c r="S354">
        <v>0.16994973006421529</v>
      </c>
      <c r="T354">
        <v>1.2026595674685785</v>
      </c>
      <c r="U354">
        <v>0</v>
      </c>
      <c r="V354">
        <v>1.5773516608093983E-2</v>
      </c>
      <c r="W354">
        <v>6.3349690212615273E-2</v>
      </c>
      <c r="X354">
        <v>-1.5621584942059353E-2</v>
      </c>
      <c r="Y354">
        <v>2.5796127668109556E-2</v>
      </c>
    </row>
    <row r="355" spans="1:25" x14ac:dyDescent="0.25">
      <c r="A355" s="879"/>
      <c r="B355" s="1133">
        <v>105</v>
      </c>
      <c r="C355" s="883">
        <v>1.0107769301831822</v>
      </c>
      <c r="D355" s="883">
        <v>1.0009991612827867</v>
      </c>
      <c r="E355" s="883">
        <v>0.96937746468061192</v>
      </c>
      <c r="F355" s="883">
        <v>0.99075556159074152</v>
      </c>
      <c r="G355" s="883">
        <v>0.98459315134010228</v>
      </c>
      <c r="H355" s="883">
        <v>0.99447012883800145</v>
      </c>
      <c r="I355" s="883">
        <v>1.0063398726068522</v>
      </c>
      <c r="K355">
        <v>1.5958919992003349</v>
      </c>
      <c r="L355">
        <v>0</v>
      </c>
      <c r="M355">
        <v>6.4746227979090411E-3</v>
      </c>
      <c r="N355">
        <v>0.115351880168292</v>
      </c>
      <c r="O355">
        <v>3.0531002029882511E-2</v>
      </c>
      <c r="P355">
        <v>1.7754125039635707E-2</v>
      </c>
      <c r="Q355">
        <v>0</v>
      </c>
      <c r="R355">
        <v>6.4746227979090411E-3</v>
      </c>
      <c r="S355">
        <v>0.16759899860767699</v>
      </c>
      <c r="T355">
        <v>1.1755569075355057</v>
      </c>
      <c r="U355">
        <v>0</v>
      </c>
      <c r="V355">
        <v>1.5795786251358756E-2</v>
      </c>
      <c r="W355">
        <v>6.1649508519115256E-2</v>
      </c>
      <c r="X355">
        <v>-1.5007553193024723E-2</v>
      </c>
      <c r="Y355">
        <v>2.6661344241892537E-2</v>
      </c>
    </row>
    <row r="356" spans="1:25" x14ac:dyDescent="0.25">
      <c r="A356" s="879"/>
      <c r="B356" s="1133">
        <v>106</v>
      </c>
      <c r="C356" s="883">
        <v>0.97673779461281762</v>
      </c>
      <c r="D356" s="883">
        <v>0.98860077919919609</v>
      </c>
      <c r="E356" s="883">
        <v>1.0012171986399874</v>
      </c>
      <c r="F356" s="883">
        <v>0.98613672706639444</v>
      </c>
      <c r="G356" s="883">
        <v>1.0181258247981457</v>
      </c>
      <c r="H356" s="883">
        <v>1.0214870595055665</v>
      </c>
      <c r="I356" s="883">
        <v>0.98400196295652165</v>
      </c>
      <c r="K356">
        <v>1.6095802101554393</v>
      </c>
      <c r="L356">
        <v>0</v>
      </c>
      <c r="M356">
        <v>6.7311290323922484E-3</v>
      </c>
      <c r="N356">
        <v>0.12572050773173205</v>
      </c>
      <c r="O356">
        <v>3.1726443388360628E-2</v>
      </c>
      <c r="P356">
        <v>1.8164978012183298E-2</v>
      </c>
      <c r="Q356">
        <v>0</v>
      </c>
      <c r="R356">
        <v>6.7311290323922484E-3</v>
      </c>
      <c r="S356">
        <v>0.17133738821968719</v>
      </c>
      <c r="T356">
        <v>1.1694909810144063</v>
      </c>
      <c r="U356">
        <v>0</v>
      </c>
      <c r="V356">
        <v>1.5983748767279E-2</v>
      </c>
      <c r="W356">
        <v>6.6130569922803806E-2</v>
      </c>
      <c r="X356">
        <v>-1.6691998160099759E-2</v>
      </c>
      <c r="Y356">
        <v>2.7717591259086644E-2</v>
      </c>
    </row>
    <row r="357" spans="1:25" x14ac:dyDescent="0.25">
      <c r="A357" s="879"/>
      <c r="B357" s="1133">
        <v>107</v>
      </c>
      <c r="C357" s="883">
        <v>1.0144982595219356</v>
      </c>
      <c r="D357" s="883">
        <v>1.015538940733711</v>
      </c>
      <c r="E357" s="883">
        <v>0.9818022989123526</v>
      </c>
      <c r="F357" s="883">
        <v>0.99490029249421752</v>
      </c>
      <c r="G357" s="883">
        <v>1.0246412635627797</v>
      </c>
      <c r="H357" s="883">
        <v>0.97316900672426487</v>
      </c>
      <c r="I357" s="883">
        <v>0.99087448535953582</v>
      </c>
      <c r="K357">
        <v>1.5908835656712514</v>
      </c>
      <c r="L357">
        <v>0</v>
      </c>
      <c r="M357">
        <v>6.2047126462162717E-3</v>
      </c>
      <c r="N357">
        <v>0.11260054405389194</v>
      </c>
      <c r="O357">
        <v>3.0234559323976219E-2</v>
      </c>
      <c r="P357">
        <v>1.7927816992059444E-2</v>
      </c>
      <c r="Q357">
        <v>0</v>
      </c>
      <c r="R357">
        <v>6.2047126462162717E-3</v>
      </c>
      <c r="S357">
        <v>0.16309419743483103</v>
      </c>
      <c r="T357">
        <v>1.1802436804211003</v>
      </c>
      <c r="U357">
        <v>0</v>
      </c>
      <c r="V357">
        <v>1.5776002095691199E-2</v>
      </c>
      <c r="W357">
        <v>5.9805166245865418E-2</v>
      </c>
      <c r="X357">
        <v>-1.4348303175602607E-2</v>
      </c>
      <c r="Y357">
        <v>2.5549902279437774E-2</v>
      </c>
    </row>
    <row r="358" spans="1:25" x14ac:dyDescent="0.25">
      <c r="A358" s="879"/>
      <c r="B358" s="1133">
        <v>108</v>
      </c>
      <c r="C358" s="883">
        <v>1.0028718048477072</v>
      </c>
      <c r="D358" s="883">
        <v>0.97669339154677548</v>
      </c>
      <c r="E358" s="883">
        <v>0.99609368515873253</v>
      </c>
      <c r="F358" s="883">
        <v>0.98637528530648089</v>
      </c>
      <c r="G358" s="883">
        <v>1.0094005029581681</v>
      </c>
      <c r="H358" s="883">
        <v>1.0050406812057342</v>
      </c>
      <c r="I358" s="883">
        <v>0.99850209917338084</v>
      </c>
      <c r="K358">
        <v>1.5987645870033873</v>
      </c>
      <c r="L358">
        <v>0</v>
      </c>
      <c r="M358">
        <v>6.514251046069207E-3</v>
      </c>
      <c r="N358">
        <v>0.12074965783759038</v>
      </c>
      <c r="O358">
        <v>3.1054186727621547E-2</v>
      </c>
      <c r="P358">
        <v>1.8059679932442205E-2</v>
      </c>
      <c r="Q358">
        <v>0</v>
      </c>
      <c r="R358">
        <v>6.514251046069207E-3</v>
      </c>
      <c r="S358">
        <v>0.16849993088707191</v>
      </c>
      <c r="T358">
        <v>1.1698678489919414</v>
      </c>
      <c r="U358">
        <v>0</v>
      </c>
      <c r="V358">
        <v>1.5838300455972891E-2</v>
      </c>
      <c r="W358">
        <v>6.3677751841314162E-2</v>
      </c>
      <c r="X358">
        <v>-1.5807295984817241E-2</v>
      </c>
      <c r="Y358">
        <v>2.6824526314250877E-2</v>
      </c>
    </row>
    <row r="359" spans="1:25" x14ac:dyDescent="0.25">
      <c r="A359" s="879"/>
      <c r="B359" s="1133">
        <v>109</v>
      </c>
      <c r="C359" s="883">
        <v>0.98284331936481895</v>
      </c>
      <c r="D359" s="883">
        <v>0.96894715488006466</v>
      </c>
      <c r="E359" s="883">
        <v>1.0209208927328388</v>
      </c>
      <c r="F359" s="883">
        <v>1.0112488436928471</v>
      </c>
      <c r="G359" s="883">
        <v>0.97670728626569037</v>
      </c>
      <c r="H359" s="883">
        <v>0.98942321998659921</v>
      </c>
      <c r="I359" s="883">
        <v>1.0385537445556654</v>
      </c>
      <c r="K359">
        <v>1.642053476481093</v>
      </c>
      <c r="L359">
        <v>0</v>
      </c>
      <c r="M359">
        <v>6.4260078185291543E-3</v>
      </c>
      <c r="N359">
        <v>0.12357380459281685</v>
      </c>
      <c r="O359">
        <v>3.1765691969143153E-2</v>
      </c>
      <c r="P359">
        <v>1.8925044561064544E-2</v>
      </c>
      <c r="Q359">
        <v>0</v>
      </c>
      <c r="R359">
        <v>6.4260078185291543E-3</v>
      </c>
      <c r="S359">
        <v>0.17797903006289001</v>
      </c>
      <c r="T359">
        <v>1.1989028940165574</v>
      </c>
      <c r="U359">
        <v>0</v>
      </c>
      <c r="V359">
        <v>1.5949076139745364E-2</v>
      </c>
      <c r="W359">
        <v>6.4371246806002549E-2</v>
      </c>
      <c r="X359">
        <v>-1.5874468077077566E-2</v>
      </c>
      <c r="Y359">
        <v>2.6461156409949928E-2</v>
      </c>
    </row>
    <row r="360" spans="1:25" x14ac:dyDescent="0.25">
      <c r="A360" s="879"/>
      <c r="B360" s="1133">
        <v>110</v>
      </c>
      <c r="C360" s="883">
        <v>0.99518095635263537</v>
      </c>
      <c r="D360" s="883">
        <v>0.98875599149619142</v>
      </c>
      <c r="E360" s="883">
        <v>0.98395575716769301</v>
      </c>
      <c r="F360" s="883">
        <v>0.96831369348689411</v>
      </c>
      <c r="G360" s="883">
        <v>0.97552372415907385</v>
      </c>
      <c r="H360" s="883">
        <v>0.96034907959425864</v>
      </c>
      <c r="I360" s="883">
        <v>0.9644951291041759</v>
      </c>
      <c r="K360">
        <v>1.5613624790767968</v>
      </c>
      <c r="L360">
        <v>0</v>
      </c>
      <c r="M360">
        <v>6.3048258959290931E-3</v>
      </c>
      <c r="N360">
        <v>0.11478343223452955</v>
      </c>
      <c r="O360">
        <v>3.1150972378301812E-2</v>
      </c>
      <c r="P360">
        <v>1.751879624567805E-2</v>
      </c>
      <c r="Q360">
        <v>0</v>
      </c>
      <c r="R360">
        <v>6.3048258959290931E-3</v>
      </c>
      <c r="S360">
        <v>0.16135633946932443</v>
      </c>
      <c r="T360">
        <v>1.1486652623468141</v>
      </c>
      <c r="U360">
        <v>0</v>
      </c>
      <c r="V360">
        <v>1.5880310469243375E-2</v>
      </c>
      <c r="W360">
        <v>6.0898933804457107E-2</v>
      </c>
      <c r="X360">
        <v>-1.4853718693813283E-2</v>
      </c>
      <c r="Y360">
        <v>2.5962150822261013E-2</v>
      </c>
    </row>
    <row r="361" spans="1:25" x14ac:dyDescent="0.25">
      <c r="A361" s="879"/>
      <c r="B361" s="1133">
        <v>111</v>
      </c>
      <c r="C361" s="883">
        <v>0.99518235167243241</v>
      </c>
      <c r="D361" s="883">
        <v>0.97699694408022619</v>
      </c>
      <c r="E361" s="883">
        <v>0.99976592082521709</v>
      </c>
      <c r="F361" s="883">
        <v>0.99729714685109416</v>
      </c>
      <c r="G361" s="883">
        <v>0.98208169061835848</v>
      </c>
      <c r="H361" s="883">
        <v>1.0072263517595081</v>
      </c>
      <c r="I361" s="883">
        <v>1.0070468000065858</v>
      </c>
      <c r="K361">
        <v>1.6171865068467477</v>
      </c>
      <c r="L361">
        <v>0</v>
      </c>
      <c r="M361">
        <v>6.5568844905019149E-3</v>
      </c>
      <c r="N361">
        <v>0.12220304465712852</v>
      </c>
      <c r="O361">
        <v>3.1287094924453501E-2</v>
      </c>
      <c r="P361">
        <v>1.8321589063331849E-2</v>
      </c>
      <c r="Q361">
        <v>0</v>
      </c>
      <c r="R361">
        <v>6.5568844905019149E-3</v>
      </c>
      <c r="S361">
        <v>0.17138515486651354</v>
      </c>
      <c r="T361">
        <v>1.182753374938496</v>
      </c>
      <c r="U361">
        <v>0</v>
      </c>
      <c r="V361">
        <v>1.5880302788644669E-2</v>
      </c>
      <c r="W361">
        <v>6.4326677736529489E-2</v>
      </c>
      <c r="X361">
        <v>-1.5970815378304543E-2</v>
      </c>
      <c r="Y361">
        <v>2.7000083249954558E-2</v>
      </c>
    </row>
    <row r="362" spans="1:25" x14ac:dyDescent="0.25">
      <c r="A362" s="879"/>
      <c r="B362" s="1133">
        <v>112</v>
      </c>
      <c r="C362" s="883">
        <v>1.0077707810757737</v>
      </c>
      <c r="D362" s="883">
        <v>1.0257303662853301</v>
      </c>
      <c r="E362" s="883">
        <v>1.0023639640138382</v>
      </c>
      <c r="F362" s="883">
        <v>1.044861711148581</v>
      </c>
      <c r="G362" s="883">
        <v>1.0334657524297441</v>
      </c>
      <c r="H362" s="883">
        <v>0.96880959551541035</v>
      </c>
      <c r="I362" s="883">
        <v>1.0062667271258048</v>
      </c>
      <c r="K362">
        <v>1.6552073780456313</v>
      </c>
      <c r="L362">
        <v>0</v>
      </c>
      <c r="M362">
        <v>6.080443915987885E-3</v>
      </c>
      <c r="N362">
        <v>0.11376043068637269</v>
      </c>
      <c r="O362">
        <v>3.0298342666605999E-2</v>
      </c>
      <c r="P362">
        <v>1.90450297582327E-2</v>
      </c>
      <c r="Q362">
        <v>0</v>
      </c>
      <c r="R362">
        <v>6.080443915987885E-3</v>
      </c>
      <c r="S362">
        <v>0.1664149575973192</v>
      </c>
      <c r="T362">
        <v>1.2391125520609503</v>
      </c>
      <c r="U362">
        <v>0</v>
      </c>
      <c r="V362">
        <v>1.5811874896604711E-2</v>
      </c>
      <c r="W362">
        <v>5.9805373536163518E-2</v>
      </c>
      <c r="X362">
        <v>-1.407936892398535E-2</v>
      </c>
      <c r="Y362">
        <v>2.5038185767366706E-2</v>
      </c>
    </row>
    <row r="363" spans="1:25" x14ac:dyDescent="0.25">
      <c r="A363" s="879"/>
      <c r="B363" s="1133">
        <v>113</v>
      </c>
      <c r="C363" s="883">
        <v>0.98555297910424911</v>
      </c>
      <c r="D363" s="883">
        <v>1.0171609961276991</v>
      </c>
      <c r="E363" s="883">
        <v>1.0018608954019383</v>
      </c>
      <c r="F363" s="883">
        <v>0.99641002299538772</v>
      </c>
      <c r="G363" s="883">
        <v>1.0381525793008195</v>
      </c>
      <c r="H363" s="883">
        <v>0.98718186510114536</v>
      </c>
      <c r="I363" s="883">
        <v>0.98965310837045295</v>
      </c>
      <c r="K363">
        <v>1.6078277243634551</v>
      </c>
      <c r="L363">
        <v>0</v>
      </c>
      <c r="M363">
        <v>6.361944889921492E-3</v>
      </c>
      <c r="N363">
        <v>0.11893843506381233</v>
      </c>
      <c r="O363">
        <v>3.1085949840032465E-2</v>
      </c>
      <c r="P363">
        <v>1.8297994355358681E-2</v>
      </c>
      <c r="Q363">
        <v>0</v>
      </c>
      <c r="R363">
        <v>6.361944889921492E-3</v>
      </c>
      <c r="S363">
        <v>0.16849361384500028</v>
      </c>
      <c r="T363">
        <v>1.1816624941712774</v>
      </c>
      <c r="U363">
        <v>0</v>
      </c>
      <c r="V363">
        <v>1.5933825904799269E-2</v>
      </c>
      <c r="W363">
        <v>6.2543129802101402E-2</v>
      </c>
      <c r="X363">
        <v>-1.5325075291646766E-2</v>
      </c>
      <c r="Y363">
        <v>2.6197356672719788E-2</v>
      </c>
    </row>
    <row r="364" spans="1:25" x14ac:dyDescent="0.25">
      <c r="A364" s="879"/>
      <c r="B364" s="1133">
        <v>114</v>
      </c>
      <c r="C364" s="883">
        <v>0.97172680875227524</v>
      </c>
      <c r="D364" s="883">
        <v>1.0042924645900027</v>
      </c>
      <c r="E364" s="883">
        <v>0.96992352788878478</v>
      </c>
      <c r="F364" s="883">
        <v>0.97600205222098846</v>
      </c>
      <c r="G364" s="883">
        <v>0.99510861317166799</v>
      </c>
      <c r="H364" s="883">
        <v>0.99197519874845663</v>
      </c>
      <c r="I364" s="883">
        <v>1.0444659421337725</v>
      </c>
      <c r="K364">
        <v>1.5994782494593147</v>
      </c>
      <c r="L364">
        <v>0</v>
      </c>
      <c r="M364">
        <v>6.7048957300622995E-3</v>
      </c>
      <c r="N364">
        <v>0.11955131629781172</v>
      </c>
      <c r="O364">
        <v>3.1715805352168426E-2</v>
      </c>
      <c r="P364">
        <v>1.7707810666672326E-2</v>
      </c>
      <c r="Q364">
        <v>0</v>
      </c>
      <c r="R364">
        <v>6.7048957300622995E-3</v>
      </c>
      <c r="S364">
        <v>0.18074927077301006</v>
      </c>
      <c r="T364">
        <v>1.1580415143214418</v>
      </c>
      <c r="U364">
        <v>0</v>
      </c>
      <c r="V364">
        <v>1.6012531169687545E-2</v>
      </c>
      <c r="W364">
        <v>6.3876344606355481E-2</v>
      </c>
      <c r="X364">
        <v>-1.578591091727893E-2</v>
      </c>
      <c r="Y364">
        <v>2.7609567189445679E-2</v>
      </c>
    </row>
    <row r="365" spans="1:25" x14ac:dyDescent="0.25">
      <c r="A365" s="879"/>
      <c r="B365" s="1133">
        <v>115</v>
      </c>
      <c r="C365" s="883">
        <v>1.0293547641115921</v>
      </c>
      <c r="D365" s="883">
        <v>1.0226571619811242</v>
      </c>
      <c r="E365" s="883">
        <v>1.0226931083088731</v>
      </c>
      <c r="F365" s="883">
        <v>0.98391652647417349</v>
      </c>
      <c r="G365" s="883">
        <v>1.0362442655029112</v>
      </c>
      <c r="H365" s="883">
        <v>0.99828522886824222</v>
      </c>
      <c r="I365" s="883">
        <v>0.97772663488075451</v>
      </c>
      <c r="K365">
        <v>1.5770031332689298</v>
      </c>
      <c r="L365">
        <v>0</v>
      </c>
      <c r="M365">
        <v>6.0340041848522315E-3</v>
      </c>
      <c r="N365">
        <v>0.11634003191787175</v>
      </c>
      <c r="O365">
        <v>2.9681284663684849E-2</v>
      </c>
      <c r="P365">
        <v>1.8259800824094553E-2</v>
      </c>
      <c r="Q365">
        <v>0</v>
      </c>
      <c r="R365">
        <v>6.0340041848522315E-3</v>
      </c>
      <c r="S365">
        <v>0.15995781137195836</v>
      </c>
      <c r="T365">
        <v>1.1664663708444682</v>
      </c>
      <c r="U365">
        <v>0</v>
      </c>
      <c r="V365">
        <v>1.569844414999132E-2</v>
      </c>
      <c r="W365">
        <v>6.0550234626339954E-2</v>
      </c>
      <c r="X365">
        <v>-1.4797800349994387E-2</v>
      </c>
      <c r="Y365">
        <v>2.4846955220514083E-2</v>
      </c>
    </row>
    <row r="366" spans="1:25" x14ac:dyDescent="0.25">
      <c r="A366" s="879"/>
      <c r="B366" s="1133">
        <v>116</v>
      </c>
      <c r="C366" s="883">
        <v>0.98583453665835341</v>
      </c>
      <c r="D366" s="883">
        <v>1.0027785500406694</v>
      </c>
      <c r="E366" s="883">
        <v>0.99485975815623839</v>
      </c>
      <c r="F366" s="883">
        <v>0.96385097817650012</v>
      </c>
      <c r="G366" s="883">
        <v>1.0143395175190146</v>
      </c>
      <c r="H366" s="883">
        <v>1.0289386691913989</v>
      </c>
      <c r="I366" s="883">
        <v>0.96079327476592846</v>
      </c>
      <c r="K366">
        <v>1.5747747073017746</v>
      </c>
      <c r="L366">
        <v>0</v>
      </c>
      <c r="M366">
        <v>6.7122923942302707E-3</v>
      </c>
      <c r="N366">
        <v>0.12419328372187344</v>
      </c>
      <c r="O366">
        <v>3.1260605446403522E-2</v>
      </c>
      <c r="P366">
        <v>1.7655299514709559E-2</v>
      </c>
      <c r="Q366">
        <v>0</v>
      </c>
      <c r="R366">
        <v>6.7122923942302707E-3</v>
      </c>
      <c r="S366">
        <v>0.16601642253485765</v>
      </c>
      <c r="T366">
        <v>1.1431755370510359</v>
      </c>
      <c r="U366">
        <v>0</v>
      </c>
      <c r="V366">
        <v>1.5932246078929773E-2</v>
      </c>
      <c r="W366">
        <v>6.553398173813689E-2</v>
      </c>
      <c r="X366">
        <v>-1.6632694120104308E-2</v>
      </c>
      <c r="Y366">
        <v>2.7640025335932236E-2</v>
      </c>
    </row>
    <row r="367" spans="1:25" x14ac:dyDescent="0.25">
      <c r="A367" s="879"/>
      <c r="B367" s="1133">
        <v>117</v>
      </c>
      <c r="C367" s="883">
        <v>0.9937673815300011</v>
      </c>
      <c r="D367" s="883">
        <v>0.9940411625876503</v>
      </c>
      <c r="E367" s="883">
        <v>1.0061422368046058</v>
      </c>
      <c r="F367" s="883">
        <v>1.0245210592306502</v>
      </c>
      <c r="G367" s="883">
        <v>1.0095326195058776</v>
      </c>
      <c r="H367" s="883">
        <v>0.96212376626940332</v>
      </c>
      <c r="I367" s="883">
        <v>0.98248494647161511</v>
      </c>
      <c r="K367">
        <v>1.6337422307122575</v>
      </c>
      <c r="L367">
        <v>0</v>
      </c>
      <c r="M367">
        <v>6.1893690858538927E-3</v>
      </c>
      <c r="N367">
        <v>0.11644812341277691</v>
      </c>
      <c r="O367">
        <v>3.1110106917198156E-2</v>
      </c>
      <c r="P367">
        <v>1.8752023125333226E-2</v>
      </c>
      <c r="Q367">
        <v>0</v>
      </c>
      <c r="R367">
        <v>6.1893690858538927E-3</v>
      </c>
      <c r="S367">
        <v>0.16467601559005762</v>
      </c>
      <c r="T367">
        <v>1.2149184881676038</v>
      </c>
      <c r="U367">
        <v>0</v>
      </c>
      <c r="V367">
        <v>1.5888102632583355E-2</v>
      </c>
      <c r="W367">
        <v>6.1103764977448911E-2</v>
      </c>
      <c r="X367">
        <v>-1.4641114339663646E-2</v>
      </c>
      <c r="Y367">
        <v>2.5486720228917438E-2</v>
      </c>
    </row>
    <row r="368" spans="1:25" x14ac:dyDescent="0.25">
      <c r="A368" s="879"/>
      <c r="B368" s="1133">
        <v>118</v>
      </c>
      <c r="C368" s="883">
        <v>1.0237339994310559</v>
      </c>
      <c r="D368" s="883">
        <v>0.98125206374609064</v>
      </c>
      <c r="E368" s="883">
        <v>0.99477580409590172</v>
      </c>
      <c r="F368" s="883">
        <v>1.0054956748495041</v>
      </c>
      <c r="G368" s="883">
        <v>0.99343921408796432</v>
      </c>
      <c r="H368" s="883">
        <v>0.95546900244660826</v>
      </c>
      <c r="I368" s="883">
        <v>1.0231793090079628</v>
      </c>
      <c r="K368">
        <v>1.6053911380051853</v>
      </c>
      <c r="L368">
        <v>0</v>
      </c>
      <c r="M368">
        <v>6.061112417648137E-3</v>
      </c>
      <c r="N368">
        <v>0.11213096146095589</v>
      </c>
      <c r="O368">
        <v>3.036582352531322E-2</v>
      </c>
      <c r="P368">
        <v>1.8311749785295331E-2</v>
      </c>
      <c r="Q368">
        <v>0</v>
      </c>
      <c r="R368">
        <v>6.061112417648137E-3</v>
      </c>
      <c r="S368">
        <v>0.16619770170480885</v>
      </c>
      <c r="T368">
        <v>1.1925698039841159</v>
      </c>
      <c r="U368">
        <v>0</v>
      </c>
      <c r="V368">
        <v>1.5727522465107266E-2</v>
      </c>
      <c r="W368">
        <v>5.9171439896967638E-2</v>
      </c>
      <c r="X368">
        <v>-1.4042446915460621E-2</v>
      </c>
      <c r="Y368">
        <v>2.495858209808206E-2</v>
      </c>
    </row>
    <row r="369" spans="1:25" x14ac:dyDescent="0.25">
      <c r="A369" s="879"/>
      <c r="B369" s="1133">
        <v>119</v>
      </c>
      <c r="C369" s="883">
        <v>1.0021371224690805</v>
      </c>
      <c r="D369" s="883">
        <v>1.0000285204260999</v>
      </c>
      <c r="E369" s="883">
        <v>1.0016612399523424</v>
      </c>
      <c r="F369" s="883">
        <v>0.96594145738782422</v>
      </c>
      <c r="G369" s="883">
        <v>1.0007564619229352</v>
      </c>
      <c r="H369" s="883">
        <v>0.99605793774207974</v>
      </c>
      <c r="I369" s="883">
        <v>1.0131683214580509</v>
      </c>
      <c r="K369">
        <v>1.572450748364068</v>
      </c>
      <c r="L369">
        <v>0</v>
      </c>
      <c r="M369">
        <v>6.3620180066266078E-3</v>
      </c>
      <c r="N369">
        <v>0.118904631081398</v>
      </c>
      <c r="O369">
        <v>3.0780119748859261E-2</v>
      </c>
      <c r="P369">
        <v>1.7834880918373566E-2</v>
      </c>
      <c r="Q369">
        <v>0</v>
      </c>
      <c r="R369">
        <v>6.3620180066266078E-3</v>
      </c>
      <c r="S369">
        <v>0.17032877199747246</v>
      </c>
      <c r="T369">
        <v>1.1455327980766956</v>
      </c>
      <c r="U369">
        <v>0</v>
      </c>
      <c r="V369">
        <v>1.5842285683236357E-2</v>
      </c>
      <c r="W369">
        <v>6.2531549750992996E-2</v>
      </c>
      <c r="X369">
        <v>-1.5501946647257276E-2</v>
      </c>
      <c r="Y369">
        <v>2.6197657754297166E-2</v>
      </c>
    </row>
    <row r="370" spans="1:25" x14ac:dyDescent="0.25">
      <c r="A370" s="879"/>
      <c r="B370" s="1133">
        <v>120</v>
      </c>
      <c r="C370" s="883">
        <v>1.0393564155477424</v>
      </c>
      <c r="D370" s="883">
        <v>1.0087976905502769</v>
      </c>
      <c r="E370" s="883">
        <v>0.99064401711818961</v>
      </c>
      <c r="F370" s="883">
        <v>1.0459567764945625</v>
      </c>
      <c r="G370" s="883">
        <v>0.98044134616037604</v>
      </c>
      <c r="H370" s="883">
        <v>0.99143586250040949</v>
      </c>
      <c r="I370" s="883">
        <v>1.008622018829282</v>
      </c>
      <c r="K370">
        <v>1.6516713453615468</v>
      </c>
      <c r="L370">
        <v>0</v>
      </c>
      <c r="M370">
        <v>6.1407972312637832E-3</v>
      </c>
      <c r="N370">
        <v>0.11291149019818109</v>
      </c>
      <c r="O370">
        <v>2.958329526989447E-2</v>
      </c>
      <c r="P370">
        <v>1.8850585435110218E-2</v>
      </c>
      <c r="Q370">
        <v>0</v>
      </c>
      <c r="R370">
        <v>6.1407972312637832E-3</v>
      </c>
      <c r="S370">
        <v>0.16313735155244141</v>
      </c>
      <c r="T370">
        <v>1.2406392175929828</v>
      </c>
      <c r="U370">
        <v>0</v>
      </c>
      <c r="V370">
        <v>1.5647479602088638E-2</v>
      </c>
      <c r="W370">
        <v>5.970607957398312E-2</v>
      </c>
      <c r="X370">
        <v>-1.4090863840319177E-2</v>
      </c>
      <c r="Y370">
        <v>2.5286709977183196E-2</v>
      </c>
    </row>
    <row r="371" spans="1:25" x14ac:dyDescent="0.25">
      <c r="A371" s="879"/>
      <c r="B371" s="1133">
        <v>121</v>
      </c>
      <c r="C371" s="883">
        <v>1.0137769835579324</v>
      </c>
      <c r="D371" s="883">
        <v>1.0062748333293896</v>
      </c>
      <c r="E371" s="883">
        <v>1.0120418541605039</v>
      </c>
      <c r="F371" s="883">
        <v>1.0357990697845263</v>
      </c>
      <c r="G371" s="883">
        <v>1.0021361656710879</v>
      </c>
      <c r="H371" s="883">
        <v>0.95747605354383092</v>
      </c>
      <c r="I371" s="883">
        <v>1.0016416586456525</v>
      </c>
      <c r="K371">
        <v>1.6408586590305445</v>
      </c>
      <c r="L371">
        <v>0</v>
      </c>
      <c r="M371">
        <v>5.974145344688167E-3</v>
      </c>
      <c r="N371">
        <v>0.11338488181811637</v>
      </c>
      <c r="O371">
        <v>3.0342125323821183E-2</v>
      </c>
      <c r="P371">
        <v>1.9006460764874483E-2</v>
      </c>
      <c r="Q371">
        <v>0</v>
      </c>
      <c r="R371">
        <v>5.974145344688167E-3</v>
      </c>
      <c r="S371">
        <v>0.16420292431219832</v>
      </c>
      <c r="T371">
        <v>1.2281790822050229</v>
      </c>
      <c r="U371">
        <v>0</v>
      </c>
      <c r="V371">
        <v>1.5779825355114831E-2</v>
      </c>
      <c r="W371">
        <v>5.9322969831754134E-2</v>
      </c>
      <c r="X371">
        <v>-1.3960077751554251E-2</v>
      </c>
      <c r="Y371">
        <v>2.4600467171194833E-2</v>
      </c>
    </row>
    <row r="372" spans="1:25" x14ac:dyDescent="0.25">
      <c r="A372" s="879"/>
      <c r="B372" s="1133">
        <v>122</v>
      </c>
      <c r="C372" s="883">
        <v>1.0151021264419799</v>
      </c>
      <c r="D372" s="883">
        <v>1.0087997476196615</v>
      </c>
      <c r="E372" s="883">
        <v>0.98762407755516923</v>
      </c>
      <c r="F372" s="883">
        <v>1.0365447966720007</v>
      </c>
      <c r="G372" s="883">
        <v>1.0391761148271961</v>
      </c>
      <c r="H372" s="883">
        <v>1.022976886262666</v>
      </c>
      <c r="I372" s="883">
        <v>0.98930751093062741</v>
      </c>
      <c r="K372">
        <v>1.6534601659010439</v>
      </c>
      <c r="L372">
        <v>0</v>
      </c>
      <c r="M372">
        <v>6.5046612043372807E-3</v>
      </c>
      <c r="N372">
        <v>0.11906756475200293</v>
      </c>
      <c r="O372">
        <v>3.0292546804602256E-2</v>
      </c>
      <c r="P372">
        <v>1.8694427972426937E-2</v>
      </c>
      <c r="Q372">
        <v>0</v>
      </c>
      <c r="R372">
        <v>6.5046612043372807E-3</v>
      </c>
      <c r="S372">
        <v>0.16560858088001662</v>
      </c>
      <c r="T372">
        <v>1.2295337256590559</v>
      </c>
      <c r="U372">
        <v>0</v>
      </c>
      <c r="V372">
        <v>1.5772805363630616E-2</v>
      </c>
      <c r="W372">
        <v>6.3056250491078727E-2</v>
      </c>
      <c r="X372">
        <v>-1.53507730746967E-2</v>
      </c>
      <c r="Y372">
        <v>2.6785037052926994E-2</v>
      </c>
    </row>
    <row r="373" spans="1:25" x14ac:dyDescent="0.25">
      <c r="A373" s="879"/>
      <c r="B373" s="1133">
        <v>123</v>
      </c>
      <c r="C373" s="883">
        <v>0.97625740901184321</v>
      </c>
      <c r="D373" s="883">
        <v>0.99117781055940923</v>
      </c>
      <c r="E373" s="883">
        <v>0.96373723527527155</v>
      </c>
      <c r="F373" s="883">
        <v>0.9530716391239501</v>
      </c>
      <c r="G373" s="883">
        <v>1.0097479441355941</v>
      </c>
      <c r="H373" s="883">
        <v>0.9880848202554654</v>
      </c>
      <c r="I373" s="883">
        <v>1.0383000091966039</v>
      </c>
      <c r="K373">
        <v>1.5689508454110987</v>
      </c>
      <c r="L373">
        <v>0</v>
      </c>
      <c r="M373">
        <v>6.7228018471252272E-3</v>
      </c>
      <c r="N373">
        <v>0.11877432881464418</v>
      </c>
      <c r="O373">
        <v>3.1739832001019139E-2</v>
      </c>
      <c r="P373">
        <v>1.7243630116474399E-2</v>
      </c>
      <c r="Q373">
        <v>0</v>
      </c>
      <c r="R373">
        <v>6.7228018471252272E-3</v>
      </c>
      <c r="S373">
        <v>0.17874030834429031</v>
      </c>
      <c r="T373">
        <v>1.1309446541894221</v>
      </c>
      <c r="U373">
        <v>0</v>
      </c>
      <c r="V373">
        <v>1.5986495229861526E-2</v>
      </c>
      <c r="W373">
        <v>6.3659142649268835E-2</v>
      </c>
      <c r="X373">
        <v>-1.5820847326222437E-2</v>
      </c>
      <c r="Y373">
        <v>2.7683301392340778E-2</v>
      </c>
    </row>
    <row r="374" spans="1:25" x14ac:dyDescent="0.25">
      <c r="A374" s="879"/>
      <c r="B374" s="1133">
        <v>124</v>
      </c>
      <c r="C374" s="883">
        <v>1.0039872810675285</v>
      </c>
      <c r="D374" s="883">
        <v>0.99577511711992572</v>
      </c>
      <c r="E374" s="883">
        <v>1.0262327054183995</v>
      </c>
      <c r="F374" s="883">
        <v>0.9781300490542113</v>
      </c>
      <c r="G374" s="883">
        <v>0.98490317614938061</v>
      </c>
      <c r="H374" s="883">
        <v>1.0077941705933822</v>
      </c>
      <c r="I374" s="883">
        <v>1.0051800955260917</v>
      </c>
      <c r="K374">
        <v>1.5895791260281718</v>
      </c>
      <c r="L374">
        <v>0</v>
      </c>
      <c r="M374">
        <v>6.3004376750435522E-3</v>
      </c>
      <c r="N374">
        <v>0.12211458733174788</v>
      </c>
      <c r="O374">
        <v>3.0753964570603524E-2</v>
      </c>
      <c r="P374">
        <v>1.8344585232006931E-2</v>
      </c>
      <c r="Q374">
        <v>0</v>
      </c>
      <c r="R374">
        <v>6.3004376750435522E-3</v>
      </c>
      <c r="S374">
        <v>0.16942662785285206</v>
      </c>
      <c r="T374">
        <v>1.1595423338909834</v>
      </c>
      <c r="U374">
        <v>0</v>
      </c>
      <c r="V374">
        <v>1.5832260792721719E-2</v>
      </c>
      <c r="W374">
        <v>6.3445138316383792E-2</v>
      </c>
      <c r="X374">
        <v>-1.582445286885591E-2</v>
      </c>
      <c r="Y374">
        <v>2.5944080909728551E-2</v>
      </c>
    </row>
    <row r="375" spans="1:25" x14ac:dyDescent="0.25">
      <c r="A375" s="879"/>
      <c r="B375" s="1133">
        <v>125</v>
      </c>
      <c r="C375" s="883">
        <v>0.98810669224091874</v>
      </c>
      <c r="D375" s="883">
        <v>1.0169935219891306</v>
      </c>
      <c r="E375" s="883">
        <v>1.0115963586257928</v>
      </c>
      <c r="F375" s="883">
        <v>1.006994214516614</v>
      </c>
      <c r="G375" s="883">
        <v>1.020921064338193</v>
      </c>
      <c r="H375" s="883">
        <v>1.0125142739032209</v>
      </c>
      <c r="I375" s="883">
        <v>0.99313005584013958</v>
      </c>
      <c r="K375">
        <v>1.6268767162361919</v>
      </c>
      <c r="L375">
        <v>0</v>
      </c>
      <c r="M375">
        <v>6.4536543654186533E-3</v>
      </c>
      <c r="N375">
        <v>0.12240486776902845</v>
      </c>
      <c r="O375">
        <v>3.0999130052679447E-2</v>
      </c>
      <c r="P375">
        <v>1.8621426747549335E-2</v>
      </c>
      <c r="Q375">
        <v>0</v>
      </c>
      <c r="R375">
        <v>6.4536543654186533E-3</v>
      </c>
      <c r="S375">
        <v>0.17012586219363909</v>
      </c>
      <c r="T375">
        <v>1.1940325861655534</v>
      </c>
      <c r="U375">
        <v>0</v>
      </c>
      <c r="V375">
        <v>1.5919529911504103E-2</v>
      </c>
      <c r="W375">
        <v>6.4056328983232866E-2</v>
      </c>
      <c r="X375">
        <v>-1.5858015556133916E-2</v>
      </c>
      <c r="Y375">
        <v>2.6574999969138969E-2</v>
      </c>
    </row>
    <row r="376" spans="1:25" x14ac:dyDescent="0.25">
      <c r="A376" s="879"/>
      <c r="B376" s="1133">
        <v>126</v>
      </c>
      <c r="C376" s="883">
        <v>0.97683923237069503</v>
      </c>
      <c r="D376" s="883">
        <v>0.99490000386362198</v>
      </c>
      <c r="E376" s="883">
        <v>0.98008881387728597</v>
      </c>
      <c r="F376" s="883">
        <v>0.9854210949207215</v>
      </c>
      <c r="G376" s="883">
        <v>0.99749206270061475</v>
      </c>
      <c r="H376" s="883">
        <v>0.99829963675346478</v>
      </c>
      <c r="I376" s="883">
        <v>1.001095292207665</v>
      </c>
      <c r="K376">
        <v>1.6041679023155617</v>
      </c>
      <c r="L376">
        <v>0</v>
      </c>
      <c r="M376">
        <v>6.681092337051206E-3</v>
      </c>
      <c r="N376">
        <v>0.12093785918512567</v>
      </c>
      <c r="O376">
        <v>3.1660509541935909E-2</v>
      </c>
      <c r="P376">
        <v>1.7887552743422002E-2</v>
      </c>
      <c r="Q376">
        <v>0</v>
      </c>
      <c r="R376">
        <v>6.681092337051206E-3</v>
      </c>
      <c r="S376">
        <v>0.17282072860448908</v>
      </c>
      <c r="T376">
        <v>1.1690300923751831</v>
      </c>
      <c r="U376">
        <v>0</v>
      </c>
      <c r="V376">
        <v>1.5983169172325264E-2</v>
      </c>
      <c r="W376">
        <v>6.4288449617774246E-2</v>
      </c>
      <c r="X376">
        <v>-1.5952007978564883E-2</v>
      </c>
      <c r="Y376">
        <v>2.7511549053871997E-2</v>
      </c>
    </row>
    <row r="377" spans="1:25" x14ac:dyDescent="0.25">
      <c r="A377" s="879"/>
      <c r="B377" s="1133">
        <v>127</v>
      </c>
      <c r="C377" s="883">
        <v>1.0300938899231948</v>
      </c>
      <c r="D377" s="883">
        <v>0.98738158451743252</v>
      </c>
      <c r="E377" s="883">
        <v>1.0119882915765279</v>
      </c>
      <c r="F377" s="883">
        <v>1.0244680677127029</v>
      </c>
      <c r="G377" s="883">
        <v>0.95828512296598967</v>
      </c>
      <c r="H377" s="883">
        <v>1.0054937368101595</v>
      </c>
      <c r="I377" s="883">
        <v>0.97756690129327484</v>
      </c>
      <c r="K377">
        <v>1.630470082963402</v>
      </c>
      <c r="L377">
        <v>0</v>
      </c>
      <c r="M377">
        <v>6.2270949456537513E-3</v>
      </c>
      <c r="N377">
        <v>0.11817630952326365</v>
      </c>
      <c r="O377">
        <v>3.0088803924709161E-2</v>
      </c>
      <c r="P377">
        <v>1.8773732896956496E-2</v>
      </c>
      <c r="Q377">
        <v>0</v>
      </c>
      <c r="R377">
        <v>6.2270949456537513E-3</v>
      </c>
      <c r="S377">
        <v>0.16053898874524658</v>
      </c>
      <c r="T377">
        <v>1.2147445785498481</v>
      </c>
      <c r="U377">
        <v>0</v>
      </c>
      <c r="V377">
        <v>1.5694643984412626E-2</v>
      </c>
      <c r="W377">
        <v>6.1831481496608359E-2</v>
      </c>
      <c r="X377">
        <v>-1.5020524762263704E-2</v>
      </c>
      <c r="Y377">
        <v>2.5642068604620535E-2</v>
      </c>
    </row>
    <row r="378" spans="1:25" x14ac:dyDescent="0.25">
      <c r="A378" s="879"/>
      <c r="B378" s="1133">
        <v>128</v>
      </c>
      <c r="C378" s="883">
        <v>0.9996372384337826</v>
      </c>
      <c r="D378" s="883">
        <v>0.99377614277446225</v>
      </c>
      <c r="E378" s="883">
        <v>1.0029085803505406</v>
      </c>
      <c r="F378" s="883">
        <v>1.0060617713818285</v>
      </c>
      <c r="G378" s="883">
        <v>0.9737803020682787</v>
      </c>
      <c r="H378" s="883">
        <v>0.96672013093390941</v>
      </c>
      <c r="I378" s="883">
        <v>0.98816400435352958</v>
      </c>
      <c r="K378">
        <v>1.61115124820096</v>
      </c>
      <c r="L378">
        <v>0</v>
      </c>
      <c r="M378">
        <v>6.2006552690255113E-3</v>
      </c>
      <c r="N378">
        <v>0.11610311314274563</v>
      </c>
      <c r="O378">
        <v>3.0933530755139133E-2</v>
      </c>
      <c r="P378">
        <v>1.8416583229753931E-2</v>
      </c>
      <c r="Q378">
        <v>0</v>
      </c>
      <c r="R378">
        <v>6.2006552690255113E-3</v>
      </c>
      <c r="S378">
        <v>0.1649185503151876</v>
      </c>
      <c r="T378">
        <v>1.1930891163619208</v>
      </c>
      <c r="U378">
        <v>0</v>
      </c>
      <c r="V378">
        <v>1.5855889987230316E-2</v>
      </c>
      <c r="W378">
        <v>6.1020463942054959E-2</v>
      </c>
      <c r="X378">
        <v>-1.4719194255425592E-2</v>
      </c>
      <c r="Y378">
        <v>2.5533194722352444E-2</v>
      </c>
    </row>
    <row r="379" spans="1:25" x14ac:dyDescent="0.25">
      <c r="A379" s="879"/>
      <c r="B379" s="1133">
        <v>129</v>
      </c>
      <c r="C379" s="883">
        <v>1.0170302029442182</v>
      </c>
      <c r="D379" s="883">
        <v>0.98055437854471272</v>
      </c>
      <c r="E379" s="883">
        <v>0.98994282607335715</v>
      </c>
      <c r="F379" s="883">
        <v>0.97417747323481541</v>
      </c>
      <c r="G379" s="883">
        <v>1.0309127603060821</v>
      </c>
      <c r="H379" s="883">
        <v>1.0172557674559324</v>
      </c>
      <c r="I379" s="883">
        <v>1.0047570126950465</v>
      </c>
      <c r="K379">
        <v>1.5818089150823316</v>
      </c>
      <c r="L379">
        <v>0</v>
      </c>
      <c r="M379">
        <v>6.5251295244185166E-3</v>
      </c>
      <c r="N379">
        <v>0.11985359038620855</v>
      </c>
      <c r="O379">
        <v>3.0578648623357848E-2</v>
      </c>
      <c r="P379">
        <v>1.7775063418169462E-2</v>
      </c>
      <c r="Q379">
        <v>0</v>
      </c>
      <c r="R379">
        <v>6.5251295244185166E-3</v>
      </c>
      <c r="S379">
        <v>0.16785254538811883</v>
      </c>
      <c r="T379">
        <v>1.1555124594336457</v>
      </c>
      <c r="U379">
        <v>0</v>
      </c>
      <c r="V379">
        <v>1.5762623982038201E-2</v>
      </c>
      <c r="W379">
        <v>6.3399130595921532E-2</v>
      </c>
      <c r="X379">
        <v>-1.5794468696924652E-2</v>
      </c>
      <c r="Y379">
        <v>2.6869321951796369E-2</v>
      </c>
    </row>
    <row r="380" spans="1:25" x14ac:dyDescent="0.25">
      <c r="A380" s="879"/>
      <c r="B380" s="1133">
        <v>130</v>
      </c>
      <c r="C380" s="883">
        <v>0.97623210746894262</v>
      </c>
      <c r="D380" s="883">
        <v>1.0025765902822716</v>
      </c>
      <c r="E380" s="883">
        <v>1.029581361053223</v>
      </c>
      <c r="F380" s="883">
        <v>0.97593988282553379</v>
      </c>
      <c r="G380" s="883">
        <v>1.0207765924154995</v>
      </c>
      <c r="H380" s="883">
        <v>0.98834549293558704</v>
      </c>
      <c r="I380" s="883">
        <v>1.0148065564508817</v>
      </c>
      <c r="K380">
        <v>1.5944766211599022</v>
      </c>
      <c r="L380">
        <v>0</v>
      </c>
      <c r="M380">
        <v>6.3166941016601823E-3</v>
      </c>
      <c r="N380">
        <v>0.12303728807217611</v>
      </c>
      <c r="O380">
        <v>3.1539132570976236E-2</v>
      </c>
      <c r="P380">
        <v>1.8427708651346106E-2</v>
      </c>
      <c r="Q380">
        <v>0</v>
      </c>
      <c r="R380">
        <v>6.3166941016601823E-3</v>
      </c>
      <c r="S380">
        <v>0.17467157922223106</v>
      </c>
      <c r="T380">
        <v>1.1568856253218411</v>
      </c>
      <c r="U380">
        <v>0</v>
      </c>
      <c r="V380">
        <v>1.5986639958879896E-2</v>
      </c>
      <c r="W380">
        <v>6.3819512386300792E-2</v>
      </c>
      <c r="X380">
        <v>-1.5901887004849229E-2</v>
      </c>
      <c r="Y380">
        <v>2.6011021980999766E-2</v>
      </c>
    </row>
    <row r="381" spans="1:25" x14ac:dyDescent="0.25">
      <c r="A381" s="879"/>
      <c r="B381" s="1133">
        <v>131</v>
      </c>
      <c r="C381" s="883">
        <v>1.0010661823890912</v>
      </c>
      <c r="D381" s="883">
        <v>0.98514801081870895</v>
      </c>
      <c r="E381" s="883">
        <v>0.98547976713918883</v>
      </c>
      <c r="F381" s="883">
        <v>1.0086701939280813</v>
      </c>
      <c r="G381" s="883">
        <v>1.0019427068825271</v>
      </c>
      <c r="H381" s="883">
        <v>0.99746397672413178</v>
      </c>
      <c r="I381" s="883">
        <v>1.0182292735052956</v>
      </c>
      <c r="K381">
        <v>1.6264964808416005</v>
      </c>
      <c r="L381">
        <v>0</v>
      </c>
      <c r="M381">
        <v>6.5119630322455768E-3</v>
      </c>
      <c r="N381">
        <v>0.1188227756405196</v>
      </c>
      <c r="O381">
        <v>3.1011918646949264E-2</v>
      </c>
      <c r="P381">
        <v>1.8307146994884886E-2</v>
      </c>
      <c r="Q381">
        <v>0</v>
      </c>
      <c r="R381">
        <v>6.5119630322455768E-3</v>
      </c>
      <c r="S381">
        <v>0.17158407695854996</v>
      </c>
      <c r="T381">
        <v>1.1965096196567966</v>
      </c>
      <c r="U381">
        <v>0</v>
      </c>
      <c r="V381">
        <v>1.5848105392281674E-2</v>
      </c>
      <c r="W381">
        <v>6.2994032416559612E-2</v>
      </c>
      <c r="X381">
        <v>-1.5396299545517224E-2</v>
      </c>
      <c r="Y381">
        <v>2.6815104680576452E-2</v>
      </c>
    </row>
    <row r="382" spans="1:25" x14ac:dyDescent="0.25">
      <c r="A382" s="879"/>
      <c r="B382" s="1133">
        <v>132</v>
      </c>
      <c r="C382" s="883">
        <v>1.0232393030196298</v>
      </c>
      <c r="D382" s="883">
        <v>1.0139904449270292</v>
      </c>
      <c r="E382" s="883">
        <v>1.0223844997431213</v>
      </c>
      <c r="F382" s="883">
        <v>0.99890054411068474</v>
      </c>
      <c r="G382" s="883">
        <v>1.0084633074974971</v>
      </c>
      <c r="H382" s="883">
        <v>0.99135706187806871</v>
      </c>
      <c r="I382" s="883">
        <v>1.0474174033250749</v>
      </c>
      <c r="K382">
        <v>1.6082320894559634</v>
      </c>
      <c r="L382">
        <v>0</v>
      </c>
      <c r="M382">
        <v>6.0524783950076568E-3</v>
      </c>
      <c r="N382">
        <v>0.11664297607012995</v>
      </c>
      <c r="O382">
        <v>2.996077396077618E-2</v>
      </c>
      <c r="P382">
        <v>1.8662572816229694E-2</v>
      </c>
      <c r="Q382">
        <v>0</v>
      </c>
      <c r="R382">
        <v>6.0524783950076568E-3</v>
      </c>
      <c r="S382">
        <v>0.17205967382752663</v>
      </c>
      <c r="T382">
        <v>1.1842361299372655</v>
      </c>
      <c r="U382">
        <v>0</v>
      </c>
      <c r="V382">
        <v>1.5730097009950747E-2</v>
      </c>
      <c r="W382">
        <v>6.0717124546038129E-2</v>
      </c>
      <c r="X382">
        <v>-1.4700287441601007E-2</v>
      </c>
      <c r="Y382">
        <v>2.4923028729647301E-2</v>
      </c>
    </row>
    <row r="383" spans="1:25" x14ac:dyDescent="0.25">
      <c r="A383" s="879"/>
      <c r="B383" s="1133">
        <v>133</v>
      </c>
      <c r="C383" s="883">
        <v>1.0053741886798595</v>
      </c>
      <c r="D383" s="883">
        <v>0.9857645896034879</v>
      </c>
      <c r="E383" s="883">
        <v>1.0247838882397495</v>
      </c>
      <c r="F383" s="883">
        <v>0.95423331837118885</v>
      </c>
      <c r="G383" s="883">
        <v>1.0026563366609387</v>
      </c>
      <c r="H383" s="883">
        <v>0.99280762907519504</v>
      </c>
      <c r="I383" s="883">
        <v>0.97539501743132406</v>
      </c>
      <c r="K383">
        <v>1.5524327195690961</v>
      </c>
      <c r="L383">
        <v>0</v>
      </c>
      <c r="M383">
        <v>6.2341023162246177E-3</v>
      </c>
      <c r="N383">
        <v>0.12057030021707815</v>
      </c>
      <c r="O383">
        <v>3.0837253989839525E-2</v>
      </c>
      <c r="P383">
        <v>1.7857412347032621E-2</v>
      </c>
      <c r="Q383">
        <v>0</v>
      </c>
      <c r="R383">
        <v>6.2341023162246177E-3</v>
      </c>
      <c r="S383">
        <v>0.16343274579935471</v>
      </c>
      <c r="T383">
        <v>1.1312390517793962</v>
      </c>
      <c r="U383">
        <v>0</v>
      </c>
      <c r="V383">
        <v>1.5824770175053779E-2</v>
      </c>
      <c r="W383">
        <v>6.2687419777312556E-2</v>
      </c>
      <c r="X383">
        <v>-1.5687158225337255E-2</v>
      </c>
      <c r="Y383">
        <v>2.5670923709365894E-2</v>
      </c>
    </row>
    <row r="384" spans="1:25" x14ac:dyDescent="0.25">
      <c r="A384" s="879"/>
      <c r="B384" s="1133">
        <v>134</v>
      </c>
      <c r="C384" s="883">
        <v>0.97514511531151082</v>
      </c>
      <c r="D384" s="883">
        <v>0.96500664331935149</v>
      </c>
      <c r="E384" s="883">
        <v>1.0087738682197125</v>
      </c>
      <c r="F384" s="883">
        <v>0.98663597130755842</v>
      </c>
      <c r="G384" s="883">
        <v>1.0325250317934853</v>
      </c>
      <c r="H384" s="883">
        <v>1.0190315680839306</v>
      </c>
      <c r="I384" s="883">
        <v>1.0411757711679452</v>
      </c>
      <c r="K384">
        <v>1.6234930410292856</v>
      </c>
      <c r="L384">
        <v>0</v>
      </c>
      <c r="M384">
        <v>6.7541168047761261E-3</v>
      </c>
      <c r="N384">
        <v>0.12756952384286091</v>
      </c>
      <c r="O384">
        <v>3.2079994181137043E-2</v>
      </c>
      <c r="P384">
        <v>1.8415250098612258E-2</v>
      </c>
      <c r="Q384">
        <v>0</v>
      </c>
      <c r="R384">
        <v>6.7541168047761261E-3</v>
      </c>
      <c r="S384">
        <v>0.18173112131720415</v>
      </c>
      <c r="T384">
        <v>1.1699446486210867</v>
      </c>
      <c r="U384">
        <v>0</v>
      </c>
      <c r="V384">
        <v>1.5992864826426624E-2</v>
      </c>
      <c r="W384">
        <v>6.685232771582196E-2</v>
      </c>
      <c r="X384">
        <v>-1.6904940387958083E-2</v>
      </c>
      <c r="Y384">
        <v>2.7812250814092502E-2</v>
      </c>
    </row>
    <row r="385" spans="1:25" x14ac:dyDescent="0.25">
      <c r="A385" s="879"/>
      <c r="B385" s="1133">
        <v>135</v>
      </c>
      <c r="C385" s="883">
        <v>0.98873382355623085</v>
      </c>
      <c r="D385" s="883">
        <v>0.97888082459289638</v>
      </c>
      <c r="E385" s="883">
        <v>0.99351146210476282</v>
      </c>
      <c r="F385" s="883">
        <v>0.98398543263430427</v>
      </c>
      <c r="G385" s="883">
        <v>0.99943553787418493</v>
      </c>
      <c r="H385" s="883">
        <v>1.0072698563186224</v>
      </c>
      <c r="I385" s="883">
        <v>1.0000008211974387</v>
      </c>
      <c r="K385">
        <v>1.6020056242240384</v>
      </c>
      <c r="L385">
        <v>0</v>
      </c>
      <c r="M385">
        <v>6.6303720606290251E-3</v>
      </c>
      <c r="N385">
        <v>0.12243265756448408</v>
      </c>
      <c r="O385">
        <v>3.1472261449339491E-2</v>
      </c>
      <c r="P385">
        <v>1.8025101146822792E-2</v>
      </c>
      <c r="Q385">
        <v>0</v>
      </c>
      <c r="R385">
        <v>6.6303720606290251E-3</v>
      </c>
      <c r="S385">
        <v>0.17127075393126823</v>
      </c>
      <c r="T385">
        <v>1.1670806994239233</v>
      </c>
      <c r="U385">
        <v>0</v>
      </c>
      <c r="V385">
        <v>1.5916030449386078E-2</v>
      </c>
      <c r="W385">
        <v>6.4648316739763997E-2</v>
      </c>
      <c r="X385">
        <v>-1.6142888464390538E-2</v>
      </c>
      <c r="Y385">
        <v>2.7302691983438123E-2</v>
      </c>
    </row>
    <row r="386" spans="1:25" x14ac:dyDescent="0.25">
      <c r="A386" s="879"/>
      <c r="B386" s="1133">
        <v>136</v>
      </c>
      <c r="C386" s="883">
        <v>0.95826868014161348</v>
      </c>
      <c r="D386" s="883">
        <v>0.98971085648958468</v>
      </c>
      <c r="E386" s="883">
        <v>0.98938164132650674</v>
      </c>
      <c r="F386" s="883">
        <v>1.0155177945279332</v>
      </c>
      <c r="G386" s="883">
        <v>1.0152018847485884</v>
      </c>
      <c r="H386" s="883">
        <v>1.0377249168198741</v>
      </c>
      <c r="I386" s="883">
        <v>1.0344652906114236</v>
      </c>
      <c r="K386">
        <v>1.6654863722790783</v>
      </c>
      <c r="L386">
        <v>0</v>
      </c>
      <c r="M386">
        <v>7.038796134960076E-3</v>
      </c>
      <c r="N386">
        <v>0.12918109334698763</v>
      </c>
      <c r="O386">
        <v>3.2333793910605375E-2</v>
      </c>
      <c r="P386">
        <v>1.864481059670044E-2</v>
      </c>
      <c r="Q386">
        <v>0</v>
      </c>
      <c r="R386">
        <v>7.038796134960076E-3</v>
      </c>
      <c r="S386">
        <v>0.1845896771895518</v>
      </c>
      <c r="T386">
        <v>1.2045585530436154</v>
      </c>
      <c r="U386">
        <v>0</v>
      </c>
      <c r="V386">
        <v>1.6091322645783133E-2</v>
      </c>
      <c r="W386">
        <v>6.8352241568020125E-2</v>
      </c>
      <c r="X386">
        <v>-1.7249629646943522E-2</v>
      </c>
      <c r="Y386">
        <v>2.8984509624758171E-2</v>
      </c>
    </row>
    <row r="387" spans="1:25" x14ac:dyDescent="0.25">
      <c r="A387" s="879"/>
      <c r="B387" s="1133">
        <v>137</v>
      </c>
      <c r="C387" s="883">
        <v>1.0266246852621796</v>
      </c>
      <c r="D387" s="883">
        <v>0.98738741169215527</v>
      </c>
      <c r="E387" s="883">
        <v>1.0159756013753931</v>
      </c>
      <c r="F387" s="883">
        <v>0.99149224772347622</v>
      </c>
      <c r="G387" s="883">
        <v>1.0242524665057586</v>
      </c>
      <c r="H387" s="883">
        <v>1.009198896142836</v>
      </c>
      <c r="I387" s="883">
        <v>0.98609953112431337</v>
      </c>
      <c r="K387">
        <v>1.5944590071627105</v>
      </c>
      <c r="L387">
        <v>0</v>
      </c>
      <c r="M387">
        <v>6.2493065751773559E-3</v>
      </c>
      <c r="N387">
        <v>0.11929975294895949</v>
      </c>
      <c r="O387">
        <v>3.0186928412925175E-2</v>
      </c>
      <c r="P387">
        <v>1.8329213644335325E-2</v>
      </c>
      <c r="Q387">
        <v>0</v>
      </c>
      <c r="R387">
        <v>6.2493065751773559E-3</v>
      </c>
      <c r="S387">
        <v>0.16269908035515851</v>
      </c>
      <c r="T387">
        <v>1.1755708619231648</v>
      </c>
      <c r="U387">
        <v>0</v>
      </c>
      <c r="V387">
        <v>1.5712528099187783E-2</v>
      </c>
      <c r="W387">
        <v>6.2296502806151864E-2</v>
      </c>
      <c r="X387">
        <v>-1.5369393168649242E-2</v>
      </c>
      <c r="Y387">
        <v>2.5733532141476056E-2</v>
      </c>
    </row>
    <row r="388" spans="1:25" x14ac:dyDescent="0.25">
      <c r="A388" s="879"/>
      <c r="B388" s="1133">
        <v>138</v>
      </c>
      <c r="C388" s="883">
        <v>1.0047755997021688</v>
      </c>
      <c r="D388" s="883">
        <v>0.96568341872687236</v>
      </c>
      <c r="E388" s="883">
        <v>0.98238839853926962</v>
      </c>
      <c r="F388" s="883">
        <v>1.0004271962994773</v>
      </c>
      <c r="G388" s="883">
        <v>0.99865034592358026</v>
      </c>
      <c r="H388" s="883">
        <v>0.99705113346726693</v>
      </c>
      <c r="I388" s="883">
        <v>0.98262269593446439</v>
      </c>
      <c r="K388">
        <v>1.6108657484633007</v>
      </c>
      <c r="L388">
        <v>0</v>
      </c>
      <c r="M388">
        <v>6.5609669208051558E-3</v>
      </c>
      <c r="N388">
        <v>0.11916926498683257</v>
      </c>
      <c r="O388">
        <v>3.1147559384287114E-2</v>
      </c>
      <c r="P388">
        <v>1.8050154900341415E-2</v>
      </c>
      <c r="Q388">
        <v>0</v>
      </c>
      <c r="R388">
        <v>6.5609669208051558E-3</v>
      </c>
      <c r="S388">
        <v>0.16515180074860386</v>
      </c>
      <c r="T388">
        <v>1.1867892667791466</v>
      </c>
      <c r="U388">
        <v>0</v>
      </c>
      <c r="V388">
        <v>1.5828000587280355E-2</v>
      </c>
      <c r="W388">
        <v>6.3275433950238671E-2</v>
      </c>
      <c r="X388">
        <v>-1.5562626844727629E-2</v>
      </c>
      <c r="Y388">
        <v>2.7016893971297799E-2</v>
      </c>
    </row>
    <row r="389" spans="1:25" x14ac:dyDescent="0.25">
      <c r="A389" s="879"/>
      <c r="B389" s="1133">
        <v>139</v>
      </c>
      <c r="C389" s="883">
        <v>0.98763100734484033</v>
      </c>
      <c r="D389" s="883">
        <v>0.97418723295793586</v>
      </c>
      <c r="E389" s="883">
        <v>0.98126860611360911</v>
      </c>
      <c r="F389" s="883">
        <v>0.97187088514681186</v>
      </c>
      <c r="G389" s="883">
        <v>1.0063037397265189</v>
      </c>
      <c r="H389" s="883">
        <v>0.99271243701824941</v>
      </c>
      <c r="I389" s="883">
        <v>0.96645858285447006</v>
      </c>
      <c r="K389">
        <v>1.5783129216410727</v>
      </c>
      <c r="L389">
        <v>0</v>
      </c>
      <c r="M389">
        <v>6.6262966509157599E-3</v>
      </c>
      <c r="N389">
        <v>0.12015610526790477</v>
      </c>
      <c r="O389">
        <v>3.1578237973612484E-2</v>
      </c>
      <c r="P389">
        <v>1.7586400961629729E-2</v>
      </c>
      <c r="Q389">
        <v>0</v>
      </c>
      <c r="R389">
        <v>6.6262966509157599E-3</v>
      </c>
      <c r="S389">
        <v>0.16491317646879539</v>
      </c>
      <c r="T389">
        <v>1.1529337274199962</v>
      </c>
      <c r="U389">
        <v>0</v>
      </c>
      <c r="V389">
        <v>1.5922187249796649E-2</v>
      </c>
      <c r="W389">
        <v>6.383517265929603E-2</v>
      </c>
      <c r="X389">
        <v>-1.5897996531594506E-2</v>
      </c>
      <c r="Y389">
        <v>2.7285910171634776E-2</v>
      </c>
    </row>
    <row r="390" spans="1:25" x14ac:dyDescent="0.25">
      <c r="A390" s="879"/>
      <c r="B390" s="1133">
        <v>140</v>
      </c>
      <c r="C390" s="883">
        <v>1.0005850384709967</v>
      </c>
      <c r="D390" s="883">
        <v>0.96504062255863765</v>
      </c>
      <c r="E390" s="883">
        <v>1.0315971848387653</v>
      </c>
      <c r="F390" s="883">
        <v>1.0169485415812003</v>
      </c>
      <c r="G390" s="883">
        <v>1.0208372583915271</v>
      </c>
      <c r="H390" s="883">
        <v>1.0179403901673643</v>
      </c>
      <c r="I390" s="883">
        <v>0.99172042235626767</v>
      </c>
      <c r="K390">
        <v>1.6416741463264495</v>
      </c>
      <c r="L390">
        <v>0</v>
      </c>
      <c r="M390">
        <v>6.4451638188658036E-3</v>
      </c>
      <c r="N390">
        <v>0.12591425841088658</v>
      </c>
      <c r="O390">
        <v>3.1242871105879727E-2</v>
      </c>
      <c r="P390">
        <v>1.9035855239464425E-2</v>
      </c>
      <c r="Q390">
        <v>0</v>
      </c>
      <c r="R390">
        <v>6.4451638188658036E-3</v>
      </c>
      <c r="S390">
        <v>0.16865841089833999</v>
      </c>
      <c r="T390">
        <v>1.2054597394935922</v>
      </c>
      <c r="U390">
        <v>0</v>
      </c>
      <c r="V390">
        <v>1.5850724083225527E-2</v>
      </c>
      <c r="W390">
        <v>6.5247256854837787E-2</v>
      </c>
      <c r="X390">
        <v>-1.6275007169472739E-2</v>
      </c>
      <c r="Y390">
        <v>2.6540037409695284E-2</v>
      </c>
    </row>
    <row r="391" spans="1:25" x14ac:dyDescent="0.25">
      <c r="A391" s="879"/>
      <c r="B391" s="1133">
        <v>141</v>
      </c>
      <c r="C391" s="883">
        <v>1.0053732218995299</v>
      </c>
      <c r="D391" s="883">
        <v>1.0087346325621982</v>
      </c>
      <c r="E391" s="883">
        <v>0.98162440239271276</v>
      </c>
      <c r="F391" s="883">
        <v>0.9808367489537454</v>
      </c>
      <c r="G391" s="883">
        <v>1.0068916493777995</v>
      </c>
      <c r="H391" s="883">
        <v>1.0014540905337772</v>
      </c>
      <c r="I391" s="883">
        <v>0.99389372128221132</v>
      </c>
      <c r="K391">
        <v>1.5853265265540655</v>
      </c>
      <c r="L391">
        <v>0</v>
      </c>
      <c r="M391">
        <v>6.463342662821208E-3</v>
      </c>
      <c r="N391">
        <v>0.11726310326886054</v>
      </c>
      <c r="O391">
        <v>3.0591269121072538E-2</v>
      </c>
      <c r="P391">
        <v>1.7754387926032584E-2</v>
      </c>
      <c r="Q391">
        <v>0</v>
      </c>
      <c r="R391">
        <v>6.463342662821208E-3</v>
      </c>
      <c r="S391">
        <v>0.16675191974932746</v>
      </c>
      <c r="T391">
        <v>1.163563447945055</v>
      </c>
      <c r="U391">
        <v>0</v>
      </c>
      <c r="V391">
        <v>1.5824775389387247E-2</v>
      </c>
      <c r="W391">
        <v>6.2287120450589949E-2</v>
      </c>
      <c r="X391">
        <v>-1.5324391949650115E-2</v>
      </c>
      <c r="Y391">
        <v>2.6614894653390044E-2</v>
      </c>
    </row>
    <row r="392" spans="1:25" x14ac:dyDescent="0.25">
      <c r="A392" s="879"/>
      <c r="B392" s="1133">
        <v>142</v>
      </c>
      <c r="C392" s="883">
        <v>0.97679755806995605</v>
      </c>
      <c r="D392" s="883">
        <v>1.0095254999546657</v>
      </c>
      <c r="E392" s="883">
        <v>1.0209451988406575</v>
      </c>
      <c r="F392" s="883">
        <v>0.99425040157067923</v>
      </c>
      <c r="G392" s="883">
        <v>0.97547713877480491</v>
      </c>
      <c r="H392" s="883">
        <v>0.98725595571589397</v>
      </c>
      <c r="I392" s="883">
        <v>1.0297052997686877</v>
      </c>
      <c r="K392">
        <v>1.6175110381512394</v>
      </c>
      <c r="L392">
        <v>0</v>
      </c>
      <c r="M392">
        <v>6.3344247052017355E-3</v>
      </c>
      <c r="N392">
        <v>0.12181701710729616</v>
      </c>
      <c r="O392">
        <v>3.1442048783789776E-2</v>
      </c>
      <c r="P392">
        <v>1.8638578112129135E-2</v>
      </c>
      <c r="Q392">
        <v>0</v>
      </c>
      <c r="R392">
        <v>6.3344247052017355E-3</v>
      </c>
      <c r="S392">
        <v>0.17698630322881445</v>
      </c>
      <c r="T392">
        <v>1.1787496611933694</v>
      </c>
      <c r="U392">
        <v>0</v>
      </c>
      <c r="V392">
        <v>1.5983407276331952E-2</v>
      </c>
      <c r="W392">
        <v>6.3455353251585453E-2</v>
      </c>
      <c r="X392">
        <v>-1.5645364252531217E-2</v>
      </c>
      <c r="Y392">
        <v>2.6084033450454094E-2</v>
      </c>
    </row>
    <row r="393" spans="1:25" x14ac:dyDescent="0.25">
      <c r="A393" s="879"/>
      <c r="B393" s="1133">
        <v>143</v>
      </c>
      <c r="C393" s="883">
        <v>1.0012721210766584</v>
      </c>
      <c r="D393" s="883">
        <v>1.0163710476006655</v>
      </c>
      <c r="E393" s="883">
        <v>1.0166671277762374</v>
      </c>
      <c r="F393" s="883">
        <v>0.97281709236211589</v>
      </c>
      <c r="G393" s="883">
        <v>0.96889180129970487</v>
      </c>
      <c r="H393" s="883">
        <v>0.99293357698308926</v>
      </c>
      <c r="I393" s="883">
        <v>0.96881947506905242</v>
      </c>
      <c r="K393">
        <v>1.5717620498601916</v>
      </c>
      <c r="L393">
        <v>0</v>
      </c>
      <c r="M393">
        <v>6.2196827312531108E-3</v>
      </c>
      <c r="N393">
        <v>0.1188557880064826</v>
      </c>
      <c r="O393">
        <v>3.0594535292094601E-2</v>
      </c>
      <c r="P393">
        <v>1.8040524128024527E-2</v>
      </c>
      <c r="Q393">
        <v>0</v>
      </c>
      <c r="R393">
        <v>6.2196827312531108E-3</v>
      </c>
      <c r="S393">
        <v>0.16269991232578754</v>
      </c>
      <c r="T393">
        <v>1.1534160573278116</v>
      </c>
      <c r="U393">
        <v>0</v>
      </c>
      <c r="V393">
        <v>1.5846985312218301E-2</v>
      </c>
      <c r="W393">
        <v>6.2043501159167701E-2</v>
      </c>
      <c r="X393">
        <v>-1.5346800116438249E-2</v>
      </c>
      <c r="Y393">
        <v>2.5611546425043676E-2</v>
      </c>
    </row>
    <row r="394" spans="1:25" x14ac:dyDescent="0.25">
      <c r="A394" s="879"/>
      <c r="B394" s="1133">
        <v>144</v>
      </c>
      <c r="C394" s="883">
        <v>0.98282745349381173</v>
      </c>
      <c r="D394" s="883">
        <v>0.99137290316022253</v>
      </c>
      <c r="E394" s="883">
        <v>1.0409042751884938</v>
      </c>
      <c r="F394" s="883">
        <v>0.96170853258264033</v>
      </c>
      <c r="G394" s="883">
        <v>1.0371120655178669</v>
      </c>
      <c r="H394" s="883">
        <v>1.0214609447360086</v>
      </c>
      <c r="I394" s="883">
        <v>1.0139800235681922</v>
      </c>
      <c r="K394">
        <v>1.5845479329633561</v>
      </c>
      <c r="L394">
        <v>0</v>
      </c>
      <c r="M394">
        <v>6.452735524683474E-3</v>
      </c>
      <c r="N394">
        <v>0.12780768109173712</v>
      </c>
      <c r="O394">
        <v>3.1457608355177018E-2</v>
      </c>
      <c r="P394">
        <v>1.8356939888563035E-2</v>
      </c>
      <c r="Q394">
        <v>0</v>
      </c>
      <c r="R394">
        <v>6.452735524683474E-3</v>
      </c>
      <c r="S394">
        <v>0.17547469724652334</v>
      </c>
      <c r="T394">
        <v>1.1398150041076087</v>
      </c>
      <c r="U394">
        <v>0</v>
      </c>
      <c r="V394">
        <v>1.5949165682075318E-2</v>
      </c>
      <c r="W394">
        <v>6.5927467567650222E-2</v>
      </c>
      <c r="X394">
        <v>-1.681184732251825E-2</v>
      </c>
      <c r="Y394">
        <v>2.6571216346539066E-2</v>
      </c>
    </row>
    <row r="395" spans="1:25" x14ac:dyDescent="0.25">
      <c r="A395" s="879"/>
      <c r="B395" s="1133">
        <v>145</v>
      </c>
      <c r="C395" s="883">
        <v>1.0025431887432661</v>
      </c>
      <c r="D395" s="883">
        <v>0.95448078021662264</v>
      </c>
      <c r="E395" s="883">
        <v>0.99058071545848636</v>
      </c>
      <c r="F395" s="883">
        <v>1.0059317251577862</v>
      </c>
      <c r="G395" s="883">
        <v>0.99976643774004825</v>
      </c>
      <c r="H395" s="883">
        <v>0.99972547802604272</v>
      </c>
      <c r="I395" s="883">
        <v>0.97403558019552283</v>
      </c>
      <c r="K395">
        <v>1.6192156132192144</v>
      </c>
      <c r="L395">
        <v>0</v>
      </c>
      <c r="M395">
        <v>6.580507480422302E-3</v>
      </c>
      <c r="N395">
        <v>0.12098513475782927</v>
      </c>
      <c r="O395">
        <v>3.135620315202723E-2</v>
      </c>
      <c r="P395">
        <v>1.8238189072585773E-2</v>
      </c>
      <c r="Q395">
        <v>0</v>
      </c>
      <c r="R395">
        <v>6.580507480422302E-3</v>
      </c>
      <c r="S395">
        <v>0.16435847311545335</v>
      </c>
      <c r="T395">
        <v>1.1931655466815001</v>
      </c>
      <c r="U395">
        <v>0</v>
      </c>
      <c r="V395">
        <v>1.5840082286403746E-2</v>
      </c>
      <c r="W395">
        <v>6.3977333386649682E-2</v>
      </c>
      <c r="X395">
        <v>-1.580270775094593E-2</v>
      </c>
      <c r="Y395">
        <v>2.7097358517711247E-2</v>
      </c>
    </row>
    <row r="396" spans="1:25" x14ac:dyDescent="0.25">
      <c r="A396" s="879"/>
      <c r="B396" s="1133">
        <v>146</v>
      </c>
      <c r="C396" s="883">
        <v>0.96768064434828893</v>
      </c>
      <c r="D396" s="883">
        <v>1.002410818090393</v>
      </c>
      <c r="E396" s="883">
        <v>0.97393257936005617</v>
      </c>
      <c r="F396" s="883">
        <v>1.0124165034520114</v>
      </c>
      <c r="G396" s="883">
        <v>0.98529917101578202</v>
      </c>
      <c r="H396" s="883">
        <v>1.0247905779026547</v>
      </c>
      <c r="I396" s="883">
        <v>0.9983487388098955</v>
      </c>
      <c r="K396">
        <v>1.6456121386368654</v>
      </c>
      <c r="L396">
        <v>0</v>
      </c>
      <c r="M396">
        <v>6.9372188910388844E-3</v>
      </c>
      <c r="N396">
        <v>0.12443212771647949</v>
      </c>
      <c r="O396">
        <v>3.1869136836033353E-2</v>
      </c>
      <c r="P396">
        <v>1.8259428072476228E-2</v>
      </c>
      <c r="Q396">
        <v>0</v>
      </c>
      <c r="R396">
        <v>6.9372188910388844E-3</v>
      </c>
      <c r="S396">
        <v>0.1754748482121849</v>
      </c>
      <c r="T396">
        <v>1.2011718925159078</v>
      </c>
      <c r="U396">
        <v>0</v>
      </c>
      <c r="V396">
        <v>1.6035989296363583E-2</v>
      </c>
      <c r="W396">
        <v>6.6350400390010542E-2</v>
      </c>
      <c r="X396">
        <v>-1.6547917016956348E-2</v>
      </c>
      <c r="Y396">
        <v>2.8566232614366128E-2</v>
      </c>
    </row>
    <row r="397" spans="1:25" x14ac:dyDescent="0.25">
      <c r="A397" s="879"/>
      <c r="B397" s="1133">
        <v>147</v>
      </c>
      <c r="C397" s="883">
        <v>1.0361954660462835</v>
      </c>
      <c r="D397" s="883">
        <v>0.97560979057626418</v>
      </c>
      <c r="E397" s="883">
        <v>0.98534833450427006</v>
      </c>
      <c r="F397" s="883">
        <v>0.96705245562929876</v>
      </c>
      <c r="G397" s="883">
        <v>0.99293847509095956</v>
      </c>
      <c r="H397" s="883">
        <v>0.96611216948504619</v>
      </c>
      <c r="I397" s="883">
        <v>0.97302326856889321</v>
      </c>
      <c r="K397">
        <v>1.5488669610397252</v>
      </c>
      <c r="L397">
        <v>0</v>
      </c>
      <c r="M397">
        <v>6.1206840160352065E-3</v>
      </c>
      <c r="N397">
        <v>0.11166140055839174</v>
      </c>
      <c r="O397">
        <v>3.0077474815171559E-2</v>
      </c>
      <c r="P397">
        <v>1.7453892170439897E-2</v>
      </c>
      <c r="Q397">
        <v>0</v>
      </c>
      <c r="R397">
        <v>6.1206840160352065E-3</v>
      </c>
      <c r="S397">
        <v>0.1567773727750135</v>
      </c>
      <c r="T397">
        <v>1.1471439958474343</v>
      </c>
      <c r="U397">
        <v>0</v>
      </c>
      <c r="V397">
        <v>1.5663480244145378E-2</v>
      </c>
      <c r="W397">
        <v>5.920130837992197E-2</v>
      </c>
      <c r="X397">
        <v>-1.4315851087684959E-2</v>
      </c>
      <c r="Y397">
        <v>2.520388733689078E-2</v>
      </c>
    </row>
    <row r="398" spans="1:25" x14ac:dyDescent="0.25">
      <c r="A398" s="879"/>
      <c r="B398" s="1133">
        <v>148</v>
      </c>
      <c r="C398" s="883">
        <v>1.0288016371695885</v>
      </c>
      <c r="D398" s="883">
        <v>1.0047555428614867</v>
      </c>
      <c r="E398" s="883">
        <v>1.0397062210204711</v>
      </c>
      <c r="F398" s="883">
        <v>0.99710355601697054</v>
      </c>
      <c r="G398" s="883">
        <v>1.0117293723956411</v>
      </c>
      <c r="H398" s="883">
        <v>1.0232422770536655</v>
      </c>
      <c r="I398" s="883">
        <v>1.0184308621895415</v>
      </c>
      <c r="K398">
        <v>1.6085110123012161</v>
      </c>
      <c r="L398">
        <v>0</v>
      </c>
      <c r="M398">
        <v>6.1447604714286374E-3</v>
      </c>
      <c r="N398">
        <v>0.1214925131113756</v>
      </c>
      <c r="O398">
        <v>2.9892230200245909E-2</v>
      </c>
      <c r="P398">
        <v>1.8816908238448286E-2</v>
      </c>
      <c r="Q398">
        <v>0</v>
      </c>
      <c r="R398">
        <v>6.1447604714286374E-3</v>
      </c>
      <c r="S398">
        <v>0.16832701990254251</v>
      </c>
      <c r="T398">
        <v>1.1817871026588429</v>
      </c>
      <c r="U398">
        <v>0</v>
      </c>
      <c r="V398">
        <v>1.5701291587019044E-2</v>
      </c>
      <c r="W398">
        <v>6.2706583453405004E-2</v>
      </c>
      <c r="X398">
        <v>-1.5515666745415411E-2</v>
      </c>
      <c r="Y398">
        <v>2.5303029894751614E-2</v>
      </c>
    </row>
    <row r="399" spans="1:25" x14ac:dyDescent="0.25">
      <c r="A399" s="879"/>
      <c r="B399" s="1133">
        <v>149</v>
      </c>
      <c r="C399" s="883">
        <v>0.9806012787387437</v>
      </c>
      <c r="D399" s="883">
        <v>1.030881281057427</v>
      </c>
      <c r="E399" s="883">
        <v>1.0211220957836018</v>
      </c>
      <c r="F399" s="883">
        <v>0.98018391829602203</v>
      </c>
      <c r="G399" s="883">
        <v>1.0012479557200757</v>
      </c>
      <c r="H399" s="883">
        <v>0.98990441028781795</v>
      </c>
      <c r="I399" s="883">
        <v>1.0228852197759157</v>
      </c>
      <c r="K399">
        <v>1.5962079099019921</v>
      </c>
      <c r="L399">
        <v>0</v>
      </c>
      <c r="M399">
        <v>6.2670767696044252E-3</v>
      </c>
      <c r="N399">
        <v>0.12055339229286792</v>
      </c>
      <c r="O399">
        <v>3.1058760690741379E-2</v>
      </c>
      <c r="P399">
        <v>1.8388224932827258E-2</v>
      </c>
      <c r="Q399">
        <v>0</v>
      </c>
      <c r="R399">
        <v>6.2670767696044252E-3</v>
      </c>
      <c r="S399">
        <v>0.17508362701644606</v>
      </c>
      <c r="T399">
        <v>1.1620697077524449</v>
      </c>
      <c r="U399">
        <v>0</v>
      </c>
      <c r="V399">
        <v>1.5961758286474424E-2</v>
      </c>
      <c r="W399">
        <v>6.2791652587762564E-2</v>
      </c>
      <c r="X399">
        <v>-1.5505920296721969E-2</v>
      </c>
      <c r="Y399">
        <v>2.5806706639150041E-2</v>
      </c>
    </row>
    <row r="400" spans="1:25" x14ac:dyDescent="0.25">
      <c r="A400" s="879"/>
      <c r="B400" s="1133">
        <v>150</v>
      </c>
      <c r="C400" s="883">
        <v>1.0295508095585131</v>
      </c>
      <c r="D400" s="883">
        <v>0.98990725785680733</v>
      </c>
      <c r="E400" s="883">
        <v>1.0148792768974402</v>
      </c>
      <c r="F400" s="883">
        <v>0.98308885460170203</v>
      </c>
      <c r="G400" s="883">
        <v>0.99734656960091361</v>
      </c>
      <c r="H400" s="883">
        <v>1.0094542312660932</v>
      </c>
      <c r="I400" s="883">
        <v>0.97352999593541056</v>
      </c>
      <c r="K400">
        <v>1.5808500013973044</v>
      </c>
      <c r="L400">
        <v>0</v>
      </c>
      <c r="M400">
        <v>6.2320106220011525E-3</v>
      </c>
      <c r="N400">
        <v>0.1187767203623645</v>
      </c>
      <c r="O400">
        <v>3.0071418084440218E-2</v>
      </c>
      <c r="P400">
        <v>1.8145071394517803E-2</v>
      </c>
      <c r="Q400">
        <v>0</v>
      </c>
      <c r="R400">
        <v>6.2320106220011525E-3</v>
      </c>
      <c r="S400">
        <v>0.16015603530140712</v>
      </c>
      <c r="T400">
        <v>1.1656272680867632</v>
      </c>
      <c r="U400">
        <v>0</v>
      </c>
      <c r="V400">
        <v>1.5697435663841589E-2</v>
      </c>
      <c r="W400">
        <v>6.2056950120753684E-2</v>
      </c>
      <c r="X400">
        <v>-1.5343208101645757E-2</v>
      </c>
      <c r="Y400">
        <v>2.5662310484861353E-2</v>
      </c>
    </row>
    <row r="401" spans="1:25" x14ac:dyDescent="0.25">
      <c r="A401" s="879"/>
      <c r="B401" s="1133">
        <v>151</v>
      </c>
      <c r="C401" s="883">
        <v>1.0296240316222665</v>
      </c>
      <c r="D401" s="883">
        <v>0.97642497766674863</v>
      </c>
      <c r="E401" s="883">
        <v>1.0186842989573976</v>
      </c>
      <c r="F401" s="883">
        <v>1.0194695485158345</v>
      </c>
      <c r="G401" s="883">
        <v>0.97845504856084753</v>
      </c>
      <c r="H401" s="883">
        <v>0.97302578282681185</v>
      </c>
      <c r="I401" s="883">
        <v>0.99070254715105976</v>
      </c>
      <c r="K401">
        <v>1.6205155733591969</v>
      </c>
      <c r="L401">
        <v>0</v>
      </c>
      <c r="M401">
        <v>6.0234853818852754E-3</v>
      </c>
      <c r="N401">
        <v>0.11545057867138629</v>
      </c>
      <c r="O401">
        <v>3.0231315687109517E-2</v>
      </c>
      <c r="P401">
        <v>1.8792996842753273E-2</v>
      </c>
      <c r="Q401">
        <v>0</v>
      </c>
      <c r="R401">
        <v>6.0234853818852754E-3</v>
      </c>
      <c r="S401">
        <v>0.16106086971785033</v>
      </c>
      <c r="T401">
        <v>1.2086912653864073</v>
      </c>
      <c r="U401">
        <v>0</v>
      </c>
      <c r="V401">
        <v>1.569705909745478E-2</v>
      </c>
      <c r="W401">
        <v>6.0206049515322331E-2</v>
      </c>
      <c r="X401">
        <v>-1.441820222126017E-2</v>
      </c>
      <c r="Y401">
        <v>2.4803640662173283E-2</v>
      </c>
    </row>
    <row r="402" spans="1:25" x14ac:dyDescent="0.25">
      <c r="A402" s="879"/>
      <c r="B402" s="1133">
        <v>152</v>
      </c>
      <c r="C402" s="883">
        <v>0.97525406810982884</v>
      </c>
      <c r="D402" s="883">
        <v>0.98302217942637937</v>
      </c>
      <c r="E402" s="883">
        <v>1.0174985102142902</v>
      </c>
      <c r="F402" s="883">
        <v>0.99665719457759538</v>
      </c>
      <c r="G402" s="883">
        <v>0.9768413062646315</v>
      </c>
      <c r="H402" s="883">
        <v>0.99006125258425604</v>
      </c>
      <c r="I402" s="883">
        <v>0.96966980766389177</v>
      </c>
      <c r="K402">
        <v>1.6139324439284186</v>
      </c>
      <c r="L402">
        <v>0</v>
      </c>
      <c r="M402">
        <v>6.4578994415367859E-3</v>
      </c>
      <c r="N402">
        <v>0.12355991958972651</v>
      </c>
      <c r="O402">
        <v>3.1831951578763604E-2</v>
      </c>
      <c r="P402">
        <v>1.8499630928183266E-2</v>
      </c>
      <c r="Q402">
        <v>0</v>
      </c>
      <c r="R402">
        <v>6.4578994415367859E-3</v>
      </c>
      <c r="S402">
        <v>0.1673524572778145</v>
      </c>
      <c r="T402">
        <v>1.1816666260922355</v>
      </c>
      <c r="U402">
        <v>0</v>
      </c>
      <c r="V402">
        <v>1.5992240261762151E-2</v>
      </c>
      <c r="W402">
        <v>6.4472648116969455E-2</v>
      </c>
      <c r="X402">
        <v>-1.6035510354033975E-2</v>
      </c>
      <c r="Y402">
        <v>2.6592480436998075E-2</v>
      </c>
    </row>
    <row r="403" spans="1:25" x14ac:dyDescent="0.25">
      <c r="A403" s="879"/>
      <c r="B403" s="1133">
        <v>153</v>
      </c>
      <c r="C403" s="883">
        <v>0.97204612399748525</v>
      </c>
      <c r="D403" s="883">
        <v>0.97158825655963399</v>
      </c>
      <c r="E403" s="883">
        <v>0.99325353920251125</v>
      </c>
      <c r="F403" s="883">
        <v>0.97066665602816959</v>
      </c>
      <c r="G403" s="883">
        <v>1.0135600385476586</v>
      </c>
      <c r="H403" s="883">
        <v>1.0212059815397432</v>
      </c>
      <c r="I403" s="883">
        <v>0.98957293367513166</v>
      </c>
      <c r="K403">
        <v>1.5953486901942369</v>
      </c>
      <c r="L403">
        <v>0</v>
      </c>
      <c r="M403">
        <v>6.8619309611511895E-3</v>
      </c>
      <c r="N403">
        <v>0.12666006094279303</v>
      </c>
      <c r="O403">
        <v>3.2108684839853262E-2</v>
      </c>
      <c r="P403">
        <v>1.7839898871288878E-2</v>
      </c>
      <c r="Q403">
        <v>0</v>
      </c>
      <c r="R403">
        <v>6.8619309611511895E-3</v>
      </c>
      <c r="S403">
        <v>0.17330969624989748</v>
      </c>
      <c r="T403">
        <v>1.1512882892639806</v>
      </c>
      <c r="U403">
        <v>0</v>
      </c>
      <c r="V403">
        <v>1.6010688215085254E-2</v>
      </c>
      <c r="W403">
        <v>6.6889110160865892E-2</v>
      </c>
      <c r="X403">
        <v>-1.7013948669369328E-2</v>
      </c>
      <c r="Y403">
        <v>2.8256210319840568E-2</v>
      </c>
    </row>
    <row r="404" spans="1:25" x14ac:dyDescent="0.25">
      <c r="A404" s="879"/>
      <c r="B404" s="1133">
        <v>154</v>
      </c>
      <c r="C404" s="883">
        <v>1.0254450693396358</v>
      </c>
      <c r="D404" s="883">
        <v>1.0180565370898638</v>
      </c>
      <c r="E404" s="883">
        <v>0.984487620796621</v>
      </c>
      <c r="F404" s="883">
        <v>0.97401129316286794</v>
      </c>
      <c r="G404" s="883">
        <v>1.0011024812820035</v>
      </c>
      <c r="H404" s="883">
        <v>0.98238751226139143</v>
      </c>
      <c r="I404" s="883">
        <v>0.9913323109424147</v>
      </c>
      <c r="K404">
        <v>1.5637284138080128</v>
      </c>
      <c r="L404">
        <v>0</v>
      </c>
      <c r="M404">
        <v>6.1753144076017192E-3</v>
      </c>
      <c r="N404">
        <v>0.11251431580152181</v>
      </c>
      <c r="O404">
        <v>2.988010504219437E-2</v>
      </c>
      <c r="P404">
        <v>1.7620483395272935E-2</v>
      </c>
      <c r="Q404">
        <v>0</v>
      </c>
      <c r="R404">
        <v>6.1753144076017192E-3</v>
      </c>
      <c r="S404">
        <v>0.16192103873431479</v>
      </c>
      <c r="T404">
        <v>1.1554143948163289</v>
      </c>
      <c r="U404">
        <v>0</v>
      </c>
      <c r="V404">
        <v>1.5718636711499801E-2</v>
      </c>
      <c r="W404">
        <v>5.9679174710774982E-2</v>
      </c>
      <c r="X404">
        <v>-1.4448580969409904E-2</v>
      </c>
      <c r="Y404">
        <v>2.542884556551446E-2</v>
      </c>
    </row>
    <row r="405" spans="1:25" x14ac:dyDescent="0.25">
      <c r="A405" s="879"/>
      <c r="B405" s="1133">
        <v>155</v>
      </c>
      <c r="C405" s="883">
        <v>0.97803450425321192</v>
      </c>
      <c r="D405" s="883">
        <v>1.0253787943085497</v>
      </c>
      <c r="E405" s="883">
        <v>0.9811850404954584</v>
      </c>
      <c r="F405" s="883">
        <v>1.03214485337043</v>
      </c>
      <c r="G405" s="883">
        <v>1.0116520834617395</v>
      </c>
      <c r="H405" s="883">
        <v>1.0126741779494004</v>
      </c>
      <c r="I405" s="883">
        <v>1.0315352943489871</v>
      </c>
      <c r="K405">
        <v>1.6657968060717263</v>
      </c>
      <c r="L405">
        <v>0</v>
      </c>
      <c r="M405">
        <v>6.6721871905754283E-3</v>
      </c>
      <c r="N405">
        <v>0.12097325020649879</v>
      </c>
      <c r="O405">
        <v>3.1241551370175136E-2</v>
      </c>
      <c r="P405">
        <v>1.8706784349618956E-2</v>
      </c>
      <c r="Q405">
        <v>0</v>
      </c>
      <c r="R405">
        <v>6.6721871905754283E-3</v>
      </c>
      <c r="S405">
        <v>0.17841228453769753</v>
      </c>
      <c r="T405">
        <v>1.2244385504419177</v>
      </c>
      <c r="U405">
        <v>0</v>
      </c>
      <c r="V405">
        <v>1.5976348683934712E-2</v>
      </c>
      <c r="W405">
        <v>6.4271984025411469E-2</v>
      </c>
      <c r="X405">
        <v>-1.5698826789271311E-2</v>
      </c>
      <c r="Y405">
        <v>2.747487924574174E-2</v>
      </c>
    </row>
    <row r="406" spans="1:25" x14ac:dyDescent="0.25">
      <c r="A406" s="879"/>
      <c r="B406" s="1133">
        <v>156</v>
      </c>
      <c r="C406" s="883">
        <v>1.0031277890838026</v>
      </c>
      <c r="D406" s="883">
        <v>1.0471227180466067</v>
      </c>
      <c r="E406" s="883">
        <v>0.96810934442308905</v>
      </c>
      <c r="F406" s="883">
        <v>0.99650471943015639</v>
      </c>
      <c r="G406" s="883">
        <v>1.0226430587557473</v>
      </c>
      <c r="H406" s="883">
        <v>1.0367294424021287</v>
      </c>
      <c r="I406" s="883">
        <v>1.0149356380662491</v>
      </c>
      <c r="K406">
        <v>1.6126061245441379</v>
      </c>
      <c r="L406">
        <v>0</v>
      </c>
      <c r="M406">
        <v>6.6734753682178519E-3</v>
      </c>
      <c r="N406">
        <v>0.1186709629121051</v>
      </c>
      <c r="O406">
        <v>3.0215382700934001E-2</v>
      </c>
      <c r="P406">
        <v>1.7888028673567785E-2</v>
      </c>
      <c r="Q406">
        <v>0</v>
      </c>
      <c r="R406">
        <v>6.6734753682178519E-3</v>
      </c>
      <c r="S406">
        <v>0.1723094995205838</v>
      </c>
      <c r="T406">
        <v>1.1824020888169053</v>
      </c>
      <c r="U406">
        <v>0</v>
      </c>
      <c r="V406">
        <v>1.583691326076625E-2</v>
      </c>
      <c r="W406">
        <v>6.3463853564906136E-2</v>
      </c>
      <c r="X406">
        <v>-1.5660788637616167E-2</v>
      </c>
      <c r="Y406">
        <v>2.7480183731986157E-2</v>
      </c>
    </row>
    <row r="407" spans="1:25" x14ac:dyDescent="0.25">
      <c r="A407" s="879"/>
      <c r="B407" s="1133">
        <v>157</v>
      </c>
      <c r="C407" s="883">
        <v>0.98098485470425856</v>
      </c>
      <c r="D407" s="883">
        <v>0.99507067952818606</v>
      </c>
      <c r="E407" s="883">
        <v>1.0000489997557438</v>
      </c>
      <c r="F407" s="883">
        <v>1.0213187968388302</v>
      </c>
      <c r="G407" s="883">
        <v>1.0052749911379446</v>
      </c>
      <c r="H407" s="883">
        <v>0.96263333572550791</v>
      </c>
      <c r="I407" s="883">
        <v>1.0206011185399093</v>
      </c>
      <c r="K407">
        <v>1.6412307604723133</v>
      </c>
      <c r="L407">
        <v>0</v>
      </c>
      <c r="M407">
        <v>6.3039193213050926E-3</v>
      </c>
      <c r="N407">
        <v>0.11753772317990059</v>
      </c>
      <c r="O407">
        <v>3.1507788051679711E-2</v>
      </c>
      <c r="P407">
        <v>1.87332400613591E-2</v>
      </c>
      <c r="Q407">
        <v>0</v>
      </c>
      <c r="R407">
        <v>6.3039193213050926E-3</v>
      </c>
      <c r="S407">
        <v>0.17330783824831089</v>
      </c>
      <c r="T407">
        <v>1.2112366899060971</v>
      </c>
      <c r="U407">
        <v>0</v>
      </c>
      <c r="V407">
        <v>1.5959584471028805E-2</v>
      </c>
      <c r="W407">
        <v>6.1862192944230544E-2</v>
      </c>
      <c r="X407">
        <v>-1.4872714099617833E-2</v>
      </c>
      <c r="Y407">
        <v>2.5958417709323646E-2</v>
      </c>
    </row>
    <row r="408" spans="1:25" x14ac:dyDescent="0.25">
      <c r="A408" s="879"/>
      <c r="B408" s="1133">
        <v>158</v>
      </c>
      <c r="C408" s="883">
        <v>1.0210146866104581</v>
      </c>
      <c r="D408" s="883">
        <v>0.99580941426491165</v>
      </c>
      <c r="E408" s="883">
        <v>0.98731055241433863</v>
      </c>
      <c r="F408" s="883">
        <v>0.96505024433460596</v>
      </c>
      <c r="G408" s="883">
        <v>1.0005515612361888</v>
      </c>
      <c r="H408" s="883">
        <v>0.95887109737714249</v>
      </c>
      <c r="I408" s="883">
        <v>0.9891985677849634</v>
      </c>
      <c r="K408">
        <v>1.5509534723191896</v>
      </c>
      <c r="L408">
        <v>0</v>
      </c>
      <c r="M408">
        <v>6.0985407809230124E-3</v>
      </c>
      <c r="N408">
        <v>0.11158165868985728</v>
      </c>
      <c r="O408">
        <v>3.0273917966291811E-2</v>
      </c>
      <c r="P408">
        <v>1.7507429762801899E-2</v>
      </c>
      <c r="Q408">
        <v>0</v>
      </c>
      <c r="R408">
        <v>6.0985407809230124E-3</v>
      </c>
      <c r="S408">
        <v>0.16115829626554798</v>
      </c>
      <c r="T408">
        <v>1.144733611280349</v>
      </c>
      <c r="U408">
        <v>0</v>
      </c>
      <c r="V408">
        <v>1.5741705399537693E-2</v>
      </c>
      <c r="W408">
        <v>5.9101085086074256E-2</v>
      </c>
      <c r="X408">
        <v>-1.4256937567318575E-2</v>
      </c>
      <c r="Y408">
        <v>2.5112705436047676E-2</v>
      </c>
    </row>
    <row r="409" spans="1:25" x14ac:dyDescent="0.25">
      <c r="A409" s="879"/>
      <c r="B409" s="1133">
        <v>159</v>
      </c>
      <c r="C409" s="883">
        <v>0.9819338817605715</v>
      </c>
      <c r="D409" s="883">
        <v>1.0316985789623654</v>
      </c>
      <c r="E409" s="883">
        <v>0.97686468811166538</v>
      </c>
      <c r="F409" s="883">
        <v>1.0049828307107258</v>
      </c>
      <c r="G409" s="883">
        <v>0.98342042534545937</v>
      </c>
      <c r="H409" s="883">
        <v>0.98871007936515276</v>
      </c>
      <c r="I409" s="883">
        <v>1.0256053865379573</v>
      </c>
      <c r="K409">
        <v>1.6235953822700684</v>
      </c>
      <c r="L409">
        <v>0</v>
      </c>
      <c r="M409">
        <v>6.495107291947016E-3</v>
      </c>
      <c r="N409">
        <v>0.11701011858211896</v>
      </c>
      <c r="O409">
        <v>3.1044532739748422E-2</v>
      </c>
      <c r="P409">
        <v>1.8179433322270778E-2</v>
      </c>
      <c r="Q409">
        <v>0</v>
      </c>
      <c r="R409">
        <v>6.495107291947016E-3</v>
      </c>
      <c r="S409">
        <v>0.17518255433478999</v>
      </c>
      <c r="T409">
        <v>1.1922972008543116</v>
      </c>
      <c r="U409">
        <v>0</v>
      </c>
      <c r="V409">
        <v>1.5954213410000598E-2</v>
      </c>
      <c r="W409">
        <v>6.230108872875792E-2</v>
      </c>
      <c r="X409">
        <v>-1.5119455444167177E-2</v>
      </c>
      <c r="Y409">
        <v>2.6745695742236904E-2</v>
      </c>
    </row>
    <row r="410" spans="1:25" x14ac:dyDescent="0.25">
      <c r="A410" s="879"/>
      <c r="B410" s="1133">
        <v>160</v>
      </c>
      <c r="C410" s="883">
        <v>1.0012274464966784</v>
      </c>
      <c r="D410" s="883">
        <v>0.99384904726266043</v>
      </c>
      <c r="E410" s="883">
        <v>1.0092831546343031</v>
      </c>
      <c r="F410" s="883">
        <v>0.99534124867189011</v>
      </c>
      <c r="G410" s="883">
        <v>1.0230943169940763</v>
      </c>
      <c r="H410" s="883">
        <v>0.99716150626026023</v>
      </c>
      <c r="I410" s="883">
        <v>1.0189326634713323</v>
      </c>
      <c r="K410">
        <v>1.610584985920547</v>
      </c>
      <c r="L410">
        <v>0</v>
      </c>
      <c r="M410">
        <v>6.3500592119925293E-3</v>
      </c>
      <c r="N410">
        <v>0.12002828421149597</v>
      </c>
      <c r="O410">
        <v>3.0877947976594499E-2</v>
      </c>
      <c r="P410">
        <v>1.8422407827361559E-2</v>
      </c>
      <c r="Q410">
        <v>0</v>
      </c>
      <c r="R410">
        <v>6.3500592119925293E-3</v>
      </c>
      <c r="S410">
        <v>0.17159093399054032</v>
      </c>
      <c r="T410">
        <v>1.180257892411831</v>
      </c>
      <c r="U410">
        <v>0</v>
      </c>
      <c r="V410">
        <v>1.5847228253684759E-2</v>
      </c>
      <c r="W410">
        <v>6.288452078711744E-2</v>
      </c>
      <c r="X410">
        <v>-1.5472643104658854E-2</v>
      </c>
      <c r="Y410">
        <v>2.6148413566580122E-2</v>
      </c>
    </row>
    <row r="411" spans="1:25" x14ac:dyDescent="0.25">
      <c r="A411" s="879"/>
      <c r="B411" s="1133">
        <v>161</v>
      </c>
      <c r="C411" s="883">
        <v>0.995990966031847</v>
      </c>
      <c r="D411" s="883">
        <v>0.99256036074182497</v>
      </c>
      <c r="E411" s="883">
        <v>0.99339371529139142</v>
      </c>
      <c r="F411" s="883">
        <v>1.0008326784149713</v>
      </c>
      <c r="G411" s="883">
        <v>0.97604800867506303</v>
      </c>
      <c r="H411" s="883">
        <v>1.0013188521996097</v>
      </c>
      <c r="I411" s="883">
        <v>1.0245975160336036</v>
      </c>
      <c r="K411">
        <v>1.6206862555631938</v>
      </c>
      <c r="L411">
        <v>0</v>
      </c>
      <c r="M411">
        <v>6.5034309881376743E-3</v>
      </c>
      <c r="N411">
        <v>0.12006767977211812</v>
      </c>
      <c r="O411">
        <v>3.1070087335960034E-2</v>
      </c>
      <c r="P411">
        <v>1.8321185049853403E-2</v>
      </c>
      <c r="Q411">
        <v>0</v>
      </c>
      <c r="R411">
        <v>6.5034309881376743E-3</v>
      </c>
      <c r="S411">
        <v>0.17369692902341766</v>
      </c>
      <c r="T411">
        <v>1.1870649930553847</v>
      </c>
      <c r="U411">
        <v>0</v>
      </c>
      <c r="V411">
        <v>1.5875855355531193E-2</v>
      </c>
      <c r="W411">
        <v>6.3403251100345989E-2</v>
      </c>
      <c r="X411">
        <v>-1.5593696371005385E-2</v>
      </c>
      <c r="Y411">
        <v>2.6779971241587354E-2</v>
      </c>
    </row>
    <row r="412" spans="1:25" x14ac:dyDescent="0.25">
      <c r="A412" s="879"/>
      <c r="B412" s="1133">
        <v>162</v>
      </c>
      <c r="C412" s="883">
        <v>1.0408884690980187</v>
      </c>
      <c r="D412" s="883">
        <v>1.0038859681878085</v>
      </c>
      <c r="E412" s="883">
        <v>0.98443357873496473</v>
      </c>
      <c r="F412" s="883">
        <v>1.0305707259070835</v>
      </c>
      <c r="G412" s="883">
        <v>1.0076104188459187</v>
      </c>
      <c r="H412" s="883">
        <v>0.96506298662274992</v>
      </c>
      <c r="I412" s="883">
        <v>0.99852700506645886</v>
      </c>
      <c r="K412">
        <v>1.6249460097602078</v>
      </c>
      <c r="L412">
        <v>0</v>
      </c>
      <c r="M412">
        <v>6.0141486401370176E-3</v>
      </c>
      <c r="N412">
        <v>0.10956909042399247</v>
      </c>
      <c r="O412">
        <v>2.9602333469631561E-2</v>
      </c>
      <c r="P412">
        <v>1.8477784152077785E-2</v>
      </c>
      <c r="Q412">
        <v>0</v>
      </c>
      <c r="R412">
        <v>6.0141486401370176E-3</v>
      </c>
      <c r="S412">
        <v>0.15984234717166801</v>
      </c>
      <c r="T412">
        <v>1.2225086832369394</v>
      </c>
      <c r="U412">
        <v>0</v>
      </c>
      <c r="V412">
        <v>1.5639759353441175E-2</v>
      </c>
      <c r="W412">
        <v>5.8118555536302477E-2</v>
      </c>
      <c r="X412">
        <v>-1.357773720537787E-2</v>
      </c>
      <c r="Y412">
        <v>2.4765193621532046E-2</v>
      </c>
    </row>
    <row r="413" spans="1:25" x14ac:dyDescent="0.25">
      <c r="A413" s="879"/>
      <c r="B413" s="1133">
        <v>163</v>
      </c>
      <c r="C413" s="883">
        <v>1.0058383063887235</v>
      </c>
      <c r="D413" s="883">
        <v>1.006989181296164</v>
      </c>
      <c r="E413" s="883">
        <v>1.0031297787950393</v>
      </c>
      <c r="F413" s="883">
        <v>0.99144509496460809</v>
      </c>
      <c r="G413" s="883">
        <v>1.0048611028341399</v>
      </c>
      <c r="H413" s="883">
        <v>1.0336376986855957</v>
      </c>
      <c r="I413" s="883">
        <v>1.0276088138680091</v>
      </c>
      <c r="K413">
        <v>1.6127358069838846</v>
      </c>
      <c r="L413">
        <v>0</v>
      </c>
      <c r="M413">
        <v>6.5490293511410221E-3</v>
      </c>
      <c r="N413">
        <v>0.1226663666580005</v>
      </c>
      <c r="O413">
        <v>3.0580639952427442E-2</v>
      </c>
      <c r="P413">
        <v>1.8312408827367874E-2</v>
      </c>
      <c r="Q413">
        <v>0</v>
      </c>
      <c r="R413">
        <v>6.5490293511410221E-3</v>
      </c>
      <c r="S413">
        <v>0.17427059105436746</v>
      </c>
      <c r="T413">
        <v>1.1757511201404143</v>
      </c>
      <c r="U413">
        <v>0</v>
      </c>
      <c r="V413">
        <v>1.5822268111838105E-2</v>
      </c>
      <c r="W413">
        <v>6.4462848414908069E-2</v>
      </c>
      <c r="X413">
        <v>-1.6098173359668726E-2</v>
      </c>
      <c r="Y413">
        <v>2.6967737184229078E-2</v>
      </c>
    </row>
    <row r="414" spans="1:25" x14ac:dyDescent="0.25">
      <c r="A414" s="879"/>
      <c r="B414" s="1133">
        <v>164</v>
      </c>
      <c r="C414" s="883">
        <v>0.97923156833749192</v>
      </c>
      <c r="D414" s="883">
        <v>0.99485421636265037</v>
      </c>
      <c r="E414" s="883">
        <v>1.0098927726206353</v>
      </c>
      <c r="F414" s="883">
        <v>0.99776643596380687</v>
      </c>
      <c r="G414" s="883">
        <v>1.0077582045091085</v>
      </c>
      <c r="H414" s="883">
        <v>1.0090806866517799</v>
      </c>
      <c r="I414" s="883">
        <v>0.99283141655990281</v>
      </c>
      <c r="K414">
        <v>1.6207799270156105</v>
      </c>
      <c r="L414">
        <v>0</v>
      </c>
      <c r="M414">
        <v>6.5638417306783233E-3</v>
      </c>
      <c r="N414">
        <v>0.12418120594954941</v>
      </c>
      <c r="O414">
        <v>3.1558228529512816E-2</v>
      </c>
      <c r="P414">
        <v>1.8471800848846795E-2</v>
      </c>
      <c r="Q414">
        <v>0</v>
      </c>
      <c r="R414">
        <v>6.5638417306783233E-3</v>
      </c>
      <c r="S414">
        <v>0.17164353603406143</v>
      </c>
      <c r="T414">
        <v>1.183122357275971</v>
      </c>
      <c r="U414">
        <v>0</v>
      </c>
      <c r="V414">
        <v>1.5969534656788412E-2</v>
      </c>
      <c r="W414">
        <v>6.5040677905357197E-2</v>
      </c>
      <c r="X414">
        <v>-1.6236146111135351E-2</v>
      </c>
      <c r="Y414">
        <v>2.7028731926658413E-2</v>
      </c>
    </row>
    <row r="415" spans="1:25" x14ac:dyDescent="0.25">
      <c r="A415" s="879"/>
      <c r="B415" s="1133">
        <v>165</v>
      </c>
      <c r="C415" s="883">
        <v>0.99086987993561404</v>
      </c>
      <c r="D415" s="883">
        <v>0.97391613727289872</v>
      </c>
      <c r="E415" s="883">
        <v>1.0129195330403673</v>
      </c>
      <c r="F415" s="883">
        <v>0.99677413677920357</v>
      </c>
      <c r="G415" s="883">
        <v>1.0010632514192896</v>
      </c>
      <c r="H415" s="883">
        <v>1.0346292846895919</v>
      </c>
      <c r="I415" s="883">
        <v>1.0043700883189886</v>
      </c>
      <c r="K415">
        <v>1.6256843659093887</v>
      </c>
      <c r="L415">
        <v>0</v>
      </c>
      <c r="M415">
        <v>6.6966904147509401E-3</v>
      </c>
      <c r="N415">
        <v>0.12726347153414749</v>
      </c>
      <c r="O415">
        <v>3.1451318696743148E-2</v>
      </c>
      <c r="P415">
        <v>1.8519384991620834E-2</v>
      </c>
      <c r="Q415">
        <v>0</v>
      </c>
      <c r="R415">
        <v>6.6966904147509401E-3</v>
      </c>
      <c r="S415">
        <v>0.17335221259160455</v>
      </c>
      <c r="T415">
        <v>1.1818897975666787</v>
      </c>
      <c r="U415">
        <v>0</v>
      </c>
      <c r="V415">
        <v>1.5904144257582183E-2</v>
      </c>
      <c r="W415">
        <v>6.6555378711428761E-2</v>
      </c>
      <c r="X415">
        <v>-1.6827121601903066E-2</v>
      </c>
      <c r="Y415">
        <v>2.7575779161485174E-2</v>
      </c>
    </row>
    <row r="416" spans="1:25" x14ac:dyDescent="0.25">
      <c r="A416" s="879"/>
      <c r="B416" s="1133">
        <v>166</v>
      </c>
      <c r="C416" s="883">
        <v>1.0119705653408682</v>
      </c>
      <c r="D416" s="883">
        <v>1.0130537398841235</v>
      </c>
      <c r="E416" s="883">
        <v>0.97595397686171625</v>
      </c>
      <c r="F416" s="883">
        <v>0.98191609474036023</v>
      </c>
      <c r="G416" s="883">
        <v>0.99510401831632012</v>
      </c>
      <c r="H416" s="883">
        <v>1.0162419888112968</v>
      </c>
      <c r="I416" s="883">
        <v>0.96230178186908266</v>
      </c>
      <c r="K416">
        <v>1.581516470760745</v>
      </c>
      <c r="L416">
        <v>0</v>
      </c>
      <c r="M416">
        <v>6.5358463793906722E-3</v>
      </c>
      <c r="N416">
        <v>0.11758500694640445</v>
      </c>
      <c r="O416">
        <v>3.0344337395684415E-2</v>
      </c>
      <c r="P416">
        <v>1.7621007083219675E-2</v>
      </c>
      <c r="Q416">
        <v>0</v>
      </c>
      <c r="R416">
        <v>6.5358463793906722E-3</v>
      </c>
      <c r="S416">
        <v>0.16116305764328456</v>
      </c>
      <c r="T416">
        <v>1.1649478682156984</v>
      </c>
      <c r="U416">
        <v>0</v>
      </c>
      <c r="V416">
        <v>1.5789424532955603E-2</v>
      </c>
      <c r="W416">
        <v>6.2635780853943224E-2</v>
      </c>
      <c r="X416">
        <v>-1.5483463963488596E-2</v>
      </c>
      <c r="Y416">
        <v>2.6913452053042627E-2</v>
      </c>
    </row>
    <row r="417" spans="1:25" x14ac:dyDescent="0.25">
      <c r="A417" s="879"/>
      <c r="B417" s="1133">
        <v>167</v>
      </c>
      <c r="C417" s="883">
        <v>1.0001807676531231</v>
      </c>
      <c r="D417" s="883">
        <v>0.98088880612177021</v>
      </c>
      <c r="E417" s="883">
        <v>0.98778945908201221</v>
      </c>
      <c r="F417" s="883">
        <v>0.99150170174177332</v>
      </c>
      <c r="G417" s="883">
        <v>1.0187807326120033</v>
      </c>
      <c r="H417" s="883">
        <v>0.98623675700006752</v>
      </c>
      <c r="I417" s="883">
        <v>0.98431486527339318</v>
      </c>
      <c r="K417">
        <v>1.5981249042789489</v>
      </c>
      <c r="L417">
        <v>0</v>
      </c>
      <c r="M417">
        <v>6.4438488090893279E-3</v>
      </c>
      <c r="N417">
        <v>0.1179833261299373</v>
      </c>
      <c r="O417">
        <v>3.1091323750179343E-2</v>
      </c>
      <c r="P417">
        <v>1.798742411056108E-2</v>
      </c>
      <c r="Q417">
        <v>0</v>
      </c>
      <c r="R417">
        <v>6.4438488090893279E-3</v>
      </c>
      <c r="S417">
        <v>0.16541669114422006</v>
      </c>
      <c r="T417">
        <v>1.1761012328733593</v>
      </c>
      <c r="U417">
        <v>0</v>
      </c>
      <c r="V417">
        <v>1.5852926329733948E-2</v>
      </c>
      <c r="W417">
        <v>6.2476897770493305E-2</v>
      </c>
      <c r="X417">
        <v>-1.5319540263034502E-2</v>
      </c>
      <c r="Y417">
        <v>2.6534622433498779E-2</v>
      </c>
    </row>
    <row r="418" spans="1:25" x14ac:dyDescent="0.25">
      <c r="A418" s="879"/>
      <c r="B418" s="1133">
        <v>168</v>
      </c>
      <c r="C418" s="883">
        <v>1.0158524366985044</v>
      </c>
      <c r="D418" s="883">
        <v>0.98688731915286498</v>
      </c>
      <c r="E418" s="883">
        <v>1.019134269079768</v>
      </c>
      <c r="F418" s="883">
        <v>1.0118178515772345</v>
      </c>
      <c r="G418" s="883">
        <v>1.0369092723663829</v>
      </c>
      <c r="H418" s="883">
        <v>0.99893560972144646</v>
      </c>
      <c r="I418" s="883">
        <v>1.015411545976393</v>
      </c>
      <c r="K418">
        <v>1.6257876788999059</v>
      </c>
      <c r="L418">
        <v>0</v>
      </c>
      <c r="M418">
        <v>6.2354990114699728E-3</v>
      </c>
      <c r="N418">
        <v>0.11959377468714311</v>
      </c>
      <c r="O418">
        <v>3.0510397809398338E-2</v>
      </c>
      <c r="P418">
        <v>1.8781225883399675E-2</v>
      </c>
      <c r="Q418">
        <v>0</v>
      </c>
      <c r="R418">
        <v>6.2354990114699728E-3</v>
      </c>
      <c r="S418">
        <v>0.1687223545113504</v>
      </c>
      <c r="T418">
        <v>1.1996109284802909</v>
      </c>
      <c r="U418">
        <v>0</v>
      </c>
      <c r="V418">
        <v>1.5768838689170367E-2</v>
      </c>
      <c r="W418">
        <v>6.2352846678990104E-2</v>
      </c>
      <c r="X418">
        <v>-1.5229362891619901E-2</v>
      </c>
      <c r="Y418">
        <v>2.5676675051783796E-2</v>
      </c>
    </row>
    <row r="419" spans="1:25" x14ac:dyDescent="0.25">
      <c r="A419" s="879"/>
      <c r="B419" s="1133">
        <v>169</v>
      </c>
      <c r="C419" s="883">
        <v>0.9558424193497228</v>
      </c>
      <c r="D419" s="883">
        <v>1.0158049472522266</v>
      </c>
      <c r="E419" s="883">
        <v>1.006711351434622</v>
      </c>
      <c r="F419" s="883">
        <v>1.0030385437928828</v>
      </c>
      <c r="G419" s="883">
        <v>0.98717428111599703</v>
      </c>
      <c r="H419" s="883">
        <v>1.0346007715208523</v>
      </c>
      <c r="I419" s="883">
        <v>1.0075036056936821</v>
      </c>
      <c r="K419">
        <v>1.6437077916756615</v>
      </c>
      <c r="L419">
        <v>0</v>
      </c>
      <c r="M419">
        <v>6.849775588368549E-3</v>
      </c>
      <c r="N419">
        <v>0.12898180488227759</v>
      </c>
      <c r="O419">
        <v>3.2064950961742791E-2</v>
      </c>
      <c r="P419">
        <v>1.862360342984774E-2</v>
      </c>
      <c r="Q419">
        <v>0</v>
      </c>
      <c r="R419">
        <v>6.849775588368549E-3</v>
      </c>
      <c r="S419">
        <v>0.17976113547320777</v>
      </c>
      <c r="T419">
        <v>1.189433059778126</v>
      </c>
      <c r="U419">
        <v>0</v>
      </c>
      <c r="V419">
        <v>1.6105763401683779E-2</v>
      </c>
      <c r="W419">
        <v>6.7661480835187374E-2</v>
      </c>
      <c r="X419">
        <v>-1.713016374470859E-2</v>
      </c>
      <c r="Y419">
        <v>2.820615665829735E-2</v>
      </c>
    </row>
    <row r="420" spans="1:25" x14ac:dyDescent="0.25">
      <c r="A420" s="879"/>
      <c r="B420" s="1133">
        <v>170</v>
      </c>
      <c r="C420" s="883">
        <v>0.96470034840055108</v>
      </c>
      <c r="D420" s="883">
        <v>1.0163277827890878</v>
      </c>
      <c r="E420" s="883">
        <v>0.96860927664930341</v>
      </c>
      <c r="F420" s="883">
        <v>1.0092094639413751</v>
      </c>
      <c r="G420" s="883">
        <v>0.98423767774559878</v>
      </c>
      <c r="H420" s="883">
        <v>1.01636477975461</v>
      </c>
      <c r="I420" s="883">
        <v>0.99132619651753107</v>
      </c>
      <c r="K420">
        <v>1.6378629092243018</v>
      </c>
      <c r="L420">
        <v>0</v>
      </c>
      <c r="M420">
        <v>6.8910152753594561E-3</v>
      </c>
      <c r="N420">
        <v>0.12263036721678176</v>
      </c>
      <c r="O420">
        <v>3.1795972885511316E-2</v>
      </c>
      <c r="P420">
        <v>1.8118218273534655E-2</v>
      </c>
      <c r="Q420">
        <v>0</v>
      </c>
      <c r="R420">
        <v>6.8910152753594561E-3</v>
      </c>
      <c r="S420">
        <v>0.17412410822364527</v>
      </c>
      <c r="T420">
        <v>1.1974674495162332</v>
      </c>
      <c r="U420">
        <v>0</v>
      </c>
      <c r="V420">
        <v>1.6053393772009258E-2</v>
      </c>
      <c r="W420">
        <v>6.5564804407647184E-2</v>
      </c>
      <c r="X420">
        <v>-1.6267379419995984E-2</v>
      </c>
      <c r="Y420">
        <v>2.8375974348935261E-2</v>
      </c>
    </row>
    <row r="421" spans="1:25" x14ac:dyDescent="0.25">
      <c r="A421" s="879"/>
      <c r="B421" s="1133">
        <v>171</v>
      </c>
      <c r="C421" s="883">
        <v>1.0055740558200108</v>
      </c>
      <c r="D421" s="883">
        <v>0.99560277747779591</v>
      </c>
      <c r="E421" s="883">
        <v>0.99241808983443236</v>
      </c>
      <c r="F421" s="883">
        <v>1.0030319458774524</v>
      </c>
      <c r="G421" s="883">
        <v>0.99148898707849953</v>
      </c>
      <c r="H421" s="883">
        <v>1.0088084607262278</v>
      </c>
      <c r="I421" s="883">
        <v>0.98511939210886457</v>
      </c>
      <c r="K421">
        <v>1.6142057877160048</v>
      </c>
      <c r="L421">
        <v>0</v>
      </c>
      <c r="M421">
        <v>6.4862992962634253E-3</v>
      </c>
      <c r="N421">
        <v>0.11957833991689906</v>
      </c>
      <c r="O421">
        <v>3.0737146597334546E-2</v>
      </c>
      <c r="P421">
        <v>1.8236686821043763E-2</v>
      </c>
      <c r="Q421">
        <v>0</v>
      </c>
      <c r="R421">
        <v>6.4862992962634253E-3</v>
      </c>
      <c r="S421">
        <v>0.16580705473409751</v>
      </c>
      <c r="T421">
        <v>1.1896917120404091</v>
      </c>
      <c r="U421">
        <v>0</v>
      </c>
      <c r="V421">
        <v>1.5823692406152015E-2</v>
      </c>
      <c r="W421">
        <v>6.3175540783372383E-2</v>
      </c>
      <c r="X421">
        <v>-1.555381156707965E-2</v>
      </c>
      <c r="Y421">
        <v>2.6709425983776677E-2</v>
      </c>
    </row>
    <row r="422" spans="1:25" x14ac:dyDescent="0.25">
      <c r="A422" s="879"/>
      <c r="B422" s="1133">
        <v>172</v>
      </c>
      <c r="C422" s="883">
        <v>1.0030191863040041</v>
      </c>
      <c r="D422" s="883">
        <v>0.98981508374625538</v>
      </c>
      <c r="E422" s="883">
        <v>1.038265001769066</v>
      </c>
      <c r="F422" s="883">
        <v>0.97723448240178046</v>
      </c>
      <c r="G422" s="883">
        <v>0.98544645108445961</v>
      </c>
      <c r="H422" s="883">
        <v>1.020288319936721</v>
      </c>
      <c r="I422" s="883">
        <v>0.99191380905217819</v>
      </c>
      <c r="K422">
        <v>1.5909157005708703</v>
      </c>
      <c r="L422">
        <v>0</v>
      </c>
      <c r="M422">
        <v>6.3346615596938721E-3</v>
      </c>
      <c r="N422">
        <v>0.12498081862728729</v>
      </c>
      <c r="O422">
        <v>3.08462831734472E-2</v>
      </c>
      <c r="P422">
        <v>1.8472788237391773E-2</v>
      </c>
      <c r="Q422">
        <v>0</v>
      </c>
      <c r="R422">
        <v>6.3346615596938721E-3</v>
      </c>
      <c r="S422">
        <v>0.16814697183470467</v>
      </c>
      <c r="T422">
        <v>1.1582638113465031</v>
      </c>
      <c r="U422">
        <v>0</v>
      </c>
      <c r="V422">
        <v>1.5837501699809232E-2</v>
      </c>
      <c r="W422">
        <v>6.4552479565136711E-2</v>
      </c>
      <c r="X422">
        <v>-1.6269962688504464E-2</v>
      </c>
      <c r="Y422">
        <v>2.6085008775094193E-2</v>
      </c>
    </row>
    <row r="423" spans="1:25" x14ac:dyDescent="0.25">
      <c r="A423" s="879"/>
      <c r="B423" s="1133">
        <v>173</v>
      </c>
      <c r="C423" s="883">
        <v>0.97835111539094188</v>
      </c>
      <c r="D423" s="883">
        <v>1.0065414767987366</v>
      </c>
      <c r="E423" s="883">
        <v>0.9874634040793453</v>
      </c>
      <c r="F423" s="883">
        <v>0.96983626469905304</v>
      </c>
      <c r="G423" s="883">
        <v>1.0123028769091995</v>
      </c>
      <c r="H423" s="883">
        <v>0.95852443715340419</v>
      </c>
      <c r="I423" s="883">
        <v>1.0073889614766853</v>
      </c>
      <c r="K423">
        <v>1.5750536944856812</v>
      </c>
      <c r="L423">
        <v>0</v>
      </c>
      <c r="M423">
        <v>6.3309932838317906E-3</v>
      </c>
      <c r="N423">
        <v>0.11586097267140849</v>
      </c>
      <c r="O423">
        <v>3.1458784588945403E-2</v>
      </c>
      <c r="P423">
        <v>1.7720430770962827E-2</v>
      </c>
      <c r="Q423">
        <v>0</v>
      </c>
      <c r="R423">
        <v>6.3309932838317906E-3</v>
      </c>
      <c r="S423">
        <v>0.17115814520920702</v>
      </c>
      <c r="T423">
        <v>1.1504079807853003</v>
      </c>
      <c r="U423">
        <v>0</v>
      </c>
      <c r="V423">
        <v>1.5974544821941168E-2</v>
      </c>
      <c r="W423">
        <v>6.1363012656599727E-2</v>
      </c>
      <c r="X423">
        <v>-1.4960080486707114E-2</v>
      </c>
      <c r="Y423">
        <v>2.6069903468022893E-2</v>
      </c>
    </row>
    <row r="424" spans="1:25" x14ac:dyDescent="0.25">
      <c r="A424" s="879"/>
      <c r="B424" s="1133">
        <v>174</v>
      </c>
      <c r="C424" s="883">
        <v>1.0010512415245929</v>
      </c>
      <c r="D424" s="883">
        <v>1.0139624588795937</v>
      </c>
      <c r="E424" s="883">
        <v>1.0216121788811559</v>
      </c>
      <c r="F424" s="883">
        <v>1.0167128774941689</v>
      </c>
      <c r="G424" s="883">
        <v>1.0160751858371389</v>
      </c>
      <c r="H424" s="883">
        <v>1.0268115680109116</v>
      </c>
      <c r="I424" s="883">
        <v>0.99723068886054989</v>
      </c>
      <c r="K424">
        <v>1.6384151639618751</v>
      </c>
      <c r="L424">
        <v>0</v>
      </c>
      <c r="M424">
        <v>6.412300211977153E-3</v>
      </c>
      <c r="N424">
        <v>0.12343635499436655</v>
      </c>
      <c r="O424">
        <v>3.0625887440304381E-2</v>
      </c>
      <c r="P424">
        <v>1.8905558375061457E-2</v>
      </c>
      <c r="Q424">
        <v>0</v>
      </c>
      <c r="R424">
        <v>6.412300211977153E-3</v>
      </c>
      <c r="S424">
        <v>0.16948122408253283</v>
      </c>
      <c r="T424">
        <v>1.2053678736553928</v>
      </c>
      <c r="U424">
        <v>0</v>
      </c>
      <c r="V424">
        <v>1.5848186672089662E-2</v>
      </c>
      <c r="W424">
        <v>6.4277767015432197E-2</v>
      </c>
      <c r="X424">
        <v>-1.5932399199337109E-2</v>
      </c>
      <c r="Y424">
        <v>2.6404710926031787E-2</v>
      </c>
    </row>
    <row r="425" spans="1:25" x14ac:dyDescent="0.25">
      <c r="A425" s="879"/>
      <c r="B425" s="1133">
        <v>175</v>
      </c>
      <c r="C425" s="883">
        <v>1.0004927674215387</v>
      </c>
      <c r="D425" s="883">
        <v>0.99053466992835104</v>
      </c>
      <c r="E425" s="883">
        <v>1.0207790956280658</v>
      </c>
      <c r="F425" s="883">
        <v>0.97915399599811803</v>
      </c>
      <c r="G425" s="883">
        <v>0.99597896520640339</v>
      </c>
      <c r="H425" s="883">
        <v>1.0399065291841658</v>
      </c>
      <c r="I425" s="883">
        <v>0.98430916735030827</v>
      </c>
      <c r="K425">
        <v>1.5967699865723539</v>
      </c>
      <c r="L425">
        <v>0</v>
      </c>
      <c r="M425">
        <v>6.5705883157325205E-3</v>
      </c>
      <c r="N425">
        <v>0.12632762574979428</v>
      </c>
      <c r="O425">
        <v>3.0931617712226789E-2</v>
      </c>
      <c r="P425">
        <v>1.8274258035087875E-2</v>
      </c>
      <c r="Q425">
        <v>0</v>
      </c>
      <c r="R425">
        <v>6.5705883157325205E-3</v>
      </c>
      <c r="S425">
        <v>0.16837662890157609</v>
      </c>
      <c r="T425">
        <v>1.1608548809057584</v>
      </c>
      <c r="U425">
        <v>0</v>
      </c>
      <c r="V425">
        <v>1.5851226568735891E-2</v>
      </c>
      <c r="W425">
        <v>6.5810344045841074E-2</v>
      </c>
      <c r="X425">
        <v>-1.6713108509731775E-2</v>
      </c>
      <c r="Y425">
        <v>2.7056513163064219E-2</v>
      </c>
    </row>
    <row r="426" spans="1:25" x14ac:dyDescent="0.25">
      <c r="A426" s="879"/>
      <c r="B426" s="1133">
        <v>176</v>
      </c>
      <c r="C426" s="883">
        <v>0.98496122311314316</v>
      </c>
      <c r="D426" s="883">
        <v>1.0059809556446178</v>
      </c>
      <c r="E426" s="883">
        <v>1.0181948837720634</v>
      </c>
      <c r="F426" s="883">
        <v>0.99490726953875075</v>
      </c>
      <c r="G426" s="883">
        <v>1.0242001151028624</v>
      </c>
      <c r="H426" s="883">
        <v>1.0212933713192072</v>
      </c>
      <c r="I426" s="883">
        <v>0.99466224815812476</v>
      </c>
      <c r="K426">
        <v>1.6175124321712917</v>
      </c>
      <c r="L426">
        <v>0</v>
      </c>
      <c r="M426">
        <v>6.5243918996287674E-3</v>
      </c>
      <c r="N426">
        <v>0.12496081049459182</v>
      </c>
      <c r="O426">
        <v>3.1227877015596681E-2</v>
      </c>
      <c r="P426">
        <v>1.8537416121432664E-2</v>
      </c>
      <c r="Q426">
        <v>0</v>
      </c>
      <c r="R426">
        <v>6.5243918996287674E-3</v>
      </c>
      <c r="S426">
        <v>0.17156530393136882</v>
      </c>
      <c r="T426">
        <v>1.1795790406462325</v>
      </c>
      <c r="U426">
        <v>0</v>
      </c>
      <c r="V426">
        <v>1.5937149205172758E-2</v>
      </c>
      <c r="W426">
        <v>6.518124002353648E-2</v>
      </c>
      <c r="X426">
        <v>-1.6342689810843872E-2</v>
      </c>
      <c r="Y426">
        <v>2.6866284544204502E-2</v>
      </c>
    </row>
    <row r="427" spans="1:25" x14ac:dyDescent="0.25">
      <c r="A427" s="879"/>
      <c r="B427" s="1133">
        <v>177</v>
      </c>
      <c r="C427" s="883">
        <v>1.0120945456190118</v>
      </c>
      <c r="D427" s="883">
        <v>1.0119650016803319</v>
      </c>
      <c r="E427" s="883">
        <v>0.98646692038284522</v>
      </c>
      <c r="F427" s="883">
        <v>1.0063107371086581</v>
      </c>
      <c r="G427" s="883">
        <v>0.9915905689804313</v>
      </c>
      <c r="H427" s="883">
        <v>1.0283294501697855</v>
      </c>
      <c r="I427" s="883">
        <v>1.0256276782155869</v>
      </c>
      <c r="K427">
        <v>1.6252260756076795</v>
      </c>
      <c r="L427">
        <v>0</v>
      </c>
      <c r="M427">
        <v>6.5555884449951703E-3</v>
      </c>
      <c r="N427">
        <v>0.11979404837880435</v>
      </c>
      <c r="O427">
        <v>3.0345442429575771E-2</v>
      </c>
      <c r="P427">
        <v>1.8294781793531147E-2</v>
      </c>
      <c r="Q427">
        <v>0</v>
      </c>
      <c r="R427">
        <v>6.5555884449951703E-3</v>
      </c>
      <c r="S427">
        <v>0.17247671514348886</v>
      </c>
      <c r="T427">
        <v>1.1936922502334377</v>
      </c>
      <c r="U427">
        <v>0</v>
      </c>
      <c r="V427">
        <v>1.5788764615399312E-2</v>
      </c>
      <c r="W427">
        <v>6.3477647021408484E-2</v>
      </c>
      <c r="X427">
        <v>-1.5638320373211799E-2</v>
      </c>
      <c r="Y427">
        <v>2.6994746365245282E-2</v>
      </c>
    </row>
    <row r="428" spans="1:25" x14ac:dyDescent="0.25">
      <c r="A428" s="879"/>
      <c r="B428" s="1133">
        <v>178</v>
      </c>
      <c r="C428" s="883">
        <v>1.0357121134482155</v>
      </c>
      <c r="D428" s="883">
        <v>0.96444682588863173</v>
      </c>
      <c r="E428" s="883">
        <v>0.99112914653060868</v>
      </c>
      <c r="F428" s="883">
        <v>0.99665207210117446</v>
      </c>
      <c r="G428" s="883">
        <v>0.96277197511510471</v>
      </c>
      <c r="H428" s="883">
        <v>0.98625510571223896</v>
      </c>
      <c r="I428" s="883">
        <v>1.0132574224980118</v>
      </c>
      <c r="K428">
        <v>1.5976191524001859</v>
      </c>
      <c r="L428">
        <v>0</v>
      </c>
      <c r="M428">
        <v>6.2518295113335766E-3</v>
      </c>
      <c r="N428">
        <v>0.11503575599465059</v>
      </c>
      <c r="O428">
        <v>3.0225722866436183E-2</v>
      </c>
      <c r="P428">
        <v>1.8100587893915849E-2</v>
      </c>
      <c r="Q428">
        <v>0</v>
      </c>
      <c r="R428">
        <v>6.2518295113335766E-3</v>
      </c>
      <c r="S428">
        <v>0.16461417088887384</v>
      </c>
      <c r="T428">
        <v>1.1821484936326241</v>
      </c>
      <c r="U428">
        <v>0</v>
      </c>
      <c r="V428">
        <v>1.5665935571232324E-2</v>
      </c>
      <c r="W428">
        <v>6.0814654176322508E-2</v>
      </c>
      <c r="X428">
        <v>-1.473008976737052E-2</v>
      </c>
      <c r="Y428">
        <v>2.5743921143501488E-2</v>
      </c>
    </row>
    <row r="429" spans="1:25" x14ac:dyDescent="0.25">
      <c r="A429" s="879"/>
      <c r="B429" s="1133">
        <v>179</v>
      </c>
      <c r="C429" s="883">
        <v>1.0039489357843869</v>
      </c>
      <c r="D429" s="883">
        <v>0.99482089131184881</v>
      </c>
      <c r="E429" s="883">
        <v>0.97100562471875829</v>
      </c>
      <c r="F429" s="883">
        <v>1.0110563084509046</v>
      </c>
      <c r="G429" s="883">
        <v>0.9747193449828262</v>
      </c>
      <c r="H429" s="883">
        <v>1.0146815298588392</v>
      </c>
      <c r="I429" s="883">
        <v>0.95998538798240529</v>
      </c>
      <c r="K429">
        <v>1.6207030529604878</v>
      </c>
      <c r="L429">
        <v>0</v>
      </c>
      <c r="M429">
        <v>6.6600880247566548E-3</v>
      </c>
      <c r="N429">
        <v>0.11894331814569109</v>
      </c>
      <c r="O429">
        <v>3.081362512088914E-2</v>
      </c>
      <c r="P429">
        <v>1.8020326747222561E-2</v>
      </c>
      <c r="Q429">
        <v>0</v>
      </c>
      <c r="R429">
        <v>6.6600880247566548E-3</v>
      </c>
      <c r="S429">
        <v>0.16215041521957954</v>
      </c>
      <c r="T429">
        <v>1.199613456795743</v>
      </c>
      <c r="U429">
        <v>0</v>
      </c>
      <c r="V429">
        <v>1.5832468187661205E-2</v>
      </c>
      <c r="W429">
        <v>6.3516932448001995E-2</v>
      </c>
      <c r="X429">
        <v>-1.5612546738773561E-2</v>
      </c>
      <c r="Y429">
        <v>2.7425057034471262E-2</v>
      </c>
    </row>
    <row r="430" spans="1:25" x14ac:dyDescent="0.25">
      <c r="A430" s="879"/>
      <c r="B430" s="1133">
        <v>180</v>
      </c>
      <c r="C430" s="883">
        <v>1.0037686876757379</v>
      </c>
      <c r="D430" s="883">
        <v>0.96975128801936916</v>
      </c>
      <c r="E430" s="883">
        <v>1.0084992578164176</v>
      </c>
      <c r="F430" s="883">
        <v>0.9807871301126313</v>
      </c>
      <c r="G430" s="883">
        <v>1.0264537849084792</v>
      </c>
      <c r="H430" s="883">
        <v>1.0049615860430894</v>
      </c>
      <c r="I430" s="883">
        <v>1.0009956117050476</v>
      </c>
      <c r="K430">
        <v>1.593443374827066</v>
      </c>
      <c r="L430">
        <v>0</v>
      </c>
      <c r="M430">
        <v>6.4583022797674462E-3</v>
      </c>
      <c r="N430">
        <v>0.12193269268523713</v>
      </c>
      <c r="O430">
        <v>3.1104358503659876E-2</v>
      </c>
      <c r="P430">
        <v>1.8142409264653485E-2</v>
      </c>
      <c r="Q430">
        <v>0</v>
      </c>
      <c r="R430">
        <v>6.4583022797674462E-3</v>
      </c>
      <c r="S430">
        <v>0.16885535982170477</v>
      </c>
      <c r="T430">
        <v>1.1630141372730782</v>
      </c>
      <c r="U430">
        <v>0</v>
      </c>
      <c r="V430">
        <v>1.5833443292900203E-2</v>
      </c>
      <c r="W430">
        <v>6.3907052020383007E-2</v>
      </c>
      <c r="X430">
        <v>-1.5940217287681149E-2</v>
      </c>
      <c r="Y430">
        <v>2.6594139253129399E-2</v>
      </c>
    </row>
    <row r="431" spans="1:25" x14ac:dyDescent="0.25">
      <c r="A431" s="879"/>
      <c r="B431" s="1133">
        <v>181</v>
      </c>
      <c r="C431" s="883">
        <v>1.012668211146925</v>
      </c>
      <c r="D431" s="883">
        <v>1.009538951551002</v>
      </c>
      <c r="E431" s="883">
        <v>0.98735769126721895</v>
      </c>
      <c r="F431" s="883">
        <v>0.96376167171945548</v>
      </c>
      <c r="G431" s="883">
        <v>1.0067876026053331</v>
      </c>
      <c r="H431" s="883">
        <v>1.0131172197062845</v>
      </c>
      <c r="I431" s="883">
        <v>0.99931211251088425</v>
      </c>
      <c r="K431">
        <v>1.5657873603038179</v>
      </c>
      <c r="L431">
        <v>0</v>
      </c>
      <c r="M431">
        <v>6.4568429632340931E-3</v>
      </c>
      <c r="N431">
        <v>0.11814557556702318</v>
      </c>
      <c r="O431">
        <v>3.0356671827170049E-2</v>
      </c>
      <c r="P431">
        <v>1.7567444905204656E-2</v>
      </c>
      <c r="Q431">
        <v>0</v>
      </c>
      <c r="R431">
        <v>6.4568429632340931E-3</v>
      </c>
      <c r="S431">
        <v>0.16711579372258317</v>
      </c>
      <c r="T431">
        <v>1.14320427159047</v>
      </c>
      <c r="U431">
        <v>0</v>
      </c>
      <c r="V431">
        <v>1.5785713233729882E-2</v>
      </c>
      <c r="W431">
        <v>6.2576300473323632E-2</v>
      </c>
      <c r="X431">
        <v>-1.5552541063081494E-2</v>
      </c>
      <c r="Y431">
        <v>2.6588130047393702E-2</v>
      </c>
    </row>
    <row r="432" spans="1:25" x14ac:dyDescent="0.25">
      <c r="A432" s="879"/>
      <c r="B432" s="1133">
        <v>182</v>
      </c>
      <c r="C432" s="883">
        <v>0.97849480131503053</v>
      </c>
      <c r="D432" s="883">
        <v>1.0192145552675349</v>
      </c>
      <c r="E432" s="883">
        <v>0.99975029040619345</v>
      </c>
      <c r="F432" s="883">
        <v>0.97497630271520175</v>
      </c>
      <c r="G432" s="883">
        <v>1.0322157228859217</v>
      </c>
      <c r="H432" s="883">
        <v>1.0144840817832752</v>
      </c>
      <c r="I432" s="883">
        <v>1.0114188528842865</v>
      </c>
      <c r="K432">
        <v>1.5950434968361147</v>
      </c>
      <c r="L432">
        <v>0</v>
      </c>
      <c r="M432">
        <v>6.5912825890189382E-3</v>
      </c>
      <c r="N432">
        <v>0.1228412899305493</v>
      </c>
      <c r="O432">
        <v>3.1286759948940597E-2</v>
      </c>
      <c r="P432">
        <v>1.801769212850237E-2</v>
      </c>
      <c r="Q432">
        <v>0</v>
      </c>
      <c r="R432">
        <v>6.5912825890189382E-3</v>
      </c>
      <c r="S432">
        <v>0.1750416830294437</v>
      </c>
      <c r="T432">
        <v>1.1562820555929134</v>
      </c>
      <c r="U432">
        <v>0</v>
      </c>
      <c r="V432">
        <v>1.597372657008472E-2</v>
      </c>
      <c r="W432">
        <v>6.4663146801102453E-2</v>
      </c>
      <c r="X432">
        <v>-1.6204585662436131E-2</v>
      </c>
      <c r="Y432">
        <v>2.7141728497014361E-2</v>
      </c>
    </row>
    <row r="433" spans="1:25" x14ac:dyDescent="0.25">
      <c r="A433" s="879"/>
      <c r="B433" s="1133">
        <v>183</v>
      </c>
      <c r="C433" s="883">
        <v>1.0176857434606332</v>
      </c>
      <c r="D433" s="883">
        <v>1.0070384206680303</v>
      </c>
      <c r="E433" s="883">
        <v>0.99581885815045756</v>
      </c>
      <c r="F433" s="883">
        <v>1.014760113969178</v>
      </c>
      <c r="G433" s="883">
        <v>0.98915925691443474</v>
      </c>
      <c r="H433" s="883">
        <v>0.98119341284028505</v>
      </c>
      <c r="I433" s="883">
        <v>1.0005955542319915</v>
      </c>
      <c r="K433">
        <v>1.6186836445875028</v>
      </c>
      <c r="L433">
        <v>0</v>
      </c>
      <c r="M433">
        <v>6.1836047979850293E-3</v>
      </c>
      <c r="N433">
        <v>0.11457405039022864</v>
      </c>
      <c r="O433">
        <v>3.0230129736579268E-2</v>
      </c>
      <c r="P433">
        <v>1.8453258465699389E-2</v>
      </c>
      <c r="Q433">
        <v>0</v>
      </c>
      <c r="R433">
        <v>6.1836047979850293E-3</v>
      </c>
      <c r="S433">
        <v>0.16472557384331529</v>
      </c>
      <c r="T433">
        <v>1.2035382139329791</v>
      </c>
      <c r="U433">
        <v>0</v>
      </c>
      <c r="V433">
        <v>1.5759171129439482E-2</v>
      </c>
      <c r="W433">
        <v>6.0429284754250863E-2</v>
      </c>
      <c r="X433">
        <v>-1.4489021582468797E-2</v>
      </c>
      <c r="Y433">
        <v>2.5462983917478445E-2</v>
      </c>
    </row>
    <row r="434" spans="1:25" x14ac:dyDescent="0.25">
      <c r="A434" s="879"/>
      <c r="B434" s="1133">
        <v>184</v>
      </c>
      <c r="C434" s="883">
        <v>1.0266320967292413</v>
      </c>
      <c r="D434" s="883">
        <v>1.0094236271537997</v>
      </c>
      <c r="E434" s="883">
        <v>1.0033774847062882</v>
      </c>
      <c r="F434" s="883">
        <v>1.0375178615728819</v>
      </c>
      <c r="G434" s="883">
        <v>1.0208760288815855</v>
      </c>
      <c r="H434" s="883">
        <v>1.0235541194486382</v>
      </c>
      <c r="I434" s="883">
        <v>1.0070743335051531</v>
      </c>
      <c r="K434">
        <v>1.6540440263310459</v>
      </c>
      <c r="L434">
        <v>0</v>
      </c>
      <c r="M434">
        <v>6.3455782648461235E-3</v>
      </c>
      <c r="N434">
        <v>0.11889924730367994</v>
      </c>
      <c r="O434">
        <v>2.9932117105970608E-2</v>
      </c>
      <c r="P434">
        <v>1.8945535771094778E-2</v>
      </c>
      <c r="Q434">
        <v>0</v>
      </c>
      <c r="R434">
        <v>6.3455782648461235E-3</v>
      </c>
      <c r="S434">
        <v>0.16673237466825913</v>
      </c>
      <c r="T434">
        <v>1.2303838732089194</v>
      </c>
      <c r="U434">
        <v>0</v>
      </c>
      <c r="V434">
        <v>1.5712489763462598E-2</v>
      </c>
      <c r="W434">
        <v>6.2475499880999326E-2</v>
      </c>
      <c r="X434">
        <v>-1.5167073195151422E-2</v>
      </c>
      <c r="Y434">
        <v>2.6129961823810083E-2</v>
      </c>
    </row>
    <row r="435" spans="1:25" x14ac:dyDescent="0.25">
      <c r="A435" s="879"/>
      <c r="B435" s="1133">
        <v>185</v>
      </c>
      <c r="C435" s="883">
        <v>1.0448022957095147</v>
      </c>
      <c r="D435" s="883">
        <v>1.0166083828244779</v>
      </c>
      <c r="E435" s="883">
        <v>0.98435736972149512</v>
      </c>
      <c r="F435" s="883">
        <v>1.003893362083446</v>
      </c>
      <c r="G435" s="883">
        <v>0.98208550391735416</v>
      </c>
      <c r="H435" s="883">
        <v>0.98610091377631914</v>
      </c>
      <c r="I435" s="883">
        <v>0.98474960755096319</v>
      </c>
      <c r="K435">
        <v>1.5927331100330848</v>
      </c>
      <c r="L435">
        <v>0</v>
      </c>
      <c r="M435">
        <v>6.0883651655837577E-3</v>
      </c>
      <c r="N435">
        <v>0.11090867114718421</v>
      </c>
      <c r="O435">
        <v>2.9343314220221517E-2</v>
      </c>
      <c r="P435">
        <v>1.80349748789396E-2</v>
      </c>
      <c r="Q435">
        <v>0</v>
      </c>
      <c r="R435">
        <v>6.0883651655837577E-3</v>
      </c>
      <c r="S435">
        <v>0.15807970379471384</v>
      </c>
      <c r="T435">
        <v>1.1908642386799781</v>
      </c>
      <c r="U435">
        <v>0</v>
      </c>
      <c r="V435">
        <v>1.5620139791464286E-2</v>
      </c>
      <c r="W435">
        <v>5.8831348023607344E-2</v>
      </c>
      <c r="X435">
        <v>-1.4020084566297645E-2</v>
      </c>
      <c r="Y435">
        <v>2.5070804063272643E-2</v>
      </c>
    </row>
    <row r="436" spans="1:25" x14ac:dyDescent="0.25">
      <c r="A436" s="879"/>
      <c r="B436" s="1133">
        <v>186</v>
      </c>
      <c r="C436" s="883">
        <v>0.97463827315079143</v>
      </c>
      <c r="D436" s="883">
        <v>0.98989523656852407</v>
      </c>
      <c r="E436" s="883">
        <v>0.96293679651994479</v>
      </c>
      <c r="F436" s="883">
        <v>0.99643579259235504</v>
      </c>
      <c r="G436" s="883">
        <v>0.99958301327707511</v>
      </c>
      <c r="H436" s="883">
        <v>0.99881314667373666</v>
      </c>
      <c r="I436" s="883">
        <v>1.0179820476455579</v>
      </c>
      <c r="K436">
        <v>1.6212116667323067</v>
      </c>
      <c r="L436">
        <v>0</v>
      </c>
      <c r="M436">
        <v>6.8157652383636427E-3</v>
      </c>
      <c r="N436">
        <v>0.12027365066364641</v>
      </c>
      <c r="O436">
        <v>3.1809643925282335E-2</v>
      </c>
      <c r="P436">
        <v>1.7868766603036282E-2</v>
      </c>
      <c r="Q436">
        <v>0</v>
      </c>
      <c r="R436">
        <v>6.8157652383636427E-3</v>
      </c>
      <c r="S436">
        <v>0.17619888714269888</v>
      </c>
      <c r="T436">
        <v>1.1824168671980475</v>
      </c>
      <c r="U436">
        <v>0</v>
      </c>
      <c r="V436">
        <v>1.5995772101088979E-2</v>
      </c>
      <c r="W436">
        <v>6.4488747704729718E-2</v>
      </c>
      <c r="X436">
        <v>-1.5906776696817133E-2</v>
      </c>
      <c r="Y436">
        <v>2.8066108090593778E-2</v>
      </c>
    </row>
    <row r="437" spans="1:25" x14ac:dyDescent="0.25">
      <c r="A437" s="879"/>
      <c r="B437" s="1133">
        <v>187</v>
      </c>
      <c r="C437" s="883">
        <v>0.96141723069553586</v>
      </c>
      <c r="D437" s="883">
        <v>0.97741202922179626</v>
      </c>
      <c r="E437" s="883">
        <v>1.0125580366019287</v>
      </c>
      <c r="F437" s="883">
        <v>1.003616299351918</v>
      </c>
      <c r="G437" s="883">
        <v>1.0203633459342056</v>
      </c>
      <c r="H437" s="883">
        <v>0.97197832041005283</v>
      </c>
      <c r="I437" s="883">
        <v>1.0341488061210253</v>
      </c>
      <c r="K437">
        <v>1.6352913179277941</v>
      </c>
      <c r="L437">
        <v>0</v>
      </c>
      <c r="M437">
        <v>6.4755851928498731E-3</v>
      </c>
      <c r="N437">
        <v>0.12299577626405425</v>
      </c>
      <c r="O437">
        <v>3.2368729906460871E-2</v>
      </c>
      <c r="P437">
        <v>1.871573043058004E-2</v>
      </c>
      <c r="Q437">
        <v>0</v>
      </c>
      <c r="R437">
        <v>6.4755851928498731E-3</v>
      </c>
      <c r="S437">
        <v>0.17996763029325163</v>
      </c>
      <c r="T437">
        <v>1.1900093731211856</v>
      </c>
      <c r="U437">
        <v>0</v>
      </c>
      <c r="V437">
        <v>1.6072691587841435E-2</v>
      </c>
      <c r="W437">
        <v>6.4334977838918214E-2</v>
      </c>
      <c r="X437">
        <v>-1.5838898727457019E-2</v>
      </c>
      <c r="Y437">
        <v>2.6665307212958976E-2</v>
      </c>
    </row>
    <row r="438" spans="1:25" x14ac:dyDescent="0.25">
      <c r="A438" s="879"/>
      <c r="B438" s="1133">
        <v>188</v>
      </c>
      <c r="C438" s="883">
        <v>1.0337451916442764</v>
      </c>
      <c r="D438" s="883">
        <v>1.0222576329739474</v>
      </c>
      <c r="E438" s="883">
        <v>1.0151508733937744</v>
      </c>
      <c r="F438" s="883">
        <v>1.0192871326030102</v>
      </c>
      <c r="G438" s="883">
        <v>1.0081480465713031</v>
      </c>
      <c r="H438" s="883">
        <v>0.97846194692356503</v>
      </c>
      <c r="I438" s="883">
        <v>1.0029541553256904</v>
      </c>
      <c r="K438">
        <v>1.6173243956333465</v>
      </c>
      <c r="L438">
        <v>0</v>
      </c>
      <c r="M438">
        <v>5.9291078280674986E-3</v>
      </c>
      <c r="N438">
        <v>0.11304908302442906</v>
      </c>
      <c r="O438">
        <v>2.9566397723935385E-2</v>
      </c>
      <c r="P438">
        <v>1.8757686734107593E-2</v>
      </c>
      <c r="Q438">
        <v>0</v>
      </c>
      <c r="R438">
        <v>5.9291078280674986E-3</v>
      </c>
      <c r="S438">
        <v>0.16227971548315989</v>
      </c>
      <c r="T438">
        <v>1.2085416594486251</v>
      </c>
      <c r="U438">
        <v>0</v>
      </c>
      <c r="V438">
        <v>1.5675950793164202E-2</v>
      </c>
      <c r="W438">
        <v>5.9056529411948125E-2</v>
      </c>
      <c r="X438">
        <v>-1.401763768015434E-2</v>
      </c>
      <c r="Y438">
        <v>2.4415010694130036E-2</v>
      </c>
    </row>
    <row r="439" spans="1:25" x14ac:dyDescent="0.25">
      <c r="A439" s="879"/>
      <c r="B439" s="1133">
        <v>189</v>
      </c>
      <c r="C439" s="883">
        <v>1.0150400632717995</v>
      </c>
      <c r="D439" s="883">
        <v>0.97053810220364722</v>
      </c>
      <c r="E439" s="883">
        <v>0.98973368254252103</v>
      </c>
      <c r="F439" s="883">
        <v>0.99779080049786284</v>
      </c>
      <c r="G439" s="883">
        <v>1.0283418919653884</v>
      </c>
      <c r="H439" s="883">
        <v>1.0174474388437089</v>
      </c>
      <c r="I439" s="883">
        <v>0.97341160951803285</v>
      </c>
      <c r="K439">
        <v>1.6068910593589407</v>
      </c>
      <c r="L439">
        <v>0</v>
      </c>
      <c r="M439">
        <v>6.5704127063890335E-3</v>
      </c>
      <c r="N439">
        <v>0.12064793616089517</v>
      </c>
      <c r="O439">
        <v>3.076486504265263E-2</v>
      </c>
      <c r="P439">
        <v>1.8080250000644366E-2</v>
      </c>
      <c r="Q439">
        <v>0</v>
      </c>
      <c r="R439">
        <v>6.5704127063890335E-3</v>
      </c>
      <c r="S439">
        <v>0.16305456497787815</v>
      </c>
      <c r="T439">
        <v>1.1835250976819123</v>
      </c>
      <c r="U439">
        <v>0</v>
      </c>
      <c r="V439">
        <v>1.5773133736354094E-2</v>
      </c>
      <c r="W439">
        <v>6.382597355152303E-2</v>
      </c>
      <c r="X439">
        <v>-1.5836551827963643E-2</v>
      </c>
      <c r="Y439">
        <v>2.7055790035045029E-2</v>
      </c>
    </row>
    <row r="440" spans="1:25" x14ac:dyDescent="0.25">
      <c r="A440" s="879"/>
      <c r="B440" s="1133">
        <v>190</v>
      </c>
      <c r="C440" s="883">
        <v>1.0053548291933099</v>
      </c>
      <c r="D440" s="883">
        <v>0.99478781116414261</v>
      </c>
      <c r="E440" s="883">
        <v>1.0009647272013531</v>
      </c>
      <c r="F440" s="883">
        <v>0.96853972113826303</v>
      </c>
      <c r="G440" s="883">
        <v>1.0085707451929145</v>
      </c>
      <c r="H440" s="883">
        <v>0.97031032316517163</v>
      </c>
      <c r="I440" s="883">
        <v>0.9999890382076283</v>
      </c>
      <c r="K440">
        <v>1.5663327891365404</v>
      </c>
      <c r="L440">
        <v>0</v>
      </c>
      <c r="M440">
        <v>6.195994068953983E-3</v>
      </c>
      <c r="N440">
        <v>0.11568226332066528</v>
      </c>
      <c r="O440">
        <v>3.0746752071688525E-2</v>
      </c>
      <c r="P440">
        <v>1.7810472625949991E-2</v>
      </c>
      <c r="Q440">
        <v>0</v>
      </c>
      <c r="R440">
        <v>6.195994068953983E-3</v>
      </c>
      <c r="S440">
        <v>0.16613888613080949</v>
      </c>
      <c r="T440">
        <v>1.148626674174243</v>
      </c>
      <c r="U440">
        <v>0</v>
      </c>
      <c r="V440">
        <v>1.5824874592430014E-2</v>
      </c>
      <c r="W440">
        <v>6.0857953825905899E-2</v>
      </c>
      <c r="X440">
        <v>-1.4869088335273135E-2</v>
      </c>
      <c r="Y440">
        <v>2.5514000730120587E-2</v>
      </c>
    </row>
    <row r="441" spans="1:25" x14ac:dyDescent="0.25">
      <c r="A441" s="879"/>
      <c r="B441" s="1133">
        <v>191</v>
      </c>
      <c r="C441" s="883">
        <v>1.0076850887739781</v>
      </c>
      <c r="D441" s="883">
        <v>0.97332576926660364</v>
      </c>
      <c r="E441" s="883">
        <v>0.99731422832516936</v>
      </c>
      <c r="F441" s="883">
        <v>0.97905370449918716</v>
      </c>
      <c r="G441" s="883">
        <v>0.96620046977165863</v>
      </c>
      <c r="H441" s="883">
        <v>0.96716630463119968</v>
      </c>
      <c r="I441" s="883">
        <v>0.97161781717500051</v>
      </c>
      <c r="K441">
        <v>1.5746527778731048</v>
      </c>
      <c r="L441">
        <v>0</v>
      </c>
      <c r="M441">
        <v>6.2417986391027956E-3</v>
      </c>
      <c r="N441">
        <v>0.11590886679837058</v>
      </c>
      <c r="O441">
        <v>3.0947551997244957E-2</v>
      </c>
      <c r="P441">
        <v>1.7860628565543896E-2</v>
      </c>
      <c r="Q441">
        <v>0</v>
      </c>
      <c r="R441">
        <v>6.2417986391027956E-3</v>
      </c>
      <c r="S441">
        <v>0.16107416226659402</v>
      </c>
      <c r="T441">
        <v>1.1611620293116258</v>
      </c>
      <c r="U441">
        <v>0</v>
      </c>
      <c r="V441">
        <v>1.5812334921415181E-2</v>
      </c>
      <c r="W441">
        <v>6.1087853503873919E-2</v>
      </c>
      <c r="X441">
        <v>-1.4903265288647808E-2</v>
      </c>
      <c r="Y441">
        <v>2.5702615797083835E-2</v>
      </c>
    </row>
    <row r="442" spans="1:25" x14ac:dyDescent="0.25">
      <c r="A442" s="879"/>
      <c r="B442" s="1133">
        <v>192</v>
      </c>
      <c r="C442" s="883">
        <v>0.98842094234994049</v>
      </c>
      <c r="D442" s="883">
        <v>0.98408496640124876</v>
      </c>
      <c r="E442" s="883">
        <v>1.0178634854966697</v>
      </c>
      <c r="F442" s="883">
        <v>1.0017648163589257</v>
      </c>
      <c r="G442" s="883">
        <v>0.99496370197587314</v>
      </c>
      <c r="H442" s="883">
        <v>0.99175229580041302</v>
      </c>
      <c r="I442" s="883">
        <v>0.99841212636807974</v>
      </c>
      <c r="K442">
        <v>1.6200757399829975</v>
      </c>
      <c r="L442">
        <v>0</v>
      </c>
      <c r="M442">
        <v>6.3776401684689085E-3</v>
      </c>
      <c r="N442">
        <v>0.12209021790545566</v>
      </c>
      <c r="O442">
        <v>3.1394006600472632E-2</v>
      </c>
      <c r="P442">
        <v>1.8623038779581338E-2</v>
      </c>
      <c r="Q442">
        <v>0</v>
      </c>
      <c r="R442">
        <v>6.3776401684689085E-3</v>
      </c>
      <c r="S442">
        <v>0.17010660847179204</v>
      </c>
      <c r="T442">
        <v>1.1877156088291509</v>
      </c>
      <c r="U442">
        <v>0</v>
      </c>
      <c r="V442">
        <v>1.5917775806050489E-2</v>
      </c>
      <c r="W442">
        <v>6.3694305576421764E-2</v>
      </c>
      <c r="X442">
        <v>-1.572780902205051E-2</v>
      </c>
      <c r="Y442">
        <v>2.6261987036122609E-2</v>
      </c>
    </row>
    <row r="443" spans="1:25" x14ac:dyDescent="0.25">
      <c r="A443" s="879"/>
      <c r="B443" s="1133">
        <v>193</v>
      </c>
      <c r="C443" s="883">
        <v>0.98184466119186675</v>
      </c>
      <c r="D443" s="883">
        <v>0.98088010884282817</v>
      </c>
      <c r="E443" s="883">
        <v>0.99208218671768289</v>
      </c>
      <c r="F443" s="883">
        <v>1.0115316929169149</v>
      </c>
      <c r="G443" s="883">
        <v>1.0091897264168126</v>
      </c>
      <c r="H443" s="883">
        <v>0.99453289398778799</v>
      </c>
      <c r="I443" s="883">
        <v>1.0007718547248292</v>
      </c>
      <c r="K443">
        <v>1.6347487099298803</v>
      </c>
      <c r="L443">
        <v>0</v>
      </c>
      <c r="M443">
        <v>6.5946832509468922E-3</v>
      </c>
      <c r="N443">
        <v>0.12151593485093144</v>
      </c>
      <c r="O443">
        <v>3.1668450699401773E-2</v>
      </c>
      <c r="P443">
        <v>1.8447953161464432E-2</v>
      </c>
      <c r="Q443">
        <v>0</v>
      </c>
      <c r="R443">
        <v>6.5946832509468922E-3</v>
      </c>
      <c r="S443">
        <v>0.17182240820056757</v>
      </c>
      <c r="T443">
        <v>1.1997795504099673</v>
      </c>
      <c r="U443">
        <v>0</v>
      </c>
      <c r="V443">
        <v>1.5954717915610189E-2</v>
      </c>
      <c r="W443">
        <v>6.420995415123211E-2</v>
      </c>
      <c r="X443">
        <v>-1.5805991276833641E-2</v>
      </c>
      <c r="Y443">
        <v>2.7155731817538411E-2</v>
      </c>
    </row>
    <row r="444" spans="1:25" x14ac:dyDescent="0.25">
      <c r="A444" s="879"/>
      <c r="B444" s="1133">
        <v>194</v>
      </c>
      <c r="C444" s="883">
        <v>0.99268908062391292</v>
      </c>
      <c r="D444" s="883">
        <v>0.98454762290498399</v>
      </c>
      <c r="E444" s="883">
        <v>1.0375309433940896</v>
      </c>
      <c r="F444" s="883">
        <v>1.0289653041904565</v>
      </c>
      <c r="G444" s="883">
        <v>0.99215600502791523</v>
      </c>
      <c r="H444" s="883">
        <v>0.99468592559794511</v>
      </c>
      <c r="I444" s="883">
        <v>0.99902690331143928</v>
      </c>
      <c r="K444">
        <v>1.6529506069960116</v>
      </c>
      <c r="L444">
        <v>0</v>
      </c>
      <c r="M444">
        <v>6.2588780180196386E-3</v>
      </c>
      <c r="N444">
        <v>0.12335179256586071</v>
      </c>
      <c r="O444">
        <v>3.1234582993635705E-2</v>
      </c>
      <c r="P444">
        <v>1.9327946546199404E-2</v>
      </c>
      <c r="Q444">
        <v>0</v>
      </c>
      <c r="R444">
        <v>6.2588780180196386E-3</v>
      </c>
      <c r="S444">
        <v>0.16966839113638291</v>
      </c>
      <c r="T444">
        <v>1.2195915012325877</v>
      </c>
      <c r="U444">
        <v>0</v>
      </c>
      <c r="V444">
        <v>1.5894061559082302E-2</v>
      </c>
      <c r="W444">
        <v>6.3733962915907147E-2</v>
      </c>
      <c r="X444">
        <v>-1.5624577593090872E-2</v>
      </c>
      <c r="Y444">
        <v>2.5772945639447275E-2</v>
      </c>
    </row>
    <row r="445" spans="1:25" x14ac:dyDescent="0.25">
      <c r="A445" s="879"/>
      <c r="B445" s="1133">
        <v>195</v>
      </c>
      <c r="C445" s="883">
        <v>1.0294293649603117</v>
      </c>
      <c r="D445" s="883">
        <v>0.9743312602735571</v>
      </c>
      <c r="E445" s="883">
        <v>1.0104752398082468</v>
      </c>
      <c r="F445" s="883">
        <v>1.0004592877452894</v>
      </c>
      <c r="G445" s="883">
        <v>1.0081610567196035</v>
      </c>
      <c r="H445" s="883">
        <v>1.0290800310207202</v>
      </c>
      <c r="I445" s="883">
        <v>1.0216190447366913</v>
      </c>
      <c r="K445">
        <v>1.6161239304061816</v>
      </c>
      <c r="L445">
        <v>0</v>
      </c>
      <c r="M445">
        <v>6.4237778058751855E-3</v>
      </c>
      <c r="N445">
        <v>0.12163617630301547</v>
      </c>
      <c r="O445">
        <v>3.0270205954386734E-2</v>
      </c>
      <c r="P445">
        <v>1.8488732538505578E-2</v>
      </c>
      <c r="Q445">
        <v>0</v>
      </c>
      <c r="R445">
        <v>6.4237778058751855E-3</v>
      </c>
      <c r="S445">
        <v>0.16939397666256811</v>
      </c>
      <c r="T445">
        <v>1.1863046582562253</v>
      </c>
      <c r="U445">
        <v>0</v>
      </c>
      <c r="V445">
        <v>1.5698060347156678E-2</v>
      </c>
      <c r="W445">
        <v>6.3689353064437917E-2</v>
      </c>
      <c r="X445">
        <v>-1.5809206334881833E-2</v>
      </c>
      <c r="Y445">
        <v>2.645197361476833E-2</v>
      </c>
    </row>
    <row r="446" spans="1:25" x14ac:dyDescent="0.25">
      <c r="A446" s="879"/>
      <c r="B446" s="1133">
        <v>196</v>
      </c>
      <c r="C446" s="883">
        <v>1.0007172513937799</v>
      </c>
      <c r="D446" s="883">
        <v>0.96680086618876204</v>
      </c>
      <c r="E446" s="883">
        <v>1.0097657464490215</v>
      </c>
      <c r="F446" s="883">
        <v>1.0314347845849687</v>
      </c>
      <c r="G446" s="883">
        <v>1.0251738915084041</v>
      </c>
      <c r="H446" s="883">
        <v>0.95901222443675671</v>
      </c>
      <c r="I446" s="883">
        <v>1.0017383188073707</v>
      </c>
      <c r="K446">
        <v>1.6449358442766586</v>
      </c>
      <c r="L446">
        <v>0</v>
      </c>
      <c r="M446">
        <v>6.1833766305573546E-3</v>
      </c>
      <c r="N446">
        <v>0.11696119680827745</v>
      </c>
      <c r="O446">
        <v>3.1236127424333054E-2</v>
      </c>
      <c r="P446">
        <v>1.8941202543782711E-2</v>
      </c>
      <c r="Q446">
        <v>0</v>
      </c>
      <c r="R446">
        <v>6.1833766305573546E-3</v>
      </c>
      <c r="S446">
        <v>0.16682312138556715</v>
      </c>
      <c r="T446">
        <v>1.2230477330814793</v>
      </c>
      <c r="U446">
        <v>0</v>
      </c>
      <c r="V446">
        <v>1.5850004245579224E-2</v>
      </c>
      <c r="W446">
        <v>6.1263002471829635E-2</v>
      </c>
      <c r="X446">
        <v>-1.4648588048813624E-2</v>
      </c>
      <c r="Y446">
        <v>2.5462044364623578E-2</v>
      </c>
    </row>
    <row r="447" spans="1:25" x14ac:dyDescent="0.25">
      <c r="A447" s="879"/>
      <c r="B447" s="1133">
        <v>197</v>
      </c>
      <c r="C447" s="883">
        <v>0.99050108405272885</v>
      </c>
      <c r="D447" s="883">
        <v>1.0300039517808319</v>
      </c>
      <c r="E447" s="883">
        <v>0.99638335317790383</v>
      </c>
      <c r="F447" s="883">
        <v>0.97350011359429267</v>
      </c>
      <c r="G447" s="883">
        <v>0.96981122811554255</v>
      </c>
      <c r="H447" s="883">
        <v>1.0202961779246249</v>
      </c>
      <c r="I447" s="883">
        <v>1.0401044754650068</v>
      </c>
      <c r="K447">
        <v>1.5934473608287842</v>
      </c>
      <c r="L447">
        <v>0</v>
      </c>
      <c r="M447">
        <v>6.5372421643672312E-3</v>
      </c>
      <c r="N447">
        <v>0.12122785328898947</v>
      </c>
      <c r="O447">
        <v>3.0780447126805447E-2</v>
      </c>
      <c r="P447">
        <v>1.7988567399818873E-2</v>
      </c>
      <c r="Q447">
        <v>0</v>
      </c>
      <c r="R447">
        <v>6.5372421643672312E-3</v>
      </c>
      <c r="S447">
        <v>0.17805817973919708</v>
      </c>
      <c r="T447">
        <v>1.1545923004989684</v>
      </c>
      <c r="U447">
        <v>0</v>
      </c>
      <c r="V447">
        <v>1.590619277906517E-2</v>
      </c>
      <c r="W447">
        <v>6.3920719501476597E-2</v>
      </c>
      <c r="X447">
        <v>-1.5946099152672758E-2</v>
      </c>
      <c r="Y447">
        <v>2.6919199647135642E-2</v>
      </c>
    </row>
    <row r="448" spans="1:25" x14ac:dyDescent="0.25">
      <c r="A448" s="879"/>
      <c r="B448" s="1133">
        <v>198</v>
      </c>
      <c r="C448" s="883">
        <v>1.0064583468422714</v>
      </c>
      <c r="D448" s="883">
        <v>1.0000458187859353</v>
      </c>
      <c r="E448" s="883">
        <v>1.0207412812730083</v>
      </c>
      <c r="F448" s="883">
        <v>0.99136123062373183</v>
      </c>
      <c r="G448" s="883">
        <v>0.96318205051856109</v>
      </c>
      <c r="H448" s="883">
        <v>1.0324198500614905</v>
      </c>
      <c r="I448" s="883">
        <v>0.9634515195472475</v>
      </c>
      <c r="K448">
        <v>1.6026424323896273</v>
      </c>
      <c r="L448">
        <v>0</v>
      </c>
      <c r="M448">
        <v>6.4572434692516953E-3</v>
      </c>
      <c r="N448">
        <v>0.12414148786633501</v>
      </c>
      <c r="O448">
        <v>3.06310000918356E-2</v>
      </c>
      <c r="P448">
        <v>1.8400975756305553E-2</v>
      </c>
      <c r="Q448">
        <v>0</v>
      </c>
      <c r="R448">
        <v>6.4572434692516953E-3</v>
      </c>
      <c r="S448">
        <v>0.16331298363543056</v>
      </c>
      <c r="T448">
        <v>1.1753280963455557</v>
      </c>
      <c r="U448">
        <v>0</v>
      </c>
      <c r="V448">
        <v>1.5818929068245127E-2</v>
      </c>
      <c r="W448">
        <v>6.4672680358520043E-2</v>
      </c>
      <c r="X448">
        <v>-1.6253499992487756E-2</v>
      </c>
      <c r="Y448">
        <v>2.658977925988678E-2</v>
      </c>
    </row>
    <row r="449" spans="1:25" x14ac:dyDescent="0.25">
      <c r="A449" s="879"/>
      <c r="B449" s="1133">
        <v>199</v>
      </c>
      <c r="C449" s="883">
        <v>1.0053001978724982</v>
      </c>
      <c r="D449" s="883">
        <v>1.0253283548771253</v>
      </c>
      <c r="E449" s="883">
        <v>0.97315648109112396</v>
      </c>
      <c r="F449" s="883">
        <v>1.0033145012458367</v>
      </c>
      <c r="G449" s="883">
        <v>0.97527257879027873</v>
      </c>
      <c r="H449" s="883">
        <v>0.9998913801958299</v>
      </c>
      <c r="I449" s="883">
        <v>0.97571323066334303</v>
      </c>
      <c r="K449">
        <v>1.6069361939667914</v>
      </c>
      <c r="L449">
        <v>0</v>
      </c>
      <c r="M449">
        <v>6.4544244127326764E-3</v>
      </c>
      <c r="N449">
        <v>0.11563899988688667</v>
      </c>
      <c r="O449">
        <v>3.0401018663771987E-2</v>
      </c>
      <c r="P449">
        <v>1.7946717922965923E-2</v>
      </c>
      <c r="Q449">
        <v>0</v>
      </c>
      <c r="R449">
        <v>6.4544244127326764E-3</v>
      </c>
      <c r="S449">
        <v>0.16346129328129821</v>
      </c>
      <c r="T449">
        <v>1.1903874704961876</v>
      </c>
      <c r="U449">
        <v>0</v>
      </c>
      <c r="V449">
        <v>1.5825169273748992E-2</v>
      </c>
      <c r="W449">
        <v>6.1685708953663848E-2</v>
      </c>
      <c r="X449">
        <v>-1.4988355398646996E-2</v>
      </c>
      <c r="Y449">
        <v>2.6578170886914814E-2</v>
      </c>
    </row>
    <row r="450" spans="1:25" x14ac:dyDescent="0.25">
      <c r="A450" s="879"/>
      <c r="B450" s="1133">
        <v>200</v>
      </c>
      <c r="C450" s="883">
        <v>0.98637842899113271</v>
      </c>
      <c r="D450" s="883">
        <v>1.0070041470044571</v>
      </c>
      <c r="E450" s="883">
        <v>0.99350445169105772</v>
      </c>
      <c r="F450" s="883">
        <v>0.99582605422194925</v>
      </c>
      <c r="G450" s="883">
        <v>1.0208209286544556</v>
      </c>
      <c r="H450" s="883">
        <v>0.98849079486438396</v>
      </c>
      <c r="I450" s="883">
        <v>1.011279791380612</v>
      </c>
      <c r="K450">
        <v>1.61152159139336</v>
      </c>
      <c r="L450">
        <v>0</v>
      </c>
      <c r="M450">
        <v>6.4404169571081211E-3</v>
      </c>
      <c r="N450">
        <v>0.1189238195673215</v>
      </c>
      <c r="O450">
        <v>3.1192003584167467E-2</v>
      </c>
      <c r="P450">
        <v>1.8224427035404712E-2</v>
      </c>
      <c r="Q450">
        <v>0</v>
      </c>
      <c r="R450">
        <v>6.4404169571081211E-3</v>
      </c>
      <c r="S450">
        <v>0.17219885522976061</v>
      </c>
      <c r="T450">
        <v>1.1811246967532638</v>
      </c>
      <c r="U450">
        <v>0</v>
      </c>
      <c r="V450">
        <v>1.5929196840512555E-2</v>
      </c>
      <c r="W450">
        <v>6.2795758474633742E-2</v>
      </c>
      <c r="X450">
        <v>-1.5387656769591616E-2</v>
      </c>
      <c r="Y450">
        <v>2.6520490677887053E-2</v>
      </c>
    </row>
    <row r="451" spans="1:25" x14ac:dyDescent="0.25">
      <c r="A451" s="879"/>
      <c r="B451" s="1133">
        <v>201</v>
      </c>
      <c r="C451" s="883">
        <v>1.0012137970942068</v>
      </c>
      <c r="D451" s="883">
        <v>0.98705238218551905</v>
      </c>
      <c r="E451" s="883">
        <v>1.030484202398916</v>
      </c>
      <c r="F451" s="883">
        <v>1.0189076166822353</v>
      </c>
      <c r="G451" s="883">
        <v>0.98438426573579207</v>
      </c>
      <c r="H451" s="883">
        <v>0.96996149726204817</v>
      </c>
      <c r="I451" s="883">
        <v>0.99831306781516271</v>
      </c>
      <c r="K451">
        <v>1.6305697334039757</v>
      </c>
      <c r="L451">
        <v>0</v>
      </c>
      <c r="M451">
        <v>6.0819389620068191E-3</v>
      </c>
      <c r="N451">
        <v>0.11862290611806238</v>
      </c>
      <c r="O451">
        <v>3.0943898079851453E-2</v>
      </c>
      <c r="P451">
        <v>1.9024468281125539E-2</v>
      </c>
      <c r="Q451">
        <v>0</v>
      </c>
      <c r="R451">
        <v>6.0819389620068191E-3</v>
      </c>
      <c r="S451">
        <v>0.16663198690507011</v>
      </c>
      <c r="T451">
        <v>1.2078028879280021</v>
      </c>
      <c r="U451">
        <v>0</v>
      </c>
      <c r="V451">
        <v>1.5847302483795542E-2</v>
      </c>
      <c r="W451">
        <v>6.1502523454965839E-2</v>
      </c>
      <c r="X451">
        <v>-1.4850581947662986E-2</v>
      </c>
      <c r="Y451">
        <v>2.5044342100764401E-2</v>
      </c>
    </row>
    <row r="452" spans="1:25" x14ac:dyDescent="0.25">
      <c r="A452" s="879"/>
      <c r="B452" s="1133">
        <v>202</v>
      </c>
      <c r="C452" s="883">
        <v>0.99540367752946612</v>
      </c>
      <c r="D452" s="883">
        <v>0.97504339678501328</v>
      </c>
      <c r="E452" s="883">
        <v>0.99304247890575192</v>
      </c>
      <c r="F452" s="883">
        <v>1.0112034760575841</v>
      </c>
      <c r="G452" s="883">
        <v>0.95519046709313682</v>
      </c>
      <c r="H452" s="883">
        <v>0.99512365356402466</v>
      </c>
      <c r="I452" s="883">
        <v>0.95816170359636965</v>
      </c>
      <c r="K452">
        <v>1.6223462223944156</v>
      </c>
      <c r="L452">
        <v>0</v>
      </c>
      <c r="M452">
        <v>6.5206210849637434E-3</v>
      </c>
      <c r="N452">
        <v>0.12032238931654653</v>
      </c>
      <c r="O452">
        <v>3.1310928180455097E-2</v>
      </c>
      <c r="P452">
        <v>1.8328939381212436E-2</v>
      </c>
      <c r="Q452">
        <v>0</v>
      </c>
      <c r="R452">
        <v>6.5206210849637434E-3</v>
      </c>
      <c r="S452">
        <v>0.16236013019069995</v>
      </c>
      <c r="T452">
        <v>1.1993721729659041</v>
      </c>
      <c r="U452">
        <v>0</v>
      </c>
      <c r="V452">
        <v>1.5879084763401663E-2</v>
      </c>
      <c r="W452">
        <v>6.354886867593143E-2</v>
      </c>
      <c r="X452">
        <v>-1.5627048080329314E-2</v>
      </c>
      <c r="Y452">
        <v>2.6850757000593934E-2</v>
      </c>
    </row>
    <row r="453" spans="1:25" x14ac:dyDescent="0.25">
      <c r="A453" s="879"/>
      <c r="B453" s="1133">
        <v>203</v>
      </c>
      <c r="C453" s="883">
        <v>0.96920569567155745</v>
      </c>
      <c r="D453" s="883">
        <v>0.97198973588421911</v>
      </c>
      <c r="E453" s="883">
        <v>0.9714134179319075</v>
      </c>
      <c r="F453" s="883">
        <v>1.0146621226675034</v>
      </c>
      <c r="G453" s="883">
        <v>1.0152256186429112</v>
      </c>
      <c r="H453" s="883">
        <v>0.99166777491728353</v>
      </c>
      <c r="I453" s="883">
        <v>0.99797976079018336</v>
      </c>
      <c r="K453">
        <v>1.6425605999843407</v>
      </c>
      <c r="L453">
        <v>0</v>
      </c>
      <c r="M453">
        <v>6.8101976235321743E-3</v>
      </c>
      <c r="N453">
        <v>0.12169780074769244</v>
      </c>
      <c r="O453">
        <v>3.2215684129984906E-2</v>
      </c>
      <c r="P453">
        <v>1.8232955550334884E-2</v>
      </c>
      <c r="Q453">
        <v>0</v>
      </c>
      <c r="R453">
        <v>6.8101976235321743E-3</v>
      </c>
      <c r="S453">
        <v>0.17347959315846273</v>
      </c>
      <c r="T453">
        <v>1.2038839960982268</v>
      </c>
      <c r="U453">
        <v>0</v>
      </c>
      <c r="V453">
        <v>1.6027124628089674E-2</v>
      </c>
      <c r="W453">
        <v>6.4974537930957921E-2</v>
      </c>
      <c r="X453">
        <v>-1.5994273903125071E-2</v>
      </c>
      <c r="Y453">
        <v>2.8043181643716292E-2</v>
      </c>
    </row>
    <row r="454" spans="1:25" x14ac:dyDescent="0.25">
      <c r="A454" s="879"/>
      <c r="B454" s="1133">
        <v>204</v>
      </c>
      <c r="C454" s="883">
        <v>1.011243932185979</v>
      </c>
      <c r="D454" s="883">
        <v>0.99994813785988257</v>
      </c>
      <c r="E454" s="883">
        <v>0.97920629091254097</v>
      </c>
      <c r="F454" s="883">
        <v>1.022636130666176</v>
      </c>
      <c r="G454" s="883">
        <v>1.0433799271347926</v>
      </c>
      <c r="H454" s="883">
        <v>1.0420920939596783</v>
      </c>
      <c r="I454" s="883">
        <v>1.025065919507901</v>
      </c>
      <c r="K454">
        <v>1.6494395466496925</v>
      </c>
      <c r="L454">
        <v>0</v>
      </c>
      <c r="M454">
        <v>6.7268746779339588E-3</v>
      </c>
      <c r="N454">
        <v>0.12160724996827092</v>
      </c>
      <c r="O454">
        <v>3.0522188864919825E-2</v>
      </c>
      <c r="P454">
        <v>1.8462556762711989E-2</v>
      </c>
      <c r="Q454">
        <v>0</v>
      </c>
      <c r="R454">
        <v>6.7268746779339588E-3</v>
      </c>
      <c r="S454">
        <v>0.17345857609729795</v>
      </c>
      <c r="T454">
        <v>1.2131960885767408</v>
      </c>
      <c r="U454">
        <v>0</v>
      </c>
      <c r="V454">
        <v>1.5793295481886113E-2</v>
      </c>
      <c r="W454">
        <v>6.4672862006827911E-2</v>
      </c>
      <c r="X454">
        <v>-1.5973343693638814E-2</v>
      </c>
      <c r="Y454">
        <v>2.7700072584674284E-2</v>
      </c>
    </row>
    <row r="455" spans="1:25" x14ac:dyDescent="0.25">
      <c r="A455" s="879"/>
      <c r="B455" s="1133">
        <v>205</v>
      </c>
      <c r="C455" s="883">
        <v>0.9876187685562603</v>
      </c>
      <c r="D455" s="883">
        <v>1.0328533938940905</v>
      </c>
      <c r="E455" s="883">
        <v>0.9950715398583253</v>
      </c>
      <c r="F455" s="883">
        <v>1.0192441906234184</v>
      </c>
      <c r="G455" s="883">
        <v>1.0216187504908665</v>
      </c>
      <c r="H455" s="883">
        <v>0.98233785053500844</v>
      </c>
      <c r="I455" s="883">
        <v>1.0090779029891797</v>
      </c>
      <c r="K455">
        <v>1.6348332535863106</v>
      </c>
      <c r="L455">
        <v>0</v>
      </c>
      <c r="M455">
        <v>6.311870037163588E-3</v>
      </c>
      <c r="N455">
        <v>0.11682118377028906</v>
      </c>
      <c r="O455">
        <v>3.0837283722075025E-2</v>
      </c>
      <c r="P455">
        <v>1.8599794798299596E-2</v>
      </c>
      <c r="Q455">
        <v>0</v>
      </c>
      <c r="R455">
        <v>6.311870037163588E-3</v>
      </c>
      <c r="S455">
        <v>0.17100453845964664</v>
      </c>
      <c r="T455">
        <v>1.2088706450024871</v>
      </c>
      <c r="U455">
        <v>0</v>
      </c>
      <c r="V455">
        <v>1.5922255653627194E-2</v>
      </c>
      <c r="W455">
        <v>6.1637395050526983E-2</v>
      </c>
      <c r="X455">
        <v>-1.4851000212695142E-2</v>
      </c>
      <c r="Y455">
        <v>2.5991157342054275E-2</v>
      </c>
    </row>
    <row r="456" spans="1:25" x14ac:dyDescent="0.25">
      <c r="A456" s="879"/>
      <c r="B456" s="1133">
        <v>206</v>
      </c>
      <c r="C456" s="883">
        <v>1.0108964138457139</v>
      </c>
      <c r="D456" s="883">
        <v>0.98894988616899226</v>
      </c>
      <c r="E456" s="883">
        <v>1.0101030862905966</v>
      </c>
      <c r="F456" s="883">
        <v>0.9654684936738821</v>
      </c>
      <c r="G456" s="883">
        <v>1.0116454983211365</v>
      </c>
      <c r="H456" s="883">
        <v>0.97234139662907415</v>
      </c>
      <c r="I456" s="883">
        <v>0.96379846910294065</v>
      </c>
      <c r="K456">
        <v>1.5559297305132578</v>
      </c>
      <c r="L456">
        <v>0</v>
      </c>
      <c r="M456">
        <v>6.1419104037011675E-3</v>
      </c>
      <c r="N456">
        <v>0.11623487815689554</v>
      </c>
      <c r="O456">
        <v>3.0642403401603884E-2</v>
      </c>
      <c r="P456">
        <v>1.7791304239254839E-2</v>
      </c>
      <c r="Q456">
        <v>0</v>
      </c>
      <c r="R456">
        <v>6.1419104037011675E-3</v>
      </c>
      <c r="S456">
        <v>0.15942404782854003</v>
      </c>
      <c r="T456">
        <v>1.1448206338853901</v>
      </c>
      <c r="U456">
        <v>0</v>
      </c>
      <c r="V456">
        <v>1.5795148762512534E-2</v>
      </c>
      <c r="W456">
        <v>6.0872406901142949E-2</v>
      </c>
      <c r="X456">
        <v>-1.4942386485224548E-2</v>
      </c>
      <c r="Y456">
        <v>2.5291293823143039E-2</v>
      </c>
    </row>
    <row r="457" spans="1:25" x14ac:dyDescent="0.25">
      <c r="A457" s="879"/>
      <c r="B457" s="1133">
        <v>207</v>
      </c>
      <c r="C457" s="883">
        <v>0.99215641319832004</v>
      </c>
      <c r="D457" s="883">
        <v>1.0005598788035555</v>
      </c>
      <c r="E457" s="883">
        <v>0.98023252455148968</v>
      </c>
      <c r="F457" s="883">
        <v>1.0031535398966107</v>
      </c>
      <c r="G457" s="883">
        <v>1.0396298803970854</v>
      </c>
      <c r="H457" s="883">
        <v>1.0067216080702581</v>
      </c>
      <c r="I457" s="883">
        <v>0.9705196696043652</v>
      </c>
      <c r="K457">
        <v>1.61550544488996</v>
      </c>
      <c r="L457">
        <v>0</v>
      </c>
      <c r="M457">
        <v>6.6158472417377611E-3</v>
      </c>
      <c r="N457">
        <v>0.11978236148356232</v>
      </c>
      <c r="O457">
        <v>3.1100959186651053E-2</v>
      </c>
      <c r="P457">
        <v>1.8067210660359621E-2</v>
      </c>
      <c r="Q457">
        <v>0</v>
      </c>
      <c r="R457">
        <v>6.6158472417377611E-3</v>
      </c>
      <c r="S457">
        <v>0.16537707079462929</v>
      </c>
      <c r="T457">
        <v>1.1900638507663448</v>
      </c>
      <c r="U457">
        <v>0</v>
      </c>
      <c r="V457">
        <v>1.5897009975299612E-2</v>
      </c>
      <c r="W457">
        <v>6.3669625898265761E-2</v>
      </c>
      <c r="X457">
        <v>-1.569552523971799E-2</v>
      </c>
      <c r="Y457">
        <v>2.7242881364565281E-2</v>
      </c>
    </row>
    <row r="458" spans="1:25" x14ac:dyDescent="0.25">
      <c r="A458" s="879"/>
      <c r="B458" s="1133">
        <v>208</v>
      </c>
      <c r="C458" s="883">
        <v>1.0121642467429512</v>
      </c>
      <c r="D458" s="883">
        <v>0.97578639150079483</v>
      </c>
      <c r="E458" s="883">
        <v>0.99742303054999393</v>
      </c>
      <c r="F458" s="883">
        <v>1.0129990733337111</v>
      </c>
      <c r="G458" s="883">
        <v>0.99371902584660077</v>
      </c>
      <c r="H458" s="883">
        <v>1.0048856222012721</v>
      </c>
      <c r="I458" s="883">
        <v>0.98576891748330775</v>
      </c>
      <c r="K458">
        <v>1.6252178591468294</v>
      </c>
      <c r="L458">
        <v>0</v>
      </c>
      <c r="M458">
        <v>6.4486377176789953E-3</v>
      </c>
      <c r="N458">
        <v>0.11976913189582983</v>
      </c>
      <c r="O458">
        <v>3.0779405972234313E-2</v>
      </c>
      <c r="P458">
        <v>1.8449230690418723E-2</v>
      </c>
      <c r="Q458">
        <v>0</v>
      </c>
      <c r="R458">
        <v>6.4486377176789953E-3</v>
      </c>
      <c r="S458">
        <v>0.16482620849424767</v>
      </c>
      <c r="T458">
        <v>1.2014193374049607</v>
      </c>
      <c r="U458">
        <v>0</v>
      </c>
      <c r="V458">
        <v>1.578839368387398E-2</v>
      </c>
      <c r="W458">
        <v>6.3118928070494976E-2</v>
      </c>
      <c r="X458">
        <v>-1.5487119371907164E-2</v>
      </c>
      <c r="Y458">
        <v>2.6554342306677074E-2</v>
      </c>
    </row>
    <row r="459" spans="1:25" x14ac:dyDescent="0.25">
      <c r="A459" s="879"/>
      <c r="B459" s="1133">
        <v>209</v>
      </c>
      <c r="C459" s="883">
        <v>1.0355337591457807</v>
      </c>
      <c r="D459" s="883">
        <v>0.96435554273602819</v>
      </c>
      <c r="E459" s="883">
        <v>0.98131145484595983</v>
      </c>
      <c r="F459" s="883">
        <v>0.99834864753662556</v>
      </c>
      <c r="G459" s="883">
        <v>1.0339650494105024</v>
      </c>
      <c r="H459" s="883">
        <v>0.98188069505970654</v>
      </c>
      <c r="I459" s="883">
        <v>0.99881064192943148</v>
      </c>
      <c r="K459">
        <v>1.595865555362604</v>
      </c>
      <c r="L459">
        <v>0</v>
      </c>
      <c r="M459">
        <v>6.2789759226151588E-3</v>
      </c>
      <c r="N459">
        <v>0.11386529947612378</v>
      </c>
      <c r="O459">
        <v>3.0239873673448239E-2</v>
      </c>
      <c r="P459">
        <v>1.7959685809038676E-2</v>
      </c>
      <c r="Q459">
        <v>0</v>
      </c>
      <c r="R459">
        <v>6.2789759226151588E-3</v>
      </c>
      <c r="S459">
        <v>0.16203733224036537</v>
      </c>
      <c r="T459">
        <v>1.1843435882153444</v>
      </c>
      <c r="U459">
        <v>0</v>
      </c>
      <c r="V459">
        <v>1.5666842151607904E-2</v>
      </c>
      <c r="W459">
        <v>6.0491767548293156E-2</v>
      </c>
      <c r="X459">
        <v>-1.4594538984894876E-2</v>
      </c>
      <c r="Y459">
        <v>2.5855705233277952E-2</v>
      </c>
    </row>
    <row r="460" spans="1:25" x14ac:dyDescent="0.25">
      <c r="A460" s="879"/>
      <c r="B460" s="1133">
        <v>210</v>
      </c>
      <c r="C460" s="883">
        <v>1.0121520486401638</v>
      </c>
      <c r="D460" s="883">
        <v>0.95249366001649172</v>
      </c>
      <c r="E460" s="883">
        <v>0.98523503417452374</v>
      </c>
      <c r="F460" s="883">
        <v>0.96780677858251596</v>
      </c>
      <c r="G460" s="883">
        <v>1.0455076315295124</v>
      </c>
      <c r="H460" s="883">
        <v>1.0203355346816945</v>
      </c>
      <c r="I460" s="883">
        <v>1.0355081398713135</v>
      </c>
      <c r="K460">
        <v>1.5849757574498857</v>
      </c>
      <c r="L460">
        <v>0</v>
      </c>
      <c r="M460">
        <v>6.689739091339064E-3</v>
      </c>
      <c r="N460">
        <v>0.12202233032383862</v>
      </c>
      <c r="O460">
        <v>3.1088818759001418E-2</v>
      </c>
      <c r="P460">
        <v>1.7698549688844167E-2</v>
      </c>
      <c r="Q460">
        <v>0</v>
      </c>
      <c r="R460">
        <v>6.689739091339064E-3</v>
      </c>
      <c r="S460">
        <v>0.17433945370222556</v>
      </c>
      <c r="T460">
        <v>1.1480408392805646</v>
      </c>
      <c r="U460">
        <v>0</v>
      </c>
      <c r="V460">
        <v>1.5788458595364062E-2</v>
      </c>
      <c r="W460">
        <v>6.4698190348271081E-2</v>
      </c>
      <c r="X460">
        <v>-1.6248038097188052E-2</v>
      </c>
      <c r="Y460">
        <v>2.7547154848964511E-2</v>
      </c>
    </row>
    <row r="461" spans="1:25" x14ac:dyDescent="0.25">
      <c r="A461" s="879"/>
      <c r="B461" s="1133">
        <v>211</v>
      </c>
      <c r="C461" s="883">
        <v>1.0201745992129612</v>
      </c>
      <c r="D461" s="883">
        <v>1.0272516349940786</v>
      </c>
      <c r="E461" s="883">
        <v>1.0136602162872614</v>
      </c>
      <c r="F461" s="883">
        <v>0.99616895282081863</v>
      </c>
      <c r="G461" s="883">
        <v>1.0225133536869535</v>
      </c>
      <c r="H461" s="883">
        <v>1.0145077575299573</v>
      </c>
      <c r="I461" s="883">
        <v>0.99443128744379805</v>
      </c>
      <c r="K461">
        <v>1.6009616113938325</v>
      </c>
      <c r="L461">
        <v>0</v>
      </c>
      <c r="M461">
        <v>6.223912400251835E-3</v>
      </c>
      <c r="N461">
        <v>0.11840856054163058</v>
      </c>
      <c r="O461">
        <v>2.9902642389961352E-2</v>
      </c>
      <c r="P461">
        <v>1.8404708668190415E-2</v>
      </c>
      <c r="Q461">
        <v>0</v>
      </c>
      <c r="R461">
        <v>6.223912400251835E-3</v>
      </c>
      <c r="S461">
        <v>0.16500899717744708</v>
      </c>
      <c r="T461">
        <v>1.1811585521257886</v>
      </c>
      <c r="U461">
        <v>0</v>
      </c>
      <c r="V461">
        <v>1.5746102273488587E-2</v>
      </c>
      <c r="W461">
        <v>6.1901846657915108E-2</v>
      </c>
      <c r="X461">
        <v>-1.5198761889718537E-2</v>
      </c>
      <c r="Y461">
        <v>2.5628963449127407E-2</v>
      </c>
    </row>
    <row r="462" spans="1:25" x14ac:dyDescent="0.25">
      <c r="A462" s="879"/>
      <c r="B462" s="1133">
        <v>212</v>
      </c>
      <c r="C462" s="883">
        <v>0.99661323930978785</v>
      </c>
      <c r="D462" s="883">
        <v>0.99164361159372305</v>
      </c>
      <c r="E462" s="883">
        <v>0.98447003337552264</v>
      </c>
      <c r="F462" s="883">
        <v>0.98860950682113435</v>
      </c>
      <c r="G462" s="883">
        <v>1.0100715060312599</v>
      </c>
      <c r="H462" s="883">
        <v>0.96556958438052287</v>
      </c>
      <c r="I462" s="883">
        <v>0.99634925705893229</v>
      </c>
      <c r="K462">
        <v>1.5917363963566991</v>
      </c>
      <c r="L462">
        <v>0</v>
      </c>
      <c r="M462">
        <v>6.3189215048603184E-3</v>
      </c>
      <c r="N462">
        <v>0.11512783594540221</v>
      </c>
      <c r="O462">
        <v>3.106952325280762E-2</v>
      </c>
      <c r="P462">
        <v>1.7914700878583305E-2</v>
      </c>
      <c r="Q462">
        <v>0</v>
      </c>
      <c r="R462">
        <v>6.3189215048603184E-3</v>
      </c>
      <c r="S462">
        <v>0.16672293991372403</v>
      </c>
      <c r="T462">
        <v>1.1727317526455525</v>
      </c>
      <c r="U462">
        <v>0</v>
      </c>
      <c r="V462">
        <v>1.5872437724760515E-2</v>
      </c>
      <c r="W462">
        <v>6.1065959305992699E-2</v>
      </c>
      <c r="X462">
        <v>-1.4788947341040713E-2</v>
      </c>
      <c r="Y462">
        <v>2.6020194030914948E-2</v>
      </c>
    </row>
    <row r="463" spans="1:25" x14ac:dyDescent="0.25">
      <c r="A463" s="879"/>
      <c r="B463" s="1133">
        <v>213</v>
      </c>
      <c r="C463" s="883">
        <v>0.96963132345256287</v>
      </c>
      <c r="D463" s="883">
        <v>0.96385478152269133</v>
      </c>
      <c r="E463" s="883">
        <v>1.0130789012293351</v>
      </c>
      <c r="F463" s="883">
        <v>1.0081823248541648</v>
      </c>
      <c r="G463" s="883">
        <v>1.0201141335697921</v>
      </c>
      <c r="H463" s="883">
        <v>1.025170546809999</v>
      </c>
      <c r="I463" s="883">
        <v>1.0085795864360136</v>
      </c>
      <c r="K463">
        <v>1.6480134095893968</v>
      </c>
      <c r="L463">
        <v>0</v>
      </c>
      <c r="M463">
        <v>6.8113987296873572E-3</v>
      </c>
      <c r="N463">
        <v>0.12947391684826445</v>
      </c>
      <c r="O463">
        <v>3.2273854783520448E-2</v>
      </c>
      <c r="P463">
        <v>1.876114394132538E-2</v>
      </c>
      <c r="Q463">
        <v>0</v>
      </c>
      <c r="R463">
        <v>6.8113987296873572E-3</v>
      </c>
      <c r="S463">
        <v>0.17743805185598158</v>
      </c>
      <c r="T463">
        <v>1.1954136775090205</v>
      </c>
      <c r="U463">
        <v>0</v>
      </c>
      <c r="V463">
        <v>1.6024655558028116E-2</v>
      </c>
      <c r="W463">
        <v>6.7706051659934138E-2</v>
      </c>
      <c r="X463">
        <v>-1.7126070151752548E-2</v>
      </c>
      <c r="Y463">
        <v>2.8048127585074405E-2</v>
      </c>
    </row>
    <row r="464" spans="1:25" x14ac:dyDescent="0.25">
      <c r="A464" s="879"/>
      <c r="B464" s="1133">
        <v>214</v>
      </c>
      <c r="C464" s="883">
        <v>1.0033147063686532</v>
      </c>
      <c r="D464" s="883">
        <v>0.96582156496707428</v>
      </c>
      <c r="E464" s="883">
        <v>0.96265669176936297</v>
      </c>
      <c r="F464" s="883">
        <v>0.97673417858820333</v>
      </c>
      <c r="G464" s="883">
        <v>0.99373669550634758</v>
      </c>
      <c r="H464" s="883">
        <v>0.96587218398212893</v>
      </c>
      <c r="I464" s="883">
        <v>1.0124722439018869</v>
      </c>
      <c r="K464">
        <v>1.5793424527188809</v>
      </c>
      <c r="L464">
        <v>0</v>
      </c>
      <c r="M464">
        <v>6.474966359346513E-3</v>
      </c>
      <c r="N464">
        <v>0.11421224526103831</v>
      </c>
      <c r="O464">
        <v>3.1206492389370389E-2</v>
      </c>
      <c r="P464">
        <v>1.7459387466023407E-2</v>
      </c>
      <c r="Q464">
        <v>0</v>
      </c>
      <c r="R464">
        <v>6.474966359346513E-3</v>
      </c>
      <c r="S464">
        <v>0.16854131785247697</v>
      </c>
      <c r="T464">
        <v>1.159043148374469</v>
      </c>
      <c r="U464">
        <v>0</v>
      </c>
      <c r="V464">
        <v>1.583590079099598E-2</v>
      </c>
      <c r="W464">
        <v>6.124737215064871E-2</v>
      </c>
      <c r="X464">
        <v>-1.4866170532882255E-2</v>
      </c>
      <c r="Y464">
        <v>2.6662758966740398E-2</v>
      </c>
    </row>
    <row r="465" spans="1:25" x14ac:dyDescent="0.25">
      <c r="A465" s="879"/>
      <c r="B465" s="1133">
        <v>215</v>
      </c>
      <c r="C465" s="883">
        <v>0.98774643330516099</v>
      </c>
      <c r="D465" s="883">
        <v>0.97005067448071769</v>
      </c>
      <c r="E465" s="883">
        <v>0.97526077292161806</v>
      </c>
      <c r="F465" s="883">
        <v>1.002899935531911</v>
      </c>
      <c r="G465" s="883">
        <v>0.96578738256852614</v>
      </c>
      <c r="H465" s="883">
        <v>1.0072647545948352</v>
      </c>
      <c r="I465" s="883">
        <v>1.019908255033861</v>
      </c>
      <c r="K465">
        <v>1.6288278765681459</v>
      </c>
      <c r="L465">
        <v>0</v>
      </c>
      <c r="M465">
        <v>6.7707966696944925E-3</v>
      </c>
      <c r="N465">
        <v>0.12168668803753765</v>
      </c>
      <c r="O465">
        <v>3.1633184436824759E-2</v>
      </c>
      <c r="P465">
        <v>1.8121171774200657E-2</v>
      </c>
      <c r="Q465">
        <v>0</v>
      </c>
      <c r="R465">
        <v>6.7707966696944925E-3</v>
      </c>
      <c r="S465">
        <v>0.17493576214993192</v>
      </c>
      <c r="T465">
        <v>1.1898561474619467</v>
      </c>
      <c r="U465">
        <v>0</v>
      </c>
      <c r="V465">
        <v>1.5921542205780341E-2</v>
      </c>
      <c r="W465">
        <v>6.4843228479731549E-2</v>
      </c>
      <c r="X465">
        <v>-1.6050783506728523E-2</v>
      </c>
      <c r="Y465">
        <v>2.7880935528921055E-2</v>
      </c>
    </row>
    <row r="466" spans="1:25" x14ac:dyDescent="0.25">
      <c r="A466" s="879"/>
      <c r="B466" s="1133">
        <v>216</v>
      </c>
      <c r="C466" s="883">
        <v>0.99370674324468544</v>
      </c>
      <c r="D466" s="883">
        <v>1.0140584511958501</v>
      </c>
      <c r="E466" s="883">
        <v>0.97246125347487178</v>
      </c>
      <c r="F466" s="883">
        <v>0.9668053144229618</v>
      </c>
      <c r="G466" s="883">
        <v>0.99886702740513678</v>
      </c>
      <c r="H466" s="883">
        <v>1.023847824157484</v>
      </c>
      <c r="I466" s="883">
        <v>0.97389947466902727</v>
      </c>
      <c r="K466">
        <v>1.5739309148806067</v>
      </c>
      <c r="L466">
        <v>0</v>
      </c>
      <c r="M466">
        <v>6.7232492929630147E-3</v>
      </c>
      <c r="N466">
        <v>0.12033107899388018</v>
      </c>
      <c r="O466">
        <v>3.0892510794776392E-2</v>
      </c>
      <c r="P466">
        <v>1.7411014669415265E-2</v>
      </c>
      <c r="Q466">
        <v>0</v>
      </c>
      <c r="R466">
        <v>6.7232492929630147E-3</v>
      </c>
      <c r="S466">
        <v>0.16651890124625987</v>
      </c>
      <c r="T466">
        <v>1.1470835362765905</v>
      </c>
      <c r="U466">
        <v>0</v>
      </c>
      <c r="V466">
        <v>1.5888437389823266E-2</v>
      </c>
      <c r="W466">
        <v>6.4211035063944655E-2</v>
      </c>
      <c r="X466">
        <v>-1.6090743448741899E-2</v>
      </c>
      <c r="Y466">
        <v>2.7685143894658402E-2</v>
      </c>
    </row>
    <row r="467" spans="1:25" x14ac:dyDescent="0.25">
      <c r="A467" s="879"/>
      <c r="B467" s="1133">
        <v>217</v>
      </c>
      <c r="C467" s="883">
        <v>1.0422450145047708</v>
      </c>
      <c r="D467" s="883">
        <v>0.99264987983487529</v>
      </c>
      <c r="E467" s="883">
        <v>1.0014340007748499</v>
      </c>
      <c r="F467" s="883">
        <v>0.98890409058084838</v>
      </c>
      <c r="G467" s="883">
        <v>0.97056744433615538</v>
      </c>
      <c r="H467" s="883">
        <v>1.0093591140194893</v>
      </c>
      <c r="I467" s="883">
        <v>0.99737825130479019</v>
      </c>
      <c r="K467">
        <v>1.5862108454169188</v>
      </c>
      <c r="L467">
        <v>0</v>
      </c>
      <c r="M467">
        <v>6.2206310828740487E-3</v>
      </c>
      <c r="N467">
        <v>0.11622301383724434</v>
      </c>
      <c r="O467">
        <v>2.9683621555607314E-2</v>
      </c>
      <c r="P467">
        <v>1.8082351523359467E-2</v>
      </c>
      <c r="Q467">
        <v>0</v>
      </c>
      <c r="R467">
        <v>6.2206310828740487E-3</v>
      </c>
      <c r="S467">
        <v>0.16203371213524106</v>
      </c>
      <c r="T467">
        <v>1.1727689022609482</v>
      </c>
      <c r="U467">
        <v>0</v>
      </c>
      <c r="V467">
        <v>1.5632942462401857E-2</v>
      </c>
      <c r="W467">
        <v>6.1128190018420597E-2</v>
      </c>
      <c r="X467">
        <v>-1.4957339944523466E-2</v>
      </c>
      <c r="Y467">
        <v>2.56154515682184E-2</v>
      </c>
    </row>
    <row r="468" spans="1:25" x14ac:dyDescent="0.25">
      <c r="A468" s="879"/>
      <c r="B468" s="1133">
        <v>218</v>
      </c>
      <c r="C468" s="883">
        <v>0.97187668450651965</v>
      </c>
      <c r="D468" s="883">
        <v>1.0045477112051768</v>
      </c>
      <c r="E468" s="883">
        <v>0.96314781261495186</v>
      </c>
      <c r="F468" s="883">
        <v>1.0290557658429318</v>
      </c>
      <c r="G468" s="883">
        <v>1.0071351252376171</v>
      </c>
      <c r="H468" s="883">
        <v>1.0042890160050444</v>
      </c>
      <c r="I468" s="883">
        <v>1.0311974039396132</v>
      </c>
      <c r="K468">
        <v>1.663874442959322</v>
      </c>
      <c r="L468">
        <v>0</v>
      </c>
      <c r="M468">
        <v>6.8264492994805194E-3</v>
      </c>
      <c r="N468">
        <v>0.12049995352721003</v>
      </c>
      <c r="O468">
        <v>3.1712929614666041E-2</v>
      </c>
      <c r="P468">
        <v>1.841370366709966E-2</v>
      </c>
      <c r="Q468">
        <v>0</v>
      </c>
      <c r="R468">
        <v>6.8264492994805194E-3</v>
      </c>
      <c r="S468">
        <v>0.17917104356573516</v>
      </c>
      <c r="T468">
        <v>1.2211211678122584</v>
      </c>
      <c r="U468">
        <v>0</v>
      </c>
      <c r="V468">
        <v>1.6011665998446591E-2</v>
      </c>
      <c r="W468">
        <v>6.4603213870707873E-2</v>
      </c>
      <c r="X468">
        <v>-1.5769338249383327E-2</v>
      </c>
      <c r="Y468">
        <v>2.8110103152581091E-2</v>
      </c>
    </row>
    <row r="469" spans="1:25" x14ac:dyDescent="0.25">
      <c r="A469" s="879"/>
      <c r="B469" s="1133">
        <v>219</v>
      </c>
      <c r="C469" s="883">
        <v>1.0041039162711975</v>
      </c>
      <c r="D469" s="883">
        <v>1.0009255899703366</v>
      </c>
      <c r="E469" s="883">
        <v>1.0217320092288056</v>
      </c>
      <c r="F469" s="883">
        <v>0.98912063131304473</v>
      </c>
      <c r="G469" s="883">
        <v>1.0048720794021029</v>
      </c>
      <c r="H469" s="883">
        <v>1.0098359955454981</v>
      </c>
      <c r="I469" s="883">
        <v>1.0037033630052696</v>
      </c>
      <c r="K469">
        <v>1.6022721822141104</v>
      </c>
      <c r="L469">
        <v>0</v>
      </c>
      <c r="M469">
        <v>6.3228334426564323E-3</v>
      </c>
      <c r="N469">
        <v>0.12173570035764586</v>
      </c>
      <c r="O469">
        <v>3.0691126177635999E-2</v>
      </c>
      <c r="P469">
        <v>1.8458774985802281E-2</v>
      </c>
      <c r="Q469">
        <v>0</v>
      </c>
      <c r="R469">
        <v>6.3228334426564323E-3</v>
      </c>
      <c r="S469">
        <v>0.16921788636557294</v>
      </c>
      <c r="T469">
        <v>1.172653588241513</v>
      </c>
      <c r="U469">
        <v>0</v>
      </c>
      <c r="V469">
        <v>1.5831630054976696E-2</v>
      </c>
      <c r="W469">
        <v>6.3388435514866504E-2</v>
      </c>
      <c r="X469">
        <v>-1.574126217836291E-2</v>
      </c>
      <c r="Y469">
        <v>2.6036302694460355E-2</v>
      </c>
    </row>
    <row r="470" spans="1:25" x14ac:dyDescent="0.25">
      <c r="A470" s="879"/>
      <c r="B470" s="1133">
        <v>220</v>
      </c>
      <c r="C470" s="883">
        <v>0.98241357514369754</v>
      </c>
      <c r="D470" s="883">
        <v>1.0056701129604999</v>
      </c>
      <c r="E470" s="883">
        <v>0.99270520146246777</v>
      </c>
      <c r="F470" s="883">
        <v>1.0001899106934671</v>
      </c>
      <c r="G470" s="883">
        <v>1.0285790660559024</v>
      </c>
      <c r="H470" s="883">
        <v>1.0144865107674659</v>
      </c>
      <c r="I470" s="883">
        <v>0.9615886010550676</v>
      </c>
      <c r="K470">
        <v>1.6162194351073045</v>
      </c>
      <c r="L470">
        <v>0</v>
      </c>
      <c r="M470">
        <v>6.6450237515725237E-3</v>
      </c>
      <c r="N470">
        <v>0.12255665593776666</v>
      </c>
      <c r="O470">
        <v>3.1335174657867719E-2</v>
      </c>
      <c r="P470">
        <v>1.8198478750364531E-2</v>
      </c>
      <c r="Q470">
        <v>0</v>
      </c>
      <c r="R470">
        <v>6.6450237515725237E-3</v>
      </c>
      <c r="S470">
        <v>0.16588158853303636</v>
      </c>
      <c r="T470">
        <v>1.186315440393569</v>
      </c>
      <c r="U470">
        <v>0</v>
      </c>
      <c r="V470">
        <v>1.5951502512056574E-2</v>
      </c>
      <c r="W470">
        <v>6.4739782552019925E-2</v>
      </c>
      <c r="X470">
        <v>-1.6122213268215987E-2</v>
      </c>
      <c r="Y470">
        <v>2.7363025038839677E-2</v>
      </c>
    </row>
    <row r="471" spans="1:25" x14ac:dyDescent="0.25">
      <c r="A471" s="879"/>
      <c r="B471" s="1133">
        <v>221</v>
      </c>
      <c r="C471" s="883">
        <v>0.99091361356454577</v>
      </c>
      <c r="D471" s="883">
        <v>0.98033233117924967</v>
      </c>
      <c r="E471" s="883">
        <v>0.99190707139631706</v>
      </c>
      <c r="F471" s="883">
        <v>1.0177063857771678</v>
      </c>
      <c r="G471" s="883">
        <v>0.99334787448887674</v>
      </c>
      <c r="H471" s="883">
        <v>1.0065514095783308</v>
      </c>
      <c r="I471" s="883">
        <v>1.046002953770987</v>
      </c>
      <c r="K471">
        <v>1.6494126687729247</v>
      </c>
      <c r="L471">
        <v>0</v>
      </c>
      <c r="M471">
        <v>6.6159535592616959E-3</v>
      </c>
      <c r="N471">
        <v>0.12187622774462624</v>
      </c>
      <c r="O471">
        <v>3.1385777131783331E-2</v>
      </c>
      <c r="P471">
        <v>1.863366964154509E-2</v>
      </c>
      <c r="Q471">
        <v>0</v>
      </c>
      <c r="R471">
        <v>6.6159535592616959E-3</v>
      </c>
      <c r="S471">
        <v>0.17869249741755233</v>
      </c>
      <c r="T471">
        <v>1.2071066830905115</v>
      </c>
      <c r="U471">
        <v>0</v>
      </c>
      <c r="V471">
        <v>1.5903901434965569E-2</v>
      </c>
      <c r="W471">
        <v>6.4405955062940792E-2</v>
      </c>
      <c r="X471">
        <v>-1.5835361912206462E-2</v>
      </c>
      <c r="Y471">
        <v>2.724331916120503E-2</v>
      </c>
    </row>
    <row r="472" spans="1:25" x14ac:dyDescent="0.25">
      <c r="A472" s="879"/>
      <c r="B472" s="1133">
        <v>222</v>
      </c>
      <c r="C472" s="883">
        <v>1.0201439813065591</v>
      </c>
      <c r="D472" s="883">
        <v>0.98563633830371633</v>
      </c>
      <c r="E472" s="883">
        <v>0.99306523689751047</v>
      </c>
      <c r="F472" s="883">
        <v>0.98481015786502835</v>
      </c>
      <c r="G472" s="883">
        <v>1.029382473717904</v>
      </c>
      <c r="H472" s="883">
        <v>0.96984334185929577</v>
      </c>
      <c r="I472" s="883">
        <v>1.0254089105850408</v>
      </c>
      <c r="K472">
        <v>1.5850776172069414</v>
      </c>
      <c r="L472">
        <v>0</v>
      </c>
      <c r="M472">
        <v>6.1708799564839829E-3</v>
      </c>
      <c r="N472">
        <v>0.11387259860791704</v>
      </c>
      <c r="O472">
        <v>3.0419798762016961E-2</v>
      </c>
      <c r="P472">
        <v>1.7985512030837543E-2</v>
      </c>
      <c r="Q472">
        <v>0</v>
      </c>
      <c r="R472">
        <v>6.1708799564839829E-3</v>
      </c>
      <c r="S472">
        <v>0.16794552254470116</v>
      </c>
      <c r="T472">
        <v>1.1680670656991194</v>
      </c>
      <c r="U472">
        <v>0</v>
      </c>
      <c r="V472">
        <v>1.5746262659155508E-2</v>
      </c>
      <c r="W472">
        <v>6.014169793643892E-2</v>
      </c>
      <c r="X472">
        <v>-1.4511426318360129E-2</v>
      </c>
      <c r="Y472">
        <v>2.5410585285114487E-2</v>
      </c>
    </row>
    <row r="473" spans="1:25" x14ac:dyDescent="0.25">
      <c r="A473" s="879"/>
      <c r="B473" s="1133">
        <v>223</v>
      </c>
      <c r="C473" s="883">
        <v>1.0296941142760685</v>
      </c>
      <c r="D473" s="883">
        <v>1.0061645081589878</v>
      </c>
      <c r="E473" s="883">
        <v>0.99290993548850714</v>
      </c>
      <c r="F473" s="883">
        <v>0.97577010688900878</v>
      </c>
      <c r="G473" s="883">
        <v>1.0066848561646722</v>
      </c>
      <c r="H473" s="883">
        <v>1.0177588858825559</v>
      </c>
      <c r="I473" s="883">
        <v>1.0318412838882249</v>
      </c>
      <c r="K473">
        <v>1.5809644200871147</v>
      </c>
      <c r="L473">
        <v>0</v>
      </c>
      <c r="M473">
        <v>6.3578239977243592E-3</v>
      </c>
      <c r="N473">
        <v>0.11729531393306686</v>
      </c>
      <c r="O473">
        <v>2.9890313609251526E-2</v>
      </c>
      <c r="P473">
        <v>1.786769027545182E-2</v>
      </c>
      <c r="Q473">
        <v>0</v>
      </c>
      <c r="R473">
        <v>6.3578239977243592E-3</v>
      </c>
      <c r="S473">
        <v>0.17001213269892043</v>
      </c>
      <c r="T473">
        <v>1.1573476315511702</v>
      </c>
      <c r="U473">
        <v>0</v>
      </c>
      <c r="V473">
        <v>1.5696698726584208E-2</v>
      </c>
      <c r="W473">
        <v>6.1954193503245422E-2</v>
      </c>
      <c r="X473">
        <v>-1.5279941782719696E-2</v>
      </c>
      <c r="Y473">
        <v>2.618038757214345E-2</v>
      </c>
    </row>
    <row r="474" spans="1:25" x14ac:dyDescent="0.25">
      <c r="A474" s="879"/>
      <c r="B474" s="1133">
        <v>224</v>
      </c>
      <c r="C474" s="883">
        <v>0.98760814993899571</v>
      </c>
      <c r="D474" s="883">
        <v>0.9866746547377383</v>
      </c>
      <c r="E474" s="883">
        <v>0.9814608509804974</v>
      </c>
      <c r="F474" s="883">
        <v>1.0142880277497586</v>
      </c>
      <c r="G474" s="883">
        <v>1.0099758479914387</v>
      </c>
      <c r="H474" s="883">
        <v>0.97683292506596375</v>
      </c>
      <c r="I474" s="883">
        <v>1.0391931498093163</v>
      </c>
      <c r="K474">
        <v>1.6368354714938942</v>
      </c>
      <c r="L474">
        <v>0</v>
      </c>
      <c r="M474">
        <v>6.4823858354681983E-3</v>
      </c>
      <c r="N474">
        <v>0.1175800677265646</v>
      </c>
      <c r="O474">
        <v>3.1418335240022577E-2</v>
      </c>
      <c r="P474">
        <v>1.8401675142696049E-2</v>
      </c>
      <c r="Q474">
        <v>0</v>
      </c>
      <c r="R474">
        <v>6.4823858354681983E-3</v>
      </c>
      <c r="S474">
        <v>0.17621561337591157</v>
      </c>
      <c r="T474">
        <v>1.203249687722677</v>
      </c>
      <c r="U474">
        <v>0</v>
      </c>
      <c r="V474">
        <v>1.5922315003529534E-2</v>
      </c>
      <c r="W474">
        <v>6.2460595330575047E-2</v>
      </c>
      <c r="X474">
        <v>-1.5106129096873722E-2</v>
      </c>
      <c r="Y474">
        <v>2.6693311048791978E-2</v>
      </c>
    </row>
    <row r="475" spans="1:25" x14ac:dyDescent="0.25">
      <c r="A475" s="879"/>
      <c r="B475" s="1133">
        <v>225</v>
      </c>
      <c r="C475" s="883">
        <v>1.0075992644562877</v>
      </c>
      <c r="D475" s="883">
        <v>0.9831034256190847</v>
      </c>
      <c r="E475" s="883">
        <v>1.0090154523806409</v>
      </c>
      <c r="F475" s="883">
        <v>1.005412147869541</v>
      </c>
      <c r="G475" s="883">
        <v>0.97633163689491786</v>
      </c>
      <c r="H475" s="883">
        <v>1.0208304037980471</v>
      </c>
      <c r="I475" s="883">
        <v>0.98029061326685318</v>
      </c>
      <c r="K475">
        <v>1.6205297223365813</v>
      </c>
      <c r="L475">
        <v>0</v>
      </c>
      <c r="M475">
        <v>6.4926155034042126E-3</v>
      </c>
      <c r="N475">
        <v>0.12267424243013907</v>
      </c>
      <c r="O475">
        <v>3.0816629392547184E-2</v>
      </c>
      <c r="P475">
        <v>1.8496835230926063E-2</v>
      </c>
      <c r="Q475">
        <v>0</v>
      </c>
      <c r="R475">
        <v>6.4926155034042126E-3</v>
      </c>
      <c r="S475">
        <v>0.16549363157432279</v>
      </c>
      <c r="T475">
        <v>1.1922047763948194</v>
      </c>
      <c r="U475">
        <v>0</v>
      </c>
      <c r="V475">
        <v>1.5812795733358396E-2</v>
      </c>
      <c r="W475">
        <v>6.42792893167215E-2</v>
      </c>
      <c r="X475">
        <v>-1.5983912736792949E-2</v>
      </c>
      <c r="Y475">
        <v>2.6735435000539466E-2</v>
      </c>
    </row>
    <row r="476" spans="1:25" x14ac:dyDescent="0.25">
      <c r="A476" s="879"/>
      <c r="B476" s="1133">
        <v>226</v>
      </c>
      <c r="C476" s="883">
        <v>0.96927464041551736</v>
      </c>
      <c r="D476" s="883">
        <v>1.0175266190437391</v>
      </c>
      <c r="E476" s="883">
        <v>1.0171004753143922</v>
      </c>
      <c r="F476" s="883">
        <v>1.0249197269614743</v>
      </c>
      <c r="G476" s="883">
        <v>1.0136612527598825</v>
      </c>
      <c r="H476" s="883">
        <v>0.98802988513357926</v>
      </c>
      <c r="I476" s="883">
        <v>0.99641840807462234</v>
      </c>
      <c r="K476">
        <v>1.650977411100413</v>
      </c>
      <c r="L476">
        <v>0</v>
      </c>
      <c r="M476">
        <v>6.3876156461096798E-3</v>
      </c>
      <c r="N476">
        <v>0.12214321503372047</v>
      </c>
      <c r="O476">
        <v>3.1589753860372917E-2</v>
      </c>
      <c r="P476">
        <v>1.9019237080112106E-2</v>
      </c>
      <c r="Q476">
        <v>0</v>
      </c>
      <c r="R476">
        <v>6.3876156461096798E-3</v>
      </c>
      <c r="S476">
        <v>0.17255793536399167</v>
      </c>
      <c r="T476">
        <v>1.2151830819681926</v>
      </c>
      <c r="U476">
        <v>0</v>
      </c>
      <c r="V476">
        <v>1.602672453191769E-2</v>
      </c>
      <c r="W476">
        <v>6.3745933387420656E-2</v>
      </c>
      <c r="X476">
        <v>-1.5591534402793832E-2</v>
      </c>
      <c r="Y476">
        <v>2.6303064277478465E-2</v>
      </c>
    </row>
    <row r="477" spans="1:25" x14ac:dyDescent="0.25">
      <c r="A477" s="879"/>
      <c r="B477" s="1133">
        <v>227</v>
      </c>
      <c r="C477" s="883">
        <v>0.97358357103741189</v>
      </c>
      <c r="D477" s="883">
        <v>1.0363686039261066</v>
      </c>
      <c r="E477" s="883">
        <v>0.99915461939578909</v>
      </c>
      <c r="F477" s="883">
        <v>0.96553096300242991</v>
      </c>
      <c r="G477" s="883">
        <v>1.0001934283024003</v>
      </c>
      <c r="H477" s="883">
        <v>0.99292825905440496</v>
      </c>
      <c r="I477" s="883">
        <v>0.98357018823445042</v>
      </c>
      <c r="K477">
        <v>1.5736335400433197</v>
      </c>
      <c r="L477">
        <v>0</v>
      </c>
      <c r="M477">
        <v>6.4391075156000257E-3</v>
      </c>
      <c r="N477">
        <v>0.11989935408391283</v>
      </c>
      <c r="O477">
        <v>3.1235865403376261E-2</v>
      </c>
      <c r="P477">
        <v>1.7788436273893971E-2</v>
      </c>
      <c r="Q477">
        <v>0</v>
      </c>
      <c r="R477">
        <v>6.4391075156000257E-3</v>
      </c>
      <c r="S477">
        <v>0.16966846075400252</v>
      </c>
      <c r="T477">
        <v>1.1450909591236813</v>
      </c>
      <c r="U477">
        <v>0</v>
      </c>
      <c r="V477">
        <v>1.6001831634142809E-2</v>
      </c>
      <c r="W477">
        <v>6.3133202075399172E-2</v>
      </c>
      <c r="X477">
        <v>-1.5699667935919332E-2</v>
      </c>
      <c r="Y477">
        <v>2.6515098630828612E-2</v>
      </c>
    </row>
    <row r="478" spans="1:25" x14ac:dyDescent="0.25">
      <c r="A478" s="879"/>
      <c r="B478" s="1133">
        <v>228</v>
      </c>
      <c r="C478" s="883">
        <v>1.0132928287506298</v>
      </c>
      <c r="D478" s="883">
        <v>1.0394629237918738</v>
      </c>
      <c r="E478" s="883">
        <v>1.0440152800851137</v>
      </c>
      <c r="F478" s="883">
        <v>0.99028916883374185</v>
      </c>
      <c r="G478" s="883">
        <v>0.99761768474198553</v>
      </c>
      <c r="H478" s="883">
        <v>1.0124293771289272</v>
      </c>
      <c r="I478" s="883">
        <v>0.99613847714102421</v>
      </c>
      <c r="K478">
        <v>1.5965275178384861</v>
      </c>
      <c r="L478">
        <v>0</v>
      </c>
      <c r="M478">
        <v>6.0572488129861674E-3</v>
      </c>
      <c r="N478">
        <v>0.12052686099618637</v>
      </c>
      <c r="O478">
        <v>2.9936189515063459E-2</v>
      </c>
      <c r="P478">
        <v>1.8735467553800424E-2</v>
      </c>
      <c r="Q478">
        <v>0</v>
      </c>
      <c r="R478">
        <v>6.0572488129861674E-3</v>
      </c>
      <c r="S478">
        <v>0.16621541151385394</v>
      </c>
      <c r="T478">
        <v>1.1736320382987016</v>
      </c>
      <c r="U478">
        <v>0</v>
      </c>
      <c r="V478">
        <v>1.5782394762058338E-2</v>
      </c>
      <c r="W478">
        <v>6.2077442898882389E-2</v>
      </c>
      <c r="X478">
        <v>-1.53209601618407E-2</v>
      </c>
      <c r="Y478">
        <v>2.4942672461780068E-2</v>
      </c>
    </row>
    <row r="479" spans="1:25" x14ac:dyDescent="0.25">
      <c r="A479" s="879"/>
      <c r="B479" s="1133">
        <v>229</v>
      </c>
      <c r="C479" s="883">
        <v>1.0103964614292542</v>
      </c>
      <c r="D479" s="883">
        <v>0.99984879366074964</v>
      </c>
      <c r="E479" s="883">
        <v>1.0189794074252292</v>
      </c>
      <c r="F479" s="883">
        <v>0.98922883843614373</v>
      </c>
      <c r="G479" s="883">
        <v>1.000847326930481</v>
      </c>
      <c r="H479" s="883">
        <v>0.96735028448603322</v>
      </c>
      <c r="I479" s="883">
        <v>0.99662948551370634</v>
      </c>
      <c r="K479">
        <v>1.5884180492231708</v>
      </c>
      <c r="L479">
        <v>0</v>
      </c>
      <c r="M479">
        <v>6.0365194229202394E-3</v>
      </c>
      <c r="N479">
        <v>0.11575092326428212</v>
      </c>
      <c r="O479">
        <v>3.0515602537418685E-2</v>
      </c>
      <c r="P479">
        <v>1.8359608836376329E-2</v>
      </c>
      <c r="Q479">
        <v>0</v>
      </c>
      <c r="R479">
        <v>6.0365194229202394E-3</v>
      </c>
      <c r="S479">
        <v>0.16455686421768884</v>
      </c>
      <c r="T479">
        <v>1.172832235841035</v>
      </c>
      <c r="U479">
        <v>0</v>
      </c>
      <c r="V479">
        <v>1.5797817195128565E-2</v>
      </c>
      <c r="W479">
        <v>6.035389713154525E-2</v>
      </c>
      <c r="X479">
        <v>-1.460621232348747E-2</v>
      </c>
      <c r="Y479">
        <v>2.4857312523182459E-2</v>
      </c>
    </row>
    <row r="480" spans="1:25" x14ac:dyDescent="0.25">
      <c r="A480" s="879"/>
      <c r="B480" s="1133">
        <v>230</v>
      </c>
      <c r="C480" s="883">
        <v>0.98171673042211971</v>
      </c>
      <c r="D480" s="883">
        <v>1.0328107114835838</v>
      </c>
      <c r="E480" s="883">
        <v>0.96610887906529463</v>
      </c>
      <c r="F480" s="883">
        <v>1.0075264699668742</v>
      </c>
      <c r="G480" s="883">
        <v>0.99925010101196343</v>
      </c>
      <c r="H480" s="883">
        <v>0.98718242505733422</v>
      </c>
      <c r="I480" s="883">
        <v>0.98097001500817704</v>
      </c>
      <c r="K480">
        <v>1.6180188207377335</v>
      </c>
      <c r="L480">
        <v>0</v>
      </c>
      <c r="M480">
        <v>6.5444071835995049E-3</v>
      </c>
      <c r="N480">
        <v>0.11603058337574379</v>
      </c>
      <c r="O480">
        <v>3.1046320968056009E-2</v>
      </c>
      <c r="P480">
        <v>1.7969587383994973E-2</v>
      </c>
      <c r="Q480">
        <v>0</v>
      </c>
      <c r="R480">
        <v>6.5444071835995049E-3</v>
      </c>
      <c r="S480">
        <v>0.16748685755488568</v>
      </c>
      <c r="T480">
        <v>1.195517687911543</v>
      </c>
      <c r="U480">
        <v>0</v>
      </c>
      <c r="V480">
        <v>1.5955441471492738E-2</v>
      </c>
      <c r="W480">
        <v>6.2114323542161211E-2</v>
      </c>
      <c r="X480">
        <v>-1.5050685391152813E-2</v>
      </c>
      <c r="Y480">
        <v>2.6948703921008253E-2</v>
      </c>
    </row>
    <row r="481" spans="1:25" x14ac:dyDescent="0.25">
      <c r="A481" s="879"/>
      <c r="B481" s="1133">
        <v>231</v>
      </c>
      <c r="C481" s="883">
        <v>0.97932848163262998</v>
      </c>
      <c r="D481" s="883">
        <v>1.0089029996085943</v>
      </c>
      <c r="E481" s="883">
        <v>1.0159854857356529</v>
      </c>
      <c r="F481" s="883">
        <v>1.0143337997022335</v>
      </c>
      <c r="G481" s="883">
        <v>1.0154031869904341</v>
      </c>
      <c r="H481" s="883">
        <v>0.97503200433345438</v>
      </c>
      <c r="I481" s="883">
        <v>0.98591800081967618</v>
      </c>
      <c r="K481">
        <v>1.6298549033620275</v>
      </c>
      <c r="L481">
        <v>0</v>
      </c>
      <c r="M481">
        <v>6.2686971966474285E-3</v>
      </c>
      <c r="N481">
        <v>0.11967167176152126</v>
      </c>
      <c r="O481">
        <v>3.1373096018446789E-2</v>
      </c>
      <c r="P481">
        <v>1.8775465789793729E-2</v>
      </c>
      <c r="Q481">
        <v>0</v>
      </c>
      <c r="R481">
        <v>6.2686971966474285E-3</v>
      </c>
      <c r="S481">
        <v>0.16831208461121605</v>
      </c>
      <c r="T481">
        <v>1.2026529485025597</v>
      </c>
      <c r="U481">
        <v>0</v>
      </c>
      <c r="V481">
        <v>1.596898372781792E-2</v>
      </c>
      <c r="W481">
        <v>6.249040834625344E-2</v>
      </c>
      <c r="X481">
        <v>-1.5203134664869252E-2</v>
      </c>
      <c r="Y481">
        <v>2.5813379269287871E-2</v>
      </c>
    </row>
    <row r="482" spans="1:25" x14ac:dyDescent="0.25">
      <c r="A482" s="879"/>
      <c r="B482" s="1133">
        <v>232</v>
      </c>
      <c r="C482" s="883">
        <v>1.0164440161430301</v>
      </c>
      <c r="D482" s="883">
        <v>1.0032701123849326</v>
      </c>
      <c r="E482" s="883">
        <v>0.99538620985995274</v>
      </c>
      <c r="F482" s="883">
        <v>0.99058179871898977</v>
      </c>
      <c r="G482" s="883">
        <v>0.98819734306179141</v>
      </c>
      <c r="H482" s="883">
        <v>1.0285893337962644</v>
      </c>
      <c r="I482" s="883">
        <v>1.0073532099830305</v>
      </c>
      <c r="K482">
        <v>1.6028186504617958</v>
      </c>
      <c r="L482">
        <v>0</v>
      </c>
      <c r="M482">
        <v>6.5035340658967499E-3</v>
      </c>
      <c r="N482">
        <v>0.12042468087278166</v>
      </c>
      <c r="O482">
        <v>3.0312838922482554E-2</v>
      </c>
      <c r="P482">
        <v>1.8119589511734476E-2</v>
      </c>
      <c r="Q482">
        <v>0</v>
      </c>
      <c r="R482">
        <v>6.5035340658967499E-3</v>
      </c>
      <c r="S482">
        <v>0.16879507310544239</v>
      </c>
      <c r="T482">
        <v>1.1748699258695077</v>
      </c>
      <c r="U482">
        <v>0</v>
      </c>
      <c r="V482">
        <v>1.5765715307724502E-2</v>
      </c>
      <c r="W482">
        <v>6.3528730271962666E-2</v>
      </c>
      <c r="X482">
        <v>-1.5778299097292215E-2</v>
      </c>
      <c r="Y482">
        <v>2.6780395697452063E-2</v>
      </c>
    </row>
    <row r="483" spans="1:25" x14ac:dyDescent="0.25">
      <c r="A483" s="879"/>
      <c r="B483" s="1133">
        <v>233</v>
      </c>
      <c r="C483" s="883">
        <v>0.99056173054171759</v>
      </c>
      <c r="D483" s="883">
        <v>0.96092106586156523</v>
      </c>
      <c r="E483" s="883">
        <v>0.96009539489670814</v>
      </c>
      <c r="F483" s="883">
        <v>1.0105740483268699</v>
      </c>
      <c r="G483" s="883">
        <v>1.0141165522649551</v>
      </c>
      <c r="H483" s="883">
        <v>0.98507801884464552</v>
      </c>
      <c r="I483" s="883">
        <v>1.0071621630028444</v>
      </c>
      <c r="K483">
        <v>1.6295055977885866</v>
      </c>
      <c r="L483">
        <v>0</v>
      </c>
      <c r="M483">
        <v>6.7189158828144906E-3</v>
      </c>
      <c r="N483">
        <v>0.1180651415411617</v>
      </c>
      <c r="O483">
        <v>3.1674577378010479E-2</v>
      </c>
      <c r="P483">
        <v>1.7978734563569115E-2</v>
      </c>
      <c r="Q483">
        <v>0</v>
      </c>
      <c r="R483">
        <v>6.7189158828144906E-3</v>
      </c>
      <c r="S483">
        <v>0.17101687072130586</v>
      </c>
      <c r="T483">
        <v>1.1992478231550165</v>
      </c>
      <c r="U483">
        <v>0</v>
      </c>
      <c r="V483">
        <v>1.5905855805988106E-2</v>
      </c>
      <c r="W483">
        <v>6.3395394487624102E-2</v>
      </c>
      <c r="X483">
        <v>-1.5446099547074602E-2</v>
      </c>
      <c r="Y483">
        <v>2.7667299682985036E-2</v>
      </c>
    </row>
    <row r="484" spans="1:25" x14ac:dyDescent="0.25">
      <c r="A484" s="879"/>
      <c r="B484" s="1133">
        <v>234</v>
      </c>
      <c r="C484" s="883">
        <v>1.0134917314262752</v>
      </c>
      <c r="D484" s="883">
        <v>0.9718941218924626</v>
      </c>
      <c r="E484" s="883">
        <v>1.0167479583913057</v>
      </c>
      <c r="F484" s="883">
        <v>0.99996857572340869</v>
      </c>
      <c r="G484" s="883">
        <v>0.99853865842334744</v>
      </c>
      <c r="H484" s="883">
        <v>1.0221716733005228</v>
      </c>
      <c r="I484" s="883">
        <v>0.99131604844991594</v>
      </c>
      <c r="K484">
        <v>1.6154902893687981</v>
      </c>
      <c r="L484">
        <v>0</v>
      </c>
      <c r="M484">
        <v>6.4527400042084897E-3</v>
      </c>
      <c r="N484">
        <v>0.12332417329148991</v>
      </c>
      <c r="O484">
        <v>3.0771459752878899E-2</v>
      </c>
      <c r="P484">
        <v>1.8529445597896734E-2</v>
      </c>
      <c r="Q484">
        <v>0</v>
      </c>
      <c r="R484">
        <v>6.4527400042084897E-3</v>
      </c>
      <c r="S484">
        <v>0.1665921266210886</v>
      </c>
      <c r="T484">
        <v>1.1856065909286706</v>
      </c>
      <c r="U484">
        <v>0</v>
      </c>
      <c r="V484">
        <v>1.5781338889537779E-2</v>
      </c>
      <c r="W484">
        <v>6.4373460962429699E-2</v>
      </c>
      <c r="X484">
        <v>-1.6059541467619651E-2</v>
      </c>
      <c r="Y484">
        <v>2.6571234792425749E-2</v>
      </c>
    </row>
    <row r="485" spans="1:25" x14ac:dyDescent="0.25">
      <c r="A485" s="879"/>
      <c r="B485" s="1133">
        <v>235</v>
      </c>
      <c r="C485" s="883">
        <v>1.0256821465799515</v>
      </c>
      <c r="D485" s="883">
        <v>1.0332073107854385</v>
      </c>
      <c r="E485" s="883">
        <v>1.0077302010445797</v>
      </c>
      <c r="F485" s="883">
        <v>1.0194260043738479</v>
      </c>
      <c r="G485" s="883">
        <v>0.97567388118889331</v>
      </c>
      <c r="H485" s="883">
        <v>1.0326534760148447</v>
      </c>
      <c r="I485" s="883">
        <v>0.98704127278878528</v>
      </c>
      <c r="K485">
        <v>1.6290853916228063</v>
      </c>
      <c r="L485">
        <v>0</v>
      </c>
      <c r="M485">
        <v>6.3176977188520158E-3</v>
      </c>
      <c r="N485">
        <v>0.11914234000340537</v>
      </c>
      <c r="O485">
        <v>2.9678415151980421E-2</v>
      </c>
      <c r="P485">
        <v>1.8679221846721401E-2</v>
      </c>
      <c r="Q485">
        <v>0</v>
      </c>
      <c r="R485">
        <v>6.3176977188520158E-3</v>
      </c>
      <c r="S485">
        <v>0.16383944519668031</v>
      </c>
      <c r="T485">
        <v>1.2088465294711124</v>
      </c>
      <c r="U485">
        <v>0</v>
      </c>
      <c r="V485">
        <v>1.5717407884608056E-2</v>
      </c>
      <c r="W485">
        <v>6.2468355133478863E-2</v>
      </c>
      <c r="X485">
        <v>-1.5301477763139018E-2</v>
      </c>
      <c r="Y485">
        <v>2.6015154697958537E-2</v>
      </c>
    </row>
    <row r="486" spans="1:25" x14ac:dyDescent="0.25">
      <c r="A486" s="879"/>
      <c r="B486" s="1133">
        <v>236</v>
      </c>
      <c r="C486" s="883">
        <v>1.0076384790615118</v>
      </c>
      <c r="D486" s="883">
        <v>1.0084597423584534</v>
      </c>
      <c r="E486" s="883">
        <v>1.0278144220816114</v>
      </c>
      <c r="F486" s="883">
        <v>1.0047884240191673</v>
      </c>
      <c r="G486" s="883">
        <v>0.9805533373768669</v>
      </c>
      <c r="H486" s="883">
        <v>1.0146971337044817</v>
      </c>
      <c r="I486" s="883">
        <v>1.0233490421965827</v>
      </c>
      <c r="K486">
        <v>1.6238363498098076</v>
      </c>
      <c r="L486">
        <v>0</v>
      </c>
      <c r="M486">
        <v>6.2763221985792789E-3</v>
      </c>
      <c r="N486">
        <v>0.12193200039768358</v>
      </c>
      <c r="O486">
        <v>3.0486315644448293E-2</v>
      </c>
      <c r="P486">
        <v>1.8833984359367204E-2</v>
      </c>
      <c r="Q486">
        <v>0</v>
      </c>
      <c r="R486">
        <v>6.2763221985792789E-3</v>
      </c>
      <c r="S486">
        <v>0.17213803891236093</v>
      </c>
      <c r="T486">
        <v>1.1911156491156203</v>
      </c>
      <c r="U486">
        <v>0</v>
      </c>
      <c r="V486">
        <v>1.5812585170725341E-2</v>
      </c>
      <c r="W486">
        <v>6.3301076054565156E-2</v>
      </c>
      <c r="X486">
        <v>-1.5628077515006503E-2</v>
      </c>
      <c r="Y486">
        <v>2.5844777670043482E-2</v>
      </c>
    </row>
    <row r="487" spans="1:25" x14ac:dyDescent="0.25">
      <c r="A487" s="879"/>
      <c r="B487" s="1133">
        <v>237</v>
      </c>
      <c r="C487" s="883">
        <v>1.0122097791979576</v>
      </c>
      <c r="D487" s="883">
        <v>1.0069083710606375</v>
      </c>
      <c r="E487" s="883">
        <v>1.0129979402826357</v>
      </c>
      <c r="F487" s="883">
        <v>0.99485113099907474</v>
      </c>
      <c r="G487" s="883">
        <v>0.98391760560891284</v>
      </c>
      <c r="H487" s="883">
        <v>1.0037345111147178</v>
      </c>
      <c r="I487" s="883">
        <v>0.9889410312883502</v>
      </c>
      <c r="K487">
        <v>1.6009750597430701</v>
      </c>
      <c r="L487">
        <v>0</v>
      </c>
      <c r="M487">
        <v>6.2654681402719067E-3</v>
      </c>
      <c r="N487">
        <v>0.11908236972663643</v>
      </c>
      <c r="O487">
        <v>3.0380618290108876E-2</v>
      </c>
      <c r="P487">
        <v>1.837481987893123E-2</v>
      </c>
      <c r="Q487">
        <v>0</v>
      </c>
      <c r="R487">
        <v>6.2654681402719067E-3</v>
      </c>
      <c r="S487">
        <v>0.16497983533462759</v>
      </c>
      <c r="T487">
        <v>1.1796082159793306</v>
      </c>
      <c r="U487">
        <v>0</v>
      </c>
      <c r="V487">
        <v>1.5788151399398754E-2</v>
      </c>
      <c r="W487">
        <v>6.2274469928696438E-2</v>
      </c>
      <c r="X487">
        <v>-1.5313503384543278E-2</v>
      </c>
      <c r="Y487">
        <v>2.5800082589884071E-2</v>
      </c>
    </row>
    <row r="488" spans="1:25" x14ac:dyDescent="0.25">
      <c r="A488" s="879"/>
      <c r="B488" s="1133">
        <v>238</v>
      </c>
      <c r="C488" s="883">
        <v>0.97655294862091568</v>
      </c>
      <c r="D488" s="883">
        <v>0.98511744612582863</v>
      </c>
      <c r="E488" s="883">
        <v>1.0134045607299988</v>
      </c>
      <c r="F488" s="883">
        <v>0.95706658824120483</v>
      </c>
      <c r="G488" s="883">
        <v>1.0087283221945749</v>
      </c>
      <c r="H488" s="883">
        <v>1.0339749725067109</v>
      </c>
      <c r="I488" s="883">
        <v>1.0041074824694216</v>
      </c>
      <c r="K488">
        <v>1.5822899165244659</v>
      </c>
      <c r="L488">
        <v>0</v>
      </c>
      <c r="M488">
        <v>6.7531153687802672E-3</v>
      </c>
      <c r="N488">
        <v>0.12842792785575599</v>
      </c>
      <c r="O488">
        <v>3.1766329133730987E-2</v>
      </c>
      <c r="P488">
        <v>1.7922539135286235E-2</v>
      </c>
      <c r="Q488">
        <v>0</v>
      </c>
      <c r="R488">
        <v>6.7531153687802672E-3</v>
      </c>
      <c r="S488">
        <v>0.17567422849825606</v>
      </c>
      <c r="T488">
        <v>1.1347993710749698</v>
      </c>
      <c r="U488">
        <v>0</v>
      </c>
      <c r="V488">
        <v>1.5984805249737059E-2</v>
      </c>
      <c r="W488">
        <v>6.7148268157757443E-2</v>
      </c>
      <c r="X488">
        <v>-1.7241679659939585E-2</v>
      </c>
      <c r="Y488">
        <v>2.7808127078910522E-2</v>
      </c>
    </row>
    <row r="489" spans="1:25" x14ac:dyDescent="0.25">
      <c r="A489" s="879"/>
      <c r="B489" s="1133">
        <v>239</v>
      </c>
      <c r="C489" s="883">
        <v>0.9897914134295217</v>
      </c>
      <c r="D489" s="883">
        <v>1.0053230609387871</v>
      </c>
      <c r="E489" s="883">
        <v>1.0131453405874367</v>
      </c>
      <c r="F489" s="883">
        <v>1.0063466725653136</v>
      </c>
      <c r="G489" s="883">
        <v>0.98968091750371545</v>
      </c>
      <c r="H489" s="883">
        <v>0.96824526420180168</v>
      </c>
      <c r="I489" s="883">
        <v>1.0256768808632624</v>
      </c>
      <c r="K489">
        <v>1.6214318444364944</v>
      </c>
      <c r="L489">
        <v>0</v>
      </c>
      <c r="M489">
        <v>6.1843778841286692E-3</v>
      </c>
      <c r="N489">
        <v>0.11756680242717502</v>
      </c>
      <c r="O489">
        <v>3.1088182469142904E-2</v>
      </c>
      <c r="P489">
        <v>1.8669350482856128E-2</v>
      </c>
      <c r="Q489">
        <v>0</v>
      </c>
      <c r="R489">
        <v>6.1843778841286692E-3</v>
      </c>
      <c r="S489">
        <v>0.17287324180705799</v>
      </c>
      <c r="T489">
        <v>1.1932358841612889</v>
      </c>
      <c r="U489">
        <v>0</v>
      </c>
      <c r="V489">
        <v>1.591013902576649E-2</v>
      </c>
      <c r="W489">
        <v>6.1477423035200207E-2</v>
      </c>
      <c r="X489">
        <v>-1.4855346320608712E-2</v>
      </c>
      <c r="Y489">
        <v>2.5466167348613764E-2</v>
      </c>
    </row>
    <row r="490" spans="1:25" x14ac:dyDescent="0.25">
      <c r="A490" s="879"/>
      <c r="B490" s="1133">
        <v>240</v>
      </c>
      <c r="C490" s="883">
        <v>0.9879438691252016</v>
      </c>
      <c r="D490" s="883">
        <v>1.009099156920112</v>
      </c>
      <c r="E490" s="883">
        <v>1.0024153976458294</v>
      </c>
      <c r="F490" s="883">
        <v>0.96608639254086826</v>
      </c>
      <c r="G490" s="883">
        <v>1.0172341011437642</v>
      </c>
      <c r="H490" s="883">
        <v>0.99961589143956164</v>
      </c>
      <c r="I490" s="883">
        <v>1.0261681631100843</v>
      </c>
      <c r="K490">
        <v>1.5805190457776199</v>
      </c>
      <c r="L490">
        <v>0</v>
      </c>
      <c r="M490">
        <v>6.4461955243805954E-3</v>
      </c>
      <c r="N490">
        <v>0.12061255052467541</v>
      </c>
      <c r="O490">
        <v>3.1109103597648742E-2</v>
      </c>
      <c r="P490">
        <v>1.7912448556396447E-2</v>
      </c>
      <c r="Q490">
        <v>0</v>
      </c>
      <c r="R490">
        <v>6.4461955243805954E-3</v>
      </c>
      <c r="S490">
        <v>0.1751133366455036</v>
      </c>
      <c r="T490">
        <v>1.1456911457533971</v>
      </c>
      <c r="U490">
        <v>0</v>
      </c>
      <c r="V490">
        <v>1.592043920899102E-2</v>
      </c>
      <c r="W490">
        <v>6.3406006132671361E-2</v>
      </c>
      <c r="X490">
        <v>-1.5790270431033291E-2</v>
      </c>
      <c r="Y490">
        <v>2.6544285789368474E-2</v>
      </c>
    </row>
    <row r="491" spans="1:25" x14ac:dyDescent="0.25">
      <c r="A491" s="879"/>
      <c r="B491" s="1133">
        <v>241</v>
      </c>
      <c r="C491" s="883">
        <v>0.99724199226618204</v>
      </c>
      <c r="D491" s="883">
        <v>1.0078672366520813</v>
      </c>
      <c r="E491" s="883">
        <v>1.0292666639093278</v>
      </c>
      <c r="F491" s="883">
        <v>1.0431933430994607</v>
      </c>
      <c r="G491" s="883">
        <v>1.012091986955642</v>
      </c>
      <c r="H491" s="883">
        <v>1.030023563273164</v>
      </c>
      <c r="I491" s="883">
        <v>0.9860511822362229</v>
      </c>
      <c r="K491">
        <v>1.671794968494386</v>
      </c>
      <c r="L491">
        <v>0</v>
      </c>
      <c r="M491">
        <v>6.431041024824607E-3</v>
      </c>
      <c r="N491">
        <v>0.12520629045770834</v>
      </c>
      <c r="O491">
        <v>3.0810029689690207E-2</v>
      </c>
      <c r="P491">
        <v>1.942673397295781E-2</v>
      </c>
      <c r="Q491">
        <v>0</v>
      </c>
      <c r="R491">
        <v>6.431041024824607E-3</v>
      </c>
      <c r="S491">
        <v>0.16847662807055885</v>
      </c>
      <c r="T491">
        <v>1.2366143829345686</v>
      </c>
      <c r="U491">
        <v>0</v>
      </c>
      <c r="V491">
        <v>1.5868988838507101E-2</v>
      </c>
      <c r="W491">
        <v>6.4954604847659095E-2</v>
      </c>
      <c r="X491">
        <v>-1.6044572574862172E-2</v>
      </c>
      <c r="Y491">
        <v>2.6481882257597275E-2</v>
      </c>
    </row>
    <row r="492" spans="1:25" x14ac:dyDescent="0.25">
      <c r="A492" s="879"/>
      <c r="B492" s="1133">
        <v>242</v>
      </c>
      <c r="C492" s="883">
        <v>1.0153379035576773</v>
      </c>
      <c r="D492" s="883">
        <v>0.97167141129346124</v>
      </c>
      <c r="E492" s="883">
        <v>0.98427476334952613</v>
      </c>
      <c r="F492" s="883">
        <v>0.96481621969585663</v>
      </c>
      <c r="G492" s="883">
        <v>1.0071908573207085</v>
      </c>
      <c r="H492" s="883">
        <v>1.000863502523492</v>
      </c>
      <c r="I492" s="883">
        <v>0.98022289333998558</v>
      </c>
      <c r="K492">
        <v>1.5637374473666497</v>
      </c>
      <c r="L492">
        <v>0</v>
      </c>
      <c r="M492">
        <v>6.4888799738142353E-3</v>
      </c>
      <c r="N492">
        <v>0.11819016518689875</v>
      </c>
      <c r="O492">
        <v>3.0745909217691481E-2</v>
      </c>
      <c r="P492">
        <v>1.7491019668815201E-2</v>
      </c>
      <c r="Q492">
        <v>0</v>
      </c>
      <c r="R492">
        <v>6.4888799738142353E-3</v>
      </c>
      <c r="S492">
        <v>0.16318893509326071</v>
      </c>
      <c r="T492">
        <v>1.1445106311332847</v>
      </c>
      <c r="U492">
        <v>0</v>
      </c>
      <c r="V492">
        <v>1.5771558246183794E-2</v>
      </c>
      <c r="W492">
        <v>6.2696394869221767E-2</v>
      </c>
      <c r="X492">
        <v>-1.5577218803293697E-2</v>
      </c>
      <c r="Y492">
        <v>2.6720052754587414E-2</v>
      </c>
    </row>
    <row r="493" spans="1:25" x14ac:dyDescent="0.25">
      <c r="A493" s="879"/>
      <c r="B493" s="1133">
        <v>243</v>
      </c>
      <c r="C493" s="883">
        <v>0.99664445317779959</v>
      </c>
      <c r="D493" s="883">
        <v>1.0131525777966448</v>
      </c>
      <c r="E493" s="883">
        <v>0.95985028671873784</v>
      </c>
      <c r="F493" s="883">
        <v>1.0234648867247298</v>
      </c>
      <c r="G493" s="883">
        <v>1.0448429949816054</v>
      </c>
      <c r="H493" s="883">
        <v>1.0297358255642584</v>
      </c>
      <c r="I493" s="883">
        <v>1.0043427031288241</v>
      </c>
      <c r="K493">
        <v>1.6473825236186539</v>
      </c>
      <c r="L493">
        <v>0</v>
      </c>
      <c r="M493">
        <v>6.819101932428618E-3</v>
      </c>
      <c r="N493">
        <v>0.11978198313615181</v>
      </c>
      <c r="O493">
        <v>3.0821925958864259E-2</v>
      </c>
      <c r="P493">
        <v>1.8180217458846432E-2</v>
      </c>
      <c r="Q493">
        <v>0</v>
      </c>
      <c r="R493">
        <v>6.819101932428618E-3</v>
      </c>
      <c r="S493">
        <v>0.17155567852292838</v>
      </c>
      <c r="T493">
        <v>1.2145500818906598</v>
      </c>
      <c r="U493">
        <v>0</v>
      </c>
      <c r="V493">
        <v>1.5872266405289614E-2</v>
      </c>
      <c r="W493">
        <v>6.4325216123227141E-2</v>
      </c>
      <c r="X493">
        <v>-1.5784693880157713E-2</v>
      </c>
      <c r="Y493">
        <v>2.8079848002843938E-2</v>
      </c>
    </row>
    <row r="494" spans="1:25" x14ac:dyDescent="0.25">
      <c r="A494" s="879"/>
      <c r="B494" s="1133">
        <v>244</v>
      </c>
      <c r="C494" s="883">
        <v>0.97348409589315643</v>
      </c>
      <c r="D494" s="883">
        <v>1.0008315869007371</v>
      </c>
      <c r="E494" s="883">
        <v>0.99651716673669832</v>
      </c>
      <c r="F494" s="883">
        <v>1.0024932143691969</v>
      </c>
      <c r="G494" s="883">
        <v>0.96814729193155491</v>
      </c>
      <c r="H494" s="883">
        <v>1.008886254805051</v>
      </c>
      <c r="I494" s="883">
        <v>0.97994917228827283</v>
      </c>
      <c r="K494">
        <v>1.6252294019196476</v>
      </c>
      <c r="L494">
        <v>0</v>
      </c>
      <c r="M494">
        <v>6.6611111976608945E-3</v>
      </c>
      <c r="N494">
        <v>0.12354940076727398</v>
      </c>
      <c r="O494">
        <v>3.1680395889429065E-2</v>
      </c>
      <c r="P494">
        <v>1.8346959051845212E-2</v>
      </c>
      <c r="Q494">
        <v>0</v>
      </c>
      <c r="R494">
        <v>6.6611111976608945E-3</v>
      </c>
      <c r="S494">
        <v>0.1703278475041568</v>
      </c>
      <c r="T494">
        <v>1.1889762531391179</v>
      </c>
      <c r="U494">
        <v>0</v>
      </c>
      <c r="V494">
        <v>1.6002403821847325E-2</v>
      </c>
      <c r="W494">
        <v>6.5140483828138571E-2</v>
      </c>
      <c r="X494">
        <v>-1.6223612360534719E-2</v>
      </c>
      <c r="Y494">
        <v>2.7429270278372931E-2</v>
      </c>
    </row>
    <row r="495" spans="1:25" x14ac:dyDescent="0.25">
      <c r="A495" s="879"/>
      <c r="B495" s="1133">
        <v>245</v>
      </c>
      <c r="C495" s="883">
        <v>0.99160890624923159</v>
      </c>
      <c r="D495" s="883">
        <v>0.9911375423267802</v>
      </c>
      <c r="E495" s="883">
        <v>0.99776910665261742</v>
      </c>
      <c r="F495" s="883">
        <v>1.0078556110156676</v>
      </c>
      <c r="G495" s="883">
        <v>1.0126224897010077</v>
      </c>
      <c r="H495" s="883">
        <v>0.97784707507377466</v>
      </c>
      <c r="I495" s="883">
        <v>0.99906665575178022</v>
      </c>
      <c r="K495">
        <v>1.6210898587296827</v>
      </c>
      <c r="L495">
        <v>0</v>
      </c>
      <c r="M495">
        <v>6.3587964206177202E-3</v>
      </c>
      <c r="N495">
        <v>0.11816110630536494</v>
      </c>
      <c r="O495">
        <v>3.1221590339981006E-2</v>
      </c>
      <c r="P495">
        <v>1.8426673284170886E-2</v>
      </c>
      <c r="Q495">
        <v>0</v>
      </c>
      <c r="R495">
        <v>6.3587964206177202E-3</v>
      </c>
      <c r="S495">
        <v>0.1687604187419029</v>
      </c>
      <c r="T495">
        <v>1.1953126926141771</v>
      </c>
      <c r="U495">
        <v>0</v>
      </c>
      <c r="V495">
        <v>1.5900043832351194E-2</v>
      </c>
      <c r="W495">
        <v>6.2260778198728342E-2</v>
      </c>
      <c r="X495">
        <v>-1.5137836423527101E-2</v>
      </c>
      <c r="Y495">
        <v>2.6184391836533497E-2</v>
      </c>
    </row>
    <row r="496" spans="1:25" x14ac:dyDescent="0.25">
      <c r="A496" s="879"/>
      <c r="B496" s="1133">
        <v>246</v>
      </c>
      <c r="C496" s="883">
        <v>1.0157904702083222</v>
      </c>
      <c r="D496" s="883">
        <v>1.0085551277717808</v>
      </c>
      <c r="E496" s="883">
        <v>1.0379790214505111</v>
      </c>
      <c r="F496" s="883">
        <v>0.99124435608623895</v>
      </c>
      <c r="G496" s="883">
        <v>1.0251623821064832</v>
      </c>
      <c r="H496" s="883">
        <v>1.0041099340087416</v>
      </c>
      <c r="I496" s="883">
        <v>1.0297070337690066</v>
      </c>
      <c r="K496">
        <v>1.6032754178139774</v>
      </c>
      <c r="L496">
        <v>0</v>
      </c>
      <c r="M496">
        <v>6.1060785459519642E-3</v>
      </c>
      <c r="N496">
        <v>0.12042006388160868</v>
      </c>
      <c r="O496">
        <v>3.0231074617059248E-2</v>
      </c>
      <c r="P496">
        <v>1.873865191362472E-2</v>
      </c>
      <c r="Q496">
        <v>0</v>
      </c>
      <c r="R496">
        <v>6.1060785459519642E-3</v>
      </c>
      <c r="S496">
        <v>0.17120764703525926</v>
      </c>
      <c r="T496">
        <v>1.174874186638865</v>
      </c>
      <c r="U496">
        <v>0</v>
      </c>
      <c r="V496">
        <v>1.5769166066180743E-2</v>
      </c>
      <c r="W496">
        <v>6.2205551696227018E-2</v>
      </c>
      <c r="X496">
        <v>-1.5314668645611458E-2</v>
      </c>
      <c r="Y496">
        <v>2.5143744610764737E-2</v>
      </c>
    </row>
    <row r="497" spans="1:25" x14ac:dyDescent="0.25">
      <c r="A497" s="879"/>
      <c r="B497" s="1133">
        <v>247</v>
      </c>
      <c r="C497" s="883">
        <v>0.97697409765632559</v>
      </c>
      <c r="D497" s="883">
        <v>0.99860744689971548</v>
      </c>
      <c r="E497" s="883">
        <v>1.0183514010749544</v>
      </c>
      <c r="F497" s="883">
        <v>0.98110870173401665</v>
      </c>
      <c r="G497" s="883">
        <v>1.0372686576845733</v>
      </c>
      <c r="H497" s="883">
        <v>1.0041984423900898</v>
      </c>
      <c r="I497" s="883">
        <v>0.98907989116142203</v>
      </c>
      <c r="K497">
        <v>1.5997346795738776</v>
      </c>
      <c r="L497">
        <v>0</v>
      </c>
      <c r="M497">
        <v>6.4879956127090171E-3</v>
      </c>
      <c r="N497">
        <v>0.12429249559222758</v>
      </c>
      <c r="O497">
        <v>3.1575812650295167E-2</v>
      </c>
      <c r="P497">
        <v>1.8311658884804981E-2</v>
      </c>
      <c r="Q497">
        <v>0</v>
      </c>
      <c r="R497">
        <v>6.4879956127090171E-3</v>
      </c>
      <c r="S497">
        <v>0.17107267208114593</v>
      </c>
      <c r="T497">
        <v>1.1632163815335483</v>
      </c>
      <c r="U497">
        <v>0</v>
      </c>
      <c r="V497">
        <v>1.598239876558398E-2</v>
      </c>
      <c r="W497">
        <v>6.482763609046438E-2</v>
      </c>
      <c r="X497">
        <v>-1.6260787137159748E-2</v>
      </c>
      <c r="Y497">
        <v>2.6716411112966548E-2</v>
      </c>
    </row>
    <row r="498" spans="1:25" x14ac:dyDescent="0.25">
      <c r="A498" s="879"/>
      <c r="B498" s="1133">
        <v>248</v>
      </c>
      <c r="C498" s="883">
        <v>1.0010488496722219</v>
      </c>
      <c r="D498" s="883">
        <v>1.0137050237576402</v>
      </c>
      <c r="E498" s="883">
        <v>0.97579085383909026</v>
      </c>
      <c r="F498" s="883">
        <v>1.0214831593883018</v>
      </c>
      <c r="G498" s="883">
        <v>0.98899250659321636</v>
      </c>
      <c r="H498" s="883">
        <v>1.0238033103829758</v>
      </c>
      <c r="I498" s="883">
        <v>1.0162356310029137</v>
      </c>
      <c r="K498">
        <v>1.6445395038720136</v>
      </c>
      <c r="L498">
        <v>0</v>
      </c>
      <c r="M498">
        <v>6.6553540003442503E-3</v>
      </c>
      <c r="N498">
        <v>0.11970605894328344</v>
      </c>
      <c r="O498">
        <v>3.0667644009039149E-2</v>
      </c>
      <c r="P498">
        <v>1.8384725490052812E-2</v>
      </c>
      <c r="Q498">
        <v>0</v>
      </c>
      <c r="R498">
        <v>6.6553540003442503E-3</v>
      </c>
      <c r="S498">
        <v>0.17248795548710791</v>
      </c>
      <c r="T498">
        <v>1.211893453369111</v>
      </c>
      <c r="U498">
        <v>0</v>
      </c>
      <c r="V498">
        <v>1.5848199684232803E-2</v>
      </c>
      <c r="W498">
        <v>6.377085085805867E-2</v>
      </c>
      <c r="X498">
        <v>-1.5624947133437109E-2</v>
      </c>
      <c r="Y498">
        <v>2.7405563164565903E-2</v>
      </c>
    </row>
    <row r="499" spans="1:25" x14ac:dyDescent="0.25">
      <c r="A499" s="879"/>
      <c r="B499" s="1133">
        <v>249</v>
      </c>
      <c r="C499" s="883">
        <v>1.0012238882180868</v>
      </c>
      <c r="D499" s="883">
        <v>0.97983482221347107</v>
      </c>
      <c r="E499" s="883">
        <v>1.00111860348967</v>
      </c>
      <c r="F499" s="883">
        <v>1.0075468003441785</v>
      </c>
      <c r="G499" s="883">
        <v>0.96879461006272094</v>
      </c>
      <c r="H499" s="883">
        <v>1.0081626687651173</v>
      </c>
      <c r="I499" s="883">
        <v>1.011445625924047</v>
      </c>
      <c r="K499">
        <v>1.6278719286358736</v>
      </c>
      <c r="L499">
        <v>0</v>
      </c>
      <c r="M499">
        <v>6.5072389008659489E-3</v>
      </c>
      <c r="N499">
        <v>0.12152105498488733</v>
      </c>
      <c r="O499">
        <v>3.1061083456078751E-2</v>
      </c>
      <c r="P499">
        <v>1.8498725471221947E-2</v>
      </c>
      <c r="Q499">
        <v>0</v>
      </c>
      <c r="R499">
        <v>6.5072389008659489E-3</v>
      </c>
      <c r="S499">
        <v>0.17112037185970355</v>
      </c>
      <c r="T499">
        <v>1.1948837151663503</v>
      </c>
      <c r="U499">
        <v>0</v>
      </c>
      <c r="V499">
        <v>1.5847247604623558E-2</v>
      </c>
      <c r="W499">
        <v>6.3924733454116867E-2</v>
      </c>
      <c r="X499">
        <v>-1.5780654909528458E-2</v>
      </c>
      <c r="Y499">
        <v>2.6795651548419185E-2</v>
      </c>
    </row>
    <row r="500" spans="1:25" x14ac:dyDescent="0.25">
      <c r="A500" s="879"/>
      <c r="B500" s="1133">
        <v>250</v>
      </c>
      <c r="C500" s="883">
        <v>0.95666988754970028</v>
      </c>
      <c r="D500" s="883">
        <v>1.0201588351081312</v>
      </c>
      <c r="E500" s="883">
        <v>1.0135001738172684</v>
      </c>
      <c r="F500" s="883">
        <v>0.99937120048968886</v>
      </c>
      <c r="G500" s="883">
        <v>0.99159561180075195</v>
      </c>
      <c r="H500" s="883">
        <v>0.99728007801880503</v>
      </c>
      <c r="I500" s="883">
        <v>0.99996843712538297</v>
      </c>
      <c r="K500">
        <v>1.6279613162514364</v>
      </c>
      <c r="L500">
        <v>0</v>
      </c>
      <c r="M500">
        <v>6.545439577015197E-3</v>
      </c>
      <c r="N500">
        <v>0.1244960523193973</v>
      </c>
      <c r="O500">
        <v>3.1976254911215841E-2</v>
      </c>
      <c r="P500">
        <v>1.8607127429988587E-2</v>
      </c>
      <c r="Q500">
        <v>0</v>
      </c>
      <c r="R500">
        <v>6.545439577015197E-3</v>
      </c>
      <c r="S500">
        <v>0.17598033403299651</v>
      </c>
      <c r="T500">
        <v>1.1849584234810642</v>
      </c>
      <c r="U500">
        <v>0</v>
      </c>
      <c r="V500">
        <v>1.6100830199111883E-2</v>
      </c>
      <c r="W500">
        <v>6.5089421534165443E-2</v>
      </c>
      <c r="X500">
        <v>-1.6200082789837707E-2</v>
      </c>
      <c r="Y500">
        <v>2.6952955133334906E-2</v>
      </c>
    </row>
    <row r="501" spans="1:25" x14ac:dyDescent="0.25">
      <c r="A501" s="879"/>
      <c r="B501" s="1133">
        <v>251</v>
      </c>
      <c r="C501" s="883">
        <v>1.0182158631296039</v>
      </c>
      <c r="D501" s="883">
        <v>1.037004057408744</v>
      </c>
      <c r="E501" s="883">
        <v>0.97242207987655993</v>
      </c>
      <c r="F501" s="883">
        <v>0.99924081376353124</v>
      </c>
      <c r="G501" s="883">
        <v>1.0255811592843158</v>
      </c>
      <c r="H501" s="883">
        <v>0.98493565243443115</v>
      </c>
      <c r="I501" s="883">
        <v>0.98193359301067051</v>
      </c>
      <c r="K501">
        <v>1.5935111289188608</v>
      </c>
      <c r="L501">
        <v>0</v>
      </c>
      <c r="M501">
        <v>6.2496640625470138E-3</v>
      </c>
      <c r="N501">
        <v>0.11184846125164556</v>
      </c>
      <c r="O501">
        <v>2.9880304234622491E-2</v>
      </c>
      <c r="P501">
        <v>1.7846611129651167E-2</v>
      </c>
      <c r="Q501">
        <v>0</v>
      </c>
      <c r="R501">
        <v>6.2496640625470138E-3</v>
      </c>
      <c r="S501">
        <v>0.16148866510173254</v>
      </c>
      <c r="T501">
        <v>1.1855679494499325</v>
      </c>
      <c r="U501">
        <v>0</v>
      </c>
      <c r="V501">
        <v>1.5756382142954772E-2</v>
      </c>
      <c r="W501">
        <v>5.9685717397136177E-2</v>
      </c>
      <c r="X501">
        <v>-1.4297965999648417E-2</v>
      </c>
      <c r="Y501">
        <v>2.5735004210833932E-2</v>
      </c>
    </row>
    <row r="502" spans="1:25" x14ac:dyDescent="0.25">
      <c r="A502" s="879"/>
      <c r="B502" s="1133">
        <v>252</v>
      </c>
      <c r="C502" s="883">
        <v>1.0224159397761929</v>
      </c>
      <c r="D502" s="883">
        <v>0.97793144831892831</v>
      </c>
      <c r="E502" s="883">
        <v>0.99722183964878963</v>
      </c>
      <c r="F502" s="883">
        <v>1.0267669135555628</v>
      </c>
      <c r="G502" s="883">
        <v>1.007722607401123</v>
      </c>
      <c r="H502" s="883">
        <v>0.95300264912721866</v>
      </c>
      <c r="I502" s="883">
        <v>1.002566940949805</v>
      </c>
      <c r="K502">
        <v>1.6280054488289528</v>
      </c>
      <c r="L502">
        <v>0</v>
      </c>
      <c r="M502">
        <v>6.0494960995171321E-3</v>
      </c>
      <c r="N502">
        <v>0.11232247175662918</v>
      </c>
      <c r="O502">
        <v>3.0444198189459183E-2</v>
      </c>
      <c r="P502">
        <v>1.8638568107734187E-2</v>
      </c>
      <c r="Q502">
        <v>0</v>
      </c>
      <c r="R502">
        <v>6.0494960995171321E-3</v>
      </c>
      <c r="S502">
        <v>0.16295164255096695</v>
      </c>
      <c r="T502">
        <v>1.2177518707147665</v>
      </c>
      <c r="U502">
        <v>0</v>
      </c>
      <c r="V502">
        <v>1.5734387557224699E-2</v>
      </c>
      <c r="W502">
        <v>5.9200422526535713E-2</v>
      </c>
      <c r="X502">
        <v>-1.3948860742009857E-2</v>
      </c>
      <c r="Y502">
        <v>2.4910748167646126E-2</v>
      </c>
    </row>
    <row r="503" spans="1:25" x14ac:dyDescent="0.25">
      <c r="A503" s="879"/>
      <c r="B503" s="1133">
        <v>253</v>
      </c>
      <c r="C503" s="883">
        <v>0.98995345470375884</v>
      </c>
      <c r="D503" s="883">
        <v>0.98151760586766934</v>
      </c>
      <c r="E503" s="883">
        <v>0.99718386610753407</v>
      </c>
      <c r="F503" s="883">
        <v>1.0049868398777513</v>
      </c>
      <c r="G503" s="883">
        <v>0.9838305107865396</v>
      </c>
      <c r="H503" s="883">
        <v>0.97877405514174309</v>
      </c>
      <c r="I503" s="883">
        <v>1.0342013157038172</v>
      </c>
      <c r="K503">
        <v>1.6255730337722309</v>
      </c>
      <c r="L503">
        <v>0</v>
      </c>
      <c r="M503">
        <v>6.4065598044508428E-3</v>
      </c>
      <c r="N503">
        <v>0.11894546768220543</v>
      </c>
      <c r="O503">
        <v>3.1396551796626114E-2</v>
      </c>
      <c r="P503">
        <v>1.8458693454363361E-2</v>
      </c>
      <c r="Q503">
        <v>0</v>
      </c>
      <c r="R503">
        <v>6.4065598044508428E-3</v>
      </c>
      <c r="S503">
        <v>0.17514370284258329</v>
      </c>
      <c r="T503">
        <v>1.191921279191954</v>
      </c>
      <c r="U503">
        <v>0</v>
      </c>
      <c r="V503">
        <v>1.5909237468676344E-2</v>
      </c>
      <c r="W503">
        <v>6.2692307113121237E-2</v>
      </c>
      <c r="X503">
        <v>-1.5275278726892804E-2</v>
      </c>
      <c r="Y503">
        <v>2.6381072949592899E-2</v>
      </c>
    </row>
    <row r="504" spans="1:25" x14ac:dyDescent="0.25">
      <c r="A504" s="879"/>
      <c r="B504" s="1133">
        <v>254</v>
      </c>
      <c r="C504" s="883">
        <v>0.98829773269994181</v>
      </c>
      <c r="D504" s="883">
        <v>1.0239475391693877</v>
      </c>
      <c r="E504" s="883">
        <v>0.99736995670846251</v>
      </c>
      <c r="F504" s="883">
        <v>0.9757823717853662</v>
      </c>
      <c r="G504" s="883">
        <v>0.97433674512111834</v>
      </c>
      <c r="H504" s="883">
        <v>0.98169516498191689</v>
      </c>
      <c r="I504" s="883">
        <v>0.99149299397361212</v>
      </c>
      <c r="K504">
        <v>1.5799044110908895</v>
      </c>
      <c r="L504">
        <v>0</v>
      </c>
      <c r="M504">
        <v>6.3150764031820027E-3</v>
      </c>
      <c r="N504">
        <v>0.11727930336993757</v>
      </c>
      <c r="O504">
        <v>3.0921094662267046E-2</v>
      </c>
      <c r="P504">
        <v>1.790300826284796E-2</v>
      </c>
      <c r="Q504">
        <v>0</v>
      </c>
      <c r="R504">
        <v>6.3150764031820027E-3</v>
      </c>
      <c r="S504">
        <v>0.16795437450668713</v>
      </c>
      <c r="T504">
        <v>1.1572812029495214</v>
      </c>
      <c r="U504">
        <v>0</v>
      </c>
      <c r="V504">
        <v>1.5918463414219031E-2</v>
      </c>
      <c r="W504">
        <v>6.1808406931206816E-2</v>
      </c>
      <c r="X504">
        <v>-1.5165803592403293E-2</v>
      </c>
      <c r="Y504">
        <v>2.6004360586606216E-2</v>
      </c>
    </row>
    <row r="505" spans="1:25" x14ac:dyDescent="0.25">
      <c r="A505" s="879"/>
      <c r="B505" s="1133">
        <v>255</v>
      </c>
      <c r="C505" s="883">
        <v>1.0079319387342041</v>
      </c>
      <c r="D505" s="883">
        <v>1.0356142902839247</v>
      </c>
      <c r="E505" s="883">
        <v>0.96586747587248567</v>
      </c>
      <c r="F505" s="883">
        <v>1.001470895790155</v>
      </c>
      <c r="G505" s="883">
        <v>1.012948532808559</v>
      </c>
      <c r="H505" s="883">
        <v>1.003980699146797</v>
      </c>
      <c r="I505" s="883">
        <v>0.96670595772525925</v>
      </c>
      <c r="K505">
        <v>1.6017842228767789</v>
      </c>
      <c r="L505">
        <v>0</v>
      </c>
      <c r="M505">
        <v>6.4762017158568174E-3</v>
      </c>
      <c r="N505">
        <v>0.11478015834606804</v>
      </c>
      <c r="O505">
        <v>3.0206246170564548E-2</v>
      </c>
      <c r="P505">
        <v>1.7794653681837833E-2</v>
      </c>
      <c r="Q505">
        <v>0</v>
      </c>
      <c r="R505">
        <v>6.4762017158568174E-3</v>
      </c>
      <c r="S505">
        <v>0.16165390450447725</v>
      </c>
      <c r="T505">
        <v>1.1883367519709478</v>
      </c>
      <c r="U505">
        <v>0</v>
      </c>
      <c r="V505">
        <v>1.5811009960511963E-2</v>
      </c>
      <c r="W505">
        <v>6.1452407211846603E-2</v>
      </c>
      <c r="X505">
        <v>-1.4918754914440837E-2</v>
      </c>
      <c r="Y505">
        <v>2.6667845944964564E-2</v>
      </c>
    </row>
    <row r="506" spans="1:25" x14ac:dyDescent="0.25">
      <c r="A506" s="879"/>
      <c r="B506" s="1133">
        <v>256</v>
      </c>
      <c r="C506" s="883">
        <v>0.99499663738528321</v>
      </c>
      <c r="D506" s="883">
        <v>0.98614641326278052</v>
      </c>
      <c r="E506" s="883">
        <v>0.99007984623363277</v>
      </c>
      <c r="F506" s="883">
        <v>1.027182544535935</v>
      </c>
      <c r="G506" s="883">
        <v>0.9978566210675015</v>
      </c>
      <c r="H506" s="883">
        <v>0.96703209518788324</v>
      </c>
      <c r="I506" s="883">
        <v>0.98872765785726746</v>
      </c>
      <c r="K506">
        <v>1.6388260851937353</v>
      </c>
      <c r="L506">
        <v>0</v>
      </c>
      <c r="M506">
        <v>6.3234999864928499E-3</v>
      </c>
      <c r="N506">
        <v>0.11617365616888375</v>
      </c>
      <c r="O506">
        <v>3.1184662777980428E-2</v>
      </c>
      <c r="P506">
        <v>1.8586367289102058E-2</v>
      </c>
      <c r="Q506">
        <v>0</v>
      </c>
      <c r="R506">
        <v>6.3234999864928499E-3</v>
      </c>
      <c r="S506">
        <v>0.1658594304914309</v>
      </c>
      <c r="T506">
        <v>1.2183813593641801</v>
      </c>
      <c r="U506">
        <v>0</v>
      </c>
      <c r="V506">
        <v>1.5881325250412814E-2</v>
      </c>
      <c r="W506">
        <v>6.1448351626550914E-2</v>
      </c>
      <c r="X506">
        <v>-1.4728115178144371E-2</v>
      </c>
      <c r="Y506">
        <v>2.6039047403338355E-2</v>
      </c>
    </row>
    <row r="507" spans="1:25" x14ac:dyDescent="0.25">
      <c r="A507" s="879"/>
      <c r="B507" s="1133">
        <v>257</v>
      </c>
      <c r="C507" s="883">
        <v>0.9983138216130838</v>
      </c>
      <c r="D507" s="883">
        <v>0.99189490761459198</v>
      </c>
      <c r="E507" s="883">
        <v>1.0410960303637018</v>
      </c>
      <c r="F507" s="883">
        <v>1.0441866680650751</v>
      </c>
      <c r="G507" s="883">
        <v>1.0056665937679474</v>
      </c>
      <c r="H507" s="883">
        <v>0.99779811406462626</v>
      </c>
      <c r="I507" s="883">
        <v>1.0234556590654056</v>
      </c>
      <c r="K507">
        <v>1.6734250164530788</v>
      </c>
      <c r="L507">
        <v>0</v>
      </c>
      <c r="M507">
        <v>6.2029728793834326E-3</v>
      </c>
      <c r="N507">
        <v>0.12289549802693144</v>
      </c>
      <c r="O507">
        <v>3.0962914227895811E-2</v>
      </c>
      <c r="P507">
        <v>1.967117355190226E-2</v>
      </c>
      <c r="Q507">
        <v>0</v>
      </c>
      <c r="R507">
        <v>6.2029728793834326E-3</v>
      </c>
      <c r="S507">
        <v>0.17294941261729568</v>
      </c>
      <c r="T507">
        <v>1.2375642382124135</v>
      </c>
      <c r="U507">
        <v>0</v>
      </c>
      <c r="V507">
        <v>1.5863119569117911E-2</v>
      </c>
      <c r="W507">
        <v>6.3387662995433927E-2</v>
      </c>
      <c r="X507">
        <v>-1.5411740977200421E-2</v>
      </c>
      <c r="Y507">
        <v>2.5542738229287102E-2</v>
      </c>
    </row>
    <row r="508" spans="1:25" x14ac:dyDescent="0.25">
      <c r="A508" s="879"/>
      <c r="B508" s="1133">
        <v>258</v>
      </c>
      <c r="C508" s="883">
        <v>1.0454856135509654</v>
      </c>
      <c r="D508" s="883">
        <v>0.99817877827483792</v>
      </c>
      <c r="E508" s="883">
        <v>0.97672790689137567</v>
      </c>
      <c r="F508" s="883">
        <v>1.0081073960936762</v>
      </c>
      <c r="G508" s="883">
        <v>1.0184480561981266</v>
      </c>
      <c r="H508" s="883">
        <v>0.99888516298353958</v>
      </c>
      <c r="I508" s="883">
        <v>1.012014406227653</v>
      </c>
      <c r="K508">
        <v>1.6064908324031943</v>
      </c>
      <c r="L508">
        <v>0</v>
      </c>
      <c r="M508">
        <v>6.2552077995983047E-3</v>
      </c>
      <c r="N508">
        <v>0.11266542910805266</v>
      </c>
      <c r="O508">
        <v>2.9545315447037191E-2</v>
      </c>
      <c r="P508">
        <v>1.8064503572711197E-2</v>
      </c>
      <c r="Q508">
        <v>0</v>
      </c>
      <c r="R508">
        <v>6.2552077995983047E-3</v>
      </c>
      <c r="S508">
        <v>0.16323154245594312</v>
      </c>
      <c r="T508">
        <v>1.1960067170422226</v>
      </c>
      <c r="U508">
        <v>0</v>
      </c>
      <c r="V508">
        <v>1.5616729459763492E-2</v>
      </c>
      <c r="W508">
        <v>5.9991908004359017E-2</v>
      </c>
      <c r="X508">
        <v>-1.4389145020158164E-2</v>
      </c>
      <c r="Y508">
        <v>2.5757832333262742E-2</v>
      </c>
    </row>
    <row r="509" spans="1:25" x14ac:dyDescent="0.25">
      <c r="A509" s="879"/>
      <c r="B509" s="1133">
        <v>259</v>
      </c>
      <c r="C509" s="883">
        <v>0.98981490456296028</v>
      </c>
      <c r="D509" s="883">
        <v>1.0395525683199331</v>
      </c>
      <c r="E509" s="883">
        <v>0.99445468932101311</v>
      </c>
      <c r="F509" s="883">
        <v>0.9900195935207855</v>
      </c>
      <c r="G509" s="883">
        <v>1.0208309160030544</v>
      </c>
      <c r="H509" s="883">
        <v>0.98924268018316452</v>
      </c>
      <c r="I509" s="883">
        <v>1.010037332504472</v>
      </c>
      <c r="K509">
        <v>1.5998218654869067</v>
      </c>
      <c r="L509">
        <v>0</v>
      </c>
      <c r="M509">
        <v>6.3273141237931612E-3</v>
      </c>
      <c r="N509">
        <v>0.11700001442704105</v>
      </c>
      <c r="O509">
        <v>3.0689909546408215E-2</v>
      </c>
      <c r="P509">
        <v>1.813115026269789E-2</v>
      </c>
      <c r="Q509">
        <v>0</v>
      </c>
      <c r="R509">
        <v>6.3273141237931612E-3</v>
      </c>
      <c r="S509">
        <v>0.17112845203467336</v>
      </c>
      <c r="T509">
        <v>1.17422028812487</v>
      </c>
      <c r="U509">
        <v>0</v>
      </c>
      <c r="V509">
        <v>1.5910008308685292E-2</v>
      </c>
      <c r="W509">
        <v>6.1750704860253483E-2</v>
      </c>
      <c r="X509">
        <v>-1.5063415419572729E-2</v>
      </c>
      <c r="Y509">
        <v>2.6054753341849899E-2</v>
      </c>
    </row>
    <row r="510" spans="1:25" x14ac:dyDescent="0.25">
      <c r="A510" s="879"/>
      <c r="B510" s="1133">
        <v>260</v>
      </c>
      <c r="C510" s="883">
        <v>1.0030595954454029</v>
      </c>
      <c r="D510" s="883">
        <v>0.96902977476079077</v>
      </c>
      <c r="E510" s="883">
        <v>1.0080516422324424</v>
      </c>
      <c r="F510" s="883">
        <v>1.0026409936971028</v>
      </c>
      <c r="G510" s="883">
        <v>0.98420824900289439</v>
      </c>
      <c r="H510" s="883">
        <v>0.98484551874191573</v>
      </c>
      <c r="I510" s="883">
        <v>1.0003262855425537</v>
      </c>
      <c r="K510">
        <v>1.6150861388896822</v>
      </c>
      <c r="L510">
        <v>0</v>
      </c>
      <c r="M510">
        <v>6.3380890368633308E-3</v>
      </c>
      <c r="N510">
        <v>0.11958378988431517</v>
      </c>
      <c r="O510">
        <v>3.1136010911531533E-2</v>
      </c>
      <c r="P510">
        <v>1.8469395104639234E-2</v>
      </c>
      <c r="Q510">
        <v>0</v>
      </c>
      <c r="R510">
        <v>6.3380890368633308E-3</v>
      </c>
      <c r="S510">
        <v>0.16768972714473812</v>
      </c>
      <c r="T510">
        <v>1.1889367011737364</v>
      </c>
      <c r="U510">
        <v>0</v>
      </c>
      <c r="V510">
        <v>1.5837282737337741E-2</v>
      </c>
      <c r="W510">
        <v>6.2689838514811635E-2</v>
      </c>
      <c r="X510">
        <v>-1.5355729097437308E-2</v>
      </c>
      <c r="Y510">
        <v>2.6099122516009817E-2</v>
      </c>
    </row>
    <row r="511" spans="1:25" x14ac:dyDescent="0.25">
      <c r="A511" s="879"/>
      <c r="B511" s="1133">
        <v>261</v>
      </c>
      <c r="C511" s="883">
        <v>0.99772571992875225</v>
      </c>
      <c r="D511" s="883">
        <v>0.99542317425636417</v>
      </c>
      <c r="E511" s="883">
        <v>1.0083636273043417</v>
      </c>
      <c r="F511" s="883">
        <v>0.96908803557846013</v>
      </c>
      <c r="G511" s="883">
        <v>0.97873464423823742</v>
      </c>
      <c r="H511" s="883">
        <v>0.97557399605013861</v>
      </c>
      <c r="I511" s="883">
        <v>0.96659360119544468</v>
      </c>
      <c r="K511">
        <v>1.5658180899002636</v>
      </c>
      <c r="L511">
        <v>0</v>
      </c>
      <c r="M511">
        <v>6.2350018442404193E-3</v>
      </c>
      <c r="N511">
        <v>0.11769314616388467</v>
      </c>
      <c r="O511">
        <v>3.0967520592697244E-2</v>
      </c>
      <c r="P511">
        <v>1.7863493951444431E-2</v>
      </c>
      <c r="Q511">
        <v>0</v>
      </c>
      <c r="R511">
        <v>6.2350018442404193E-3</v>
      </c>
      <c r="S511">
        <v>0.16211653548944038</v>
      </c>
      <c r="T511">
        <v>1.1491438275759365</v>
      </c>
      <c r="U511">
        <v>0</v>
      </c>
      <c r="V511">
        <v>1.5866338415216508E-2</v>
      </c>
      <c r="W511">
        <v>6.1689172581313352E-2</v>
      </c>
      <c r="X511">
        <v>-1.519657267529498E-2</v>
      </c>
      <c r="Y511">
        <v>2.5674627805624944E-2</v>
      </c>
    </row>
    <row r="512" spans="1:25" x14ac:dyDescent="0.25">
      <c r="A512" s="879"/>
      <c r="B512" s="1133">
        <v>262</v>
      </c>
      <c r="C512" s="883">
        <v>0.97317227498153858</v>
      </c>
      <c r="D512" s="883">
        <v>1.007636249316203</v>
      </c>
      <c r="E512" s="883">
        <v>0.96609339224317159</v>
      </c>
      <c r="F512" s="883">
        <v>1.0308227820733786</v>
      </c>
      <c r="G512" s="883">
        <v>1.0195447679096228</v>
      </c>
      <c r="H512" s="883">
        <v>0.99187187578017189</v>
      </c>
      <c r="I512" s="883">
        <v>1.0089020984689034</v>
      </c>
      <c r="K512">
        <v>1.6582442293232857</v>
      </c>
      <c r="L512">
        <v>0</v>
      </c>
      <c r="M512">
        <v>6.7066486355827262E-3</v>
      </c>
      <c r="N512">
        <v>0.11890434581321209</v>
      </c>
      <c r="O512">
        <v>3.1629589864482409E-2</v>
      </c>
      <c r="P512">
        <v>1.8418955659141423E-2</v>
      </c>
      <c r="Q512">
        <v>0</v>
      </c>
      <c r="R512">
        <v>6.7066486355827262E-3</v>
      </c>
      <c r="S512">
        <v>0.17429113280091335</v>
      </c>
      <c r="T512">
        <v>1.2231610852019301</v>
      </c>
      <c r="U512">
        <v>0</v>
      </c>
      <c r="V512">
        <v>1.6004198194697363E-2</v>
      </c>
      <c r="W512">
        <v>6.3653223051901797E-2</v>
      </c>
      <c r="X512">
        <v>-1.5435086605366497E-2</v>
      </c>
      <c r="Y512">
        <v>2.7616785342373235E-2</v>
      </c>
    </row>
    <row r="513" spans="1:25" x14ac:dyDescent="0.25">
      <c r="A513" s="879"/>
      <c r="B513" s="1133">
        <v>263</v>
      </c>
      <c r="C513" s="883">
        <v>1.0083018490069173</v>
      </c>
      <c r="D513" s="883">
        <v>0.95619062533321175</v>
      </c>
      <c r="E513" s="883">
        <v>0.99760228954590646</v>
      </c>
      <c r="F513" s="883">
        <v>1.0022577619123529</v>
      </c>
      <c r="G513" s="883">
        <v>1.005829972395091</v>
      </c>
      <c r="H513" s="883">
        <v>1.0054405642359174</v>
      </c>
      <c r="I513" s="883">
        <v>1.0112345612873055</v>
      </c>
      <c r="K513">
        <v>1.6204380859080423</v>
      </c>
      <c r="L513">
        <v>0</v>
      </c>
      <c r="M513">
        <v>6.5348823998301608E-3</v>
      </c>
      <c r="N513">
        <v>0.12140317799935767</v>
      </c>
      <c r="O513">
        <v>3.1148895423221828E-2</v>
      </c>
      <c r="P513">
        <v>1.8350960154659503E-2</v>
      </c>
      <c r="Q513">
        <v>0</v>
      </c>
      <c r="R513">
        <v>6.5348823998301608E-3</v>
      </c>
      <c r="S513">
        <v>0.16998769664772348</v>
      </c>
      <c r="T513">
        <v>1.188676775171702</v>
      </c>
      <c r="U513">
        <v>0</v>
      </c>
      <c r="V513">
        <v>1.5809025690986432E-2</v>
      </c>
      <c r="W513">
        <v>6.3974377059536708E-2</v>
      </c>
      <c r="X513">
        <v>-1.5822304795939893E-2</v>
      </c>
      <c r="Y513">
        <v>2.6909482556794411E-2</v>
      </c>
    </row>
    <row r="514" spans="1:25" x14ac:dyDescent="0.25">
      <c r="A514" s="879"/>
      <c r="B514" s="1133">
        <v>264</v>
      </c>
      <c r="C514" s="883">
        <v>1.0206570989044241</v>
      </c>
      <c r="D514" s="883">
        <v>0.96855681140380623</v>
      </c>
      <c r="E514" s="883">
        <v>0.97959617741051974</v>
      </c>
      <c r="F514" s="883">
        <v>0.98440981974516584</v>
      </c>
      <c r="G514" s="883">
        <v>1.0117544113304011</v>
      </c>
      <c r="H514" s="883">
        <v>0.98003920714315162</v>
      </c>
      <c r="I514" s="883">
        <v>0.99505392883349364</v>
      </c>
      <c r="K514">
        <v>1.5829717471347609</v>
      </c>
      <c r="L514">
        <v>0</v>
      </c>
      <c r="M514">
        <v>6.3557025034168945E-3</v>
      </c>
      <c r="N514">
        <v>0.11496375149733448</v>
      </c>
      <c r="O514">
        <v>3.0628686115138096E-2</v>
      </c>
      <c r="P514">
        <v>1.7740684426064728E-2</v>
      </c>
      <c r="Q514">
        <v>0</v>
      </c>
      <c r="R514">
        <v>6.3557025034168945E-3</v>
      </c>
      <c r="S514">
        <v>0.1636296600010379</v>
      </c>
      <c r="T514">
        <v>1.1678394466342341</v>
      </c>
      <c r="U514">
        <v>0</v>
      </c>
      <c r="V514">
        <v>1.574357606776737E-2</v>
      </c>
      <c r="W514">
        <v>6.1127795892535933E-2</v>
      </c>
      <c r="X514">
        <v>-1.4873505135548431E-2</v>
      </c>
      <c r="Y514">
        <v>2.6171651636197227E-2</v>
      </c>
    </row>
    <row r="515" spans="1:25" x14ac:dyDescent="0.25">
      <c r="A515" s="879"/>
      <c r="B515" s="1133">
        <v>265</v>
      </c>
      <c r="C515" s="883">
        <v>0.98841737767393023</v>
      </c>
      <c r="D515" s="883">
        <v>0.99871863423640939</v>
      </c>
      <c r="E515" s="883">
        <v>0.98391013101492464</v>
      </c>
      <c r="F515" s="883">
        <v>1.0343405716909411</v>
      </c>
      <c r="G515" s="883">
        <v>1.0069063230148798</v>
      </c>
      <c r="H515" s="883">
        <v>0.95739403658966105</v>
      </c>
      <c r="I515" s="883">
        <v>0.96813569351715445</v>
      </c>
      <c r="K515">
        <v>1.6425636201899696</v>
      </c>
      <c r="L515">
        <v>0</v>
      </c>
      <c r="M515">
        <v>6.300440124417322E-3</v>
      </c>
      <c r="N515">
        <v>0.11469582414361668</v>
      </c>
      <c r="O515">
        <v>3.1238645521868391E-2</v>
      </c>
      <c r="P515">
        <v>1.8572574228690332E-2</v>
      </c>
      <c r="Q515">
        <v>0</v>
      </c>
      <c r="R515">
        <v>6.300440124417322E-3</v>
      </c>
      <c r="S515">
        <v>0.1628149145708789</v>
      </c>
      <c r="T515">
        <v>1.2269907413666794</v>
      </c>
      <c r="U515">
        <v>0</v>
      </c>
      <c r="V515">
        <v>1.5917795697379167E-2</v>
      </c>
      <c r="W515">
        <v>6.0853840871361836E-2</v>
      </c>
      <c r="X515">
        <v>-1.446480720631942E-2</v>
      </c>
      <c r="Y515">
        <v>2.5944090995813768E-2</v>
      </c>
    </row>
    <row r="516" spans="1:25" x14ac:dyDescent="0.25">
      <c r="A516" s="879"/>
      <c r="B516" s="1133">
        <v>266</v>
      </c>
      <c r="C516" s="883">
        <v>1.0360699393170774</v>
      </c>
      <c r="D516" s="883">
        <v>1.0008399528786294</v>
      </c>
      <c r="E516" s="883">
        <v>1.0252400182928458</v>
      </c>
      <c r="F516" s="883">
        <v>0.99582344108428422</v>
      </c>
      <c r="G516" s="883">
        <v>1.0012735733818818</v>
      </c>
      <c r="H516" s="883">
        <v>1.0356126773923777</v>
      </c>
      <c r="I516" s="883">
        <v>0.99069882771916984</v>
      </c>
      <c r="K516">
        <v>1.6021899549010503</v>
      </c>
      <c r="L516">
        <v>0</v>
      </c>
      <c r="M516">
        <v>6.2651308945278917E-3</v>
      </c>
      <c r="N516">
        <v>0.12125216349963178</v>
      </c>
      <c r="O516">
        <v>2.9742114884000484E-2</v>
      </c>
      <c r="P516">
        <v>1.8531312080734719E-2</v>
      </c>
      <c r="Q516">
        <v>0</v>
      </c>
      <c r="R516">
        <v>6.2651308945278917E-3</v>
      </c>
      <c r="S516">
        <v>0.16330533808911554</v>
      </c>
      <c r="T516">
        <v>1.1805355523088559</v>
      </c>
      <c r="U516">
        <v>0</v>
      </c>
      <c r="V516">
        <v>1.5664117672668287E-2</v>
      </c>
      <c r="W516">
        <v>6.3027802879388167E-2</v>
      </c>
      <c r="X516">
        <v>-1.5667140385284113E-2</v>
      </c>
      <c r="Y516">
        <v>2.5798693871937724E-2</v>
      </c>
    </row>
    <row r="517" spans="1:25" x14ac:dyDescent="0.25">
      <c r="A517" s="879"/>
      <c r="B517" s="1133">
        <v>267</v>
      </c>
      <c r="C517" s="883">
        <v>0.97263799288283903</v>
      </c>
      <c r="D517" s="883">
        <v>1.0002220168938096</v>
      </c>
      <c r="E517" s="883">
        <v>0.97976795387558058</v>
      </c>
      <c r="F517" s="883">
        <v>1.01492425968678</v>
      </c>
      <c r="G517" s="883">
        <v>0.99248086248370981</v>
      </c>
      <c r="H517" s="883">
        <v>1.0139141130762264</v>
      </c>
      <c r="I517" s="883">
        <v>0.98751932252448915</v>
      </c>
      <c r="K517">
        <v>1.6424305876433303</v>
      </c>
      <c r="L517">
        <v>0</v>
      </c>
      <c r="M517">
        <v>6.8006033748341044E-3</v>
      </c>
      <c r="N517">
        <v>0.12304260031454939</v>
      </c>
      <c r="O517">
        <v>3.1729742562237526E-2</v>
      </c>
      <c r="P517">
        <v>1.8334554834488946E-2</v>
      </c>
      <c r="Q517">
        <v>0</v>
      </c>
      <c r="R517">
        <v>6.8006033748341044E-3</v>
      </c>
      <c r="S517">
        <v>0.17207697766159449</v>
      </c>
      <c r="T517">
        <v>1.204036527443598</v>
      </c>
      <c r="U517">
        <v>0</v>
      </c>
      <c r="V517">
        <v>1.6007275394576578E-2</v>
      </c>
      <c r="W517">
        <v>6.5417802512635875E-2</v>
      </c>
      <c r="X517">
        <v>-1.6218567315641124E-2</v>
      </c>
      <c r="Y517">
        <v>2.8003674235290241E-2</v>
      </c>
    </row>
    <row r="518" spans="1:25" x14ac:dyDescent="0.25">
      <c r="A518" s="879"/>
      <c r="B518" s="1133">
        <v>268</v>
      </c>
      <c r="C518" s="883">
        <v>0.98328719403498066</v>
      </c>
      <c r="D518" s="883">
        <v>0.98660318198526342</v>
      </c>
      <c r="E518" s="883">
        <v>1.0123347468032999</v>
      </c>
      <c r="F518" s="883">
        <v>0.99931745898842583</v>
      </c>
      <c r="G518" s="883">
        <v>0.96929235252455548</v>
      </c>
      <c r="H518" s="883">
        <v>1.0199193741372816</v>
      </c>
      <c r="I518" s="883">
        <v>1.0107107740180239</v>
      </c>
      <c r="K518">
        <v>1.6278669965558152</v>
      </c>
      <c r="L518">
        <v>0</v>
      </c>
      <c r="M518">
        <v>6.6174346689346413E-3</v>
      </c>
      <c r="N518">
        <v>0.12564849953455298</v>
      </c>
      <c r="O518">
        <v>3.1530730408339973E-2</v>
      </c>
      <c r="P518">
        <v>1.8571688589074764E-2</v>
      </c>
      <c r="Q518">
        <v>0</v>
      </c>
      <c r="R518">
        <v>6.6174346689346413E-3</v>
      </c>
      <c r="S518">
        <v>0.17475697444668975</v>
      </c>
      <c r="T518">
        <v>1.1849162807395277</v>
      </c>
      <c r="U518">
        <v>0</v>
      </c>
      <c r="V518">
        <v>1.5946572212357565E-2</v>
      </c>
      <c r="W518">
        <v>6.572978030345325E-2</v>
      </c>
      <c r="X518">
        <v>-1.648294778539099E-2</v>
      </c>
      <c r="Y518">
        <v>2.7249418107210512E-2</v>
      </c>
    </row>
    <row r="519" spans="1:25" x14ac:dyDescent="0.25">
      <c r="A519" s="879"/>
      <c r="B519" s="1133">
        <v>269</v>
      </c>
      <c r="C519" s="883">
        <v>0.97620554126991577</v>
      </c>
      <c r="D519" s="883">
        <v>1.0124613577198855</v>
      </c>
      <c r="E519" s="883">
        <v>1.0174890839840165</v>
      </c>
      <c r="F519" s="883">
        <v>0.99001573956005984</v>
      </c>
      <c r="G519" s="883">
        <v>1.007221415794165</v>
      </c>
      <c r="H519" s="883">
        <v>0.99758437585732562</v>
      </c>
      <c r="I519" s="883">
        <v>1.003211167534299</v>
      </c>
      <c r="K519">
        <v>1.6101013153511545</v>
      </c>
      <c r="L519">
        <v>0</v>
      </c>
      <c r="M519">
        <v>6.4156712073207504E-3</v>
      </c>
      <c r="N519">
        <v>0.12275024873155818</v>
      </c>
      <c r="O519">
        <v>3.1427788415565823E-2</v>
      </c>
      <c r="P519">
        <v>1.8470985905984096E-2</v>
      </c>
      <c r="Q519">
        <v>0</v>
      </c>
      <c r="R519">
        <v>6.4156712073207504E-3</v>
      </c>
      <c r="S519">
        <v>0.17311655556130412</v>
      </c>
      <c r="T519">
        <v>1.1737924907904007</v>
      </c>
      <c r="U519">
        <v>0</v>
      </c>
      <c r="V519">
        <v>1.5986791930014975E-2</v>
      </c>
      <c r="W519">
        <v>6.4050465587393843E-2</v>
      </c>
      <c r="X519">
        <v>-1.5912603655908634E-2</v>
      </c>
      <c r="Y519">
        <v>2.6418592084841919E-2</v>
      </c>
    </row>
    <row r="520" spans="1:25" x14ac:dyDescent="0.25">
      <c r="A520" s="879"/>
      <c r="B520" s="1133">
        <v>270</v>
      </c>
      <c r="C520" s="883">
        <v>1.0026785629565687</v>
      </c>
      <c r="D520" s="883">
        <v>1.009042072036225</v>
      </c>
      <c r="E520" s="883">
        <v>0.98188385362532138</v>
      </c>
      <c r="F520" s="883">
        <v>1.0159954085515372</v>
      </c>
      <c r="G520" s="883">
        <v>0.97010170175108423</v>
      </c>
      <c r="H520" s="883">
        <v>0.99419381114835659</v>
      </c>
      <c r="I520" s="883">
        <v>1.0136132036082732</v>
      </c>
      <c r="K520">
        <v>1.6304236819001277</v>
      </c>
      <c r="L520">
        <v>0</v>
      </c>
      <c r="M520">
        <v>6.4314002765163665E-3</v>
      </c>
      <c r="N520">
        <v>0.1167284983571921</v>
      </c>
      <c r="O520">
        <v>3.0669537617794264E-2</v>
      </c>
      <c r="P520">
        <v>1.8352250070092634E-2</v>
      </c>
      <c r="Q520">
        <v>0</v>
      </c>
      <c r="R520">
        <v>6.4314002765163665E-3</v>
      </c>
      <c r="S520">
        <v>0.1700908360595946</v>
      </c>
      <c r="T520">
        <v>1.205267131473805</v>
      </c>
      <c r="U520">
        <v>0</v>
      </c>
      <c r="V520">
        <v>1.583934811550446E-2</v>
      </c>
      <c r="W520">
        <v>6.1995103660521585E-2</v>
      </c>
      <c r="X520">
        <v>-1.5002385046498375E-2</v>
      </c>
      <c r="Y520">
        <v>2.6483361592119517E-2</v>
      </c>
    </row>
    <row r="521" spans="1:25" x14ac:dyDescent="0.25">
      <c r="A521" s="879"/>
      <c r="B521" s="1133">
        <v>271</v>
      </c>
      <c r="C521" s="883">
        <v>0.9864419800663361</v>
      </c>
      <c r="D521" s="883">
        <v>0.98459728567938354</v>
      </c>
      <c r="E521" s="883">
        <v>1.0092070720668147</v>
      </c>
      <c r="F521" s="883">
        <v>1.0187229797806836</v>
      </c>
      <c r="G521" s="883">
        <v>1.0092545284897052</v>
      </c>
      <c r="H521" s="883">
        <v>1.0467924194174667</v>
      </c>
      <c r="I521" s="883">
        <v>1.0244071991019172</v>
      </c>
      <c r="K521">
        <v>1.6591931490821925</v>
      </c>
      <c r="L521">
        <v>0</v>
      </c>
      <c r="M521">
        <v>6.794785926952744E-3</v>
      </c>
      <c r="N521">
        <v>0.12842000534925882</v>
      </c>
      <c r="O521">
        <v>3.1458303067154116E-2</v>
      </c>
      <c r="P521">
        <v>1.8885078463806909E-2</v>
      </c>
      <c r="Q521">
        <v>0</v>
      </c>
      <c r="R521">
        <v>6.794785926952744E-3</v>
      </c>
      <c r="S521">
        <v>0.1782076454709613</v>
      </c>
      <c r="T521">
        <v>1.2079849692887887</v>
      </c>
      <c r="U521">
        <v>0</v>
      </c>
      <c r="V521">
        <v>1.59288407717861E-2</v>
      </c>
      <c r="W521">
        <v>6.7283595224666051E-2</v>
      </c>
      <c r="X521">
        <v>-1.6955007574610648E-2</v>
      </c>
      <c r="Y521">
        <v>2.7979719020381922E-2</v>
      </c>
    </row>
    <row r="522" spans="1:25" x14ac:dyDescent="0.25">
      <c r="A522" s="879"/>
      <c r="B522" s="1133">
        <v>272</v>
      </c>
      <c r="C522" s="883">
        <v>1.0145022217106427</v>
      </c>
      <c r="D522" s="883">
        <v>0.99822635651774783</v>
      </c>
      <c r="E522" s="883">
        <v>1.0206833766365309</v>
      </c>
      <c r="F522" s="883">
        <v>0.99278493189255668</v>
      </c>
      <c r="G522" s="883">
        <v>1.001997304367277</v>
      </c>
      <c r="H522" s="883">
        <v>1.0184566770214771</v>
      </c>
      <c r="I522" s="883">
        <v>0.99416773071276021</v>
      </c>
      <c r="K522">
        <v>1.6033147985410294</v>
      </c>
      <c r="L522">
        <v>0</v>
      </c>
      <c r="M522">
        <v>6.3248607899941394E-3</v>
      </c>
      <c r="N522">
        <v>0.12158599604200386</v>
      </c>
      <c r="O522">
        <v>3.0410325620483486E-2</v>
      </c>
      <c r="P522">
        <v>1.846466570424915E-2</v>
      </c>
      <c r="Q522">
        <v>0</v>
      </c>
      <c r="R522">
        <v>6.3248607899941394E-3</v>
      </c>
      <c r="S522">
        <v>0.16640900989295579</v>
      </c>
      <c r="T522">
        <v>1.1770170569636593</v>
      </c>
      <c r="U522">
        <v>0</v>
      </c>
      <c r="V522">
        <v>1.5775981108375844E-2</v>
      </c>
      <c r="W522">
        <v>6.3343178975091327E-2</v>
      </c>
      <c r="X522">
        <v>-1.5736066715733004E-2</v>
      </c>
      <c r="Y522">
        <v>2.6044650949942672E-2</v>
      </c>
    </row>
    <row r="523" spans="1:25" x14ac:dyDescent="0.25">
      <c r="A523" s="879"/>
      <c r="B523" s="1133">
        <v>273</v>
      </c>
      <c r="C523" s="883">
        <v>1.0049735435974729</v>
      </c>
      <c r="D523" s="883">
        <v>0.97692271259766406</v>
      </c>
      <c r="E523" s="883">
        <v>1.0269996719512109</v>
      </c>
      <c r="F523" s="883">
        <v>1.0241762530534577</v>
      </c>
      <c r="G523" s="883">
        <v>0.99987656186905682</v>
      </c>
      <c r="H523" s="883">
        <v>1.0041869629730764</v>
      </c>
      <c r="I523" s="883">
        <v>1.041620251282463</v>
      </c>
      <c r="K523">
        <v>1.6522352717112172</v>
      </c>
      <c r="L523">
        <v>0</v>
      </c>
      <c r="M523">
        <v>6.3212178772492165E-3</v>
      </c>
      <c r="N523">
        <v>0.12265636239506096</v>
      </c>
      <c r="O523">
        <v>3.0958869504109948E-2</v>
      </c>
      <c r="P523">
        <v>1.9181093571843839E-2</v>
      </c>
      <c r="Q523">
        <v>0</v>
      </c>
      <c r="R523">
        <v>6.3212178772492165E-3</v>
      </c>
      <c r="S523">
        <v>0.1753887554261109</v>
      </c>
      <c r="T523">
        <v>1.2141141503471209</v>
      </c>
      <c r="U523">
        <v>0</v>
      </c>
      <c r="V523">
        <v>1.5826931915246305E-2</v>
      </c>
      <c r="W523">
        <v>6.3702613182621215E-2</v>
      </c>
      <c r="X523">
        <v>-1.562315471457036E-2</v>
      </c>
      <c r="Y523">
        <v>2.6029650083673372E-2</v>
      </c>
    </row>
    <row r="524" spans="1:25" x14ac:dyDescent="0.25">
      <c r="A524" s="879"/>
      <c r="B524" s="1133">
        <v>274</v>
      </c>
      <c r="C524" s="883">
        <v>1.0262938224921236</v>
      </c>
      <c r="D524" s="883">
        <v>0.99989092963442072</v>
      </c>
      <c r="E524" s="883">
        <v>1.0295634537871752</v>
      </c>
      <c r="F524" s="883">
        <v>1.0407161534786935</v>
      </c>
      <c r="G524" s="883">
        <v>1.0003759469873519</v>
      </c>
      <c r="H524" s="883">
        <v>1.0178268670558972</v>
      </c>
      <c r="I524" s="883">
        <v>0.98823625340257104</v>
      </c>
      <c r="K524">
        <v>1.655755328061302</v>
      </c>
      <c r="L524">
        <v>0</v>
      </c>
      <c r="M524">
        <v>6.1953054950208567E-3</v>
      </c>
      <c r="N524">
        <v>0.12066967262387153</v>
      </c>
      <c r="O524">
        <v>3.0032903921437717E-2</v>
      </c>
      <c r="P524">
        <v>1.9320110781260665E-2</v>
      </c>
      <c r="Q524">
        <v>0</v>
      </c>
      <c r="R524">
        <v>6.1953054950208567E-3</v>
      </c>
      <c r="S524">
        <v>0.16347263070333137</v>
      </c>
      <c r="T524">
        <v>1.2336721911259541</v>
      </c>
      <c r="U524">
        <v>0</v>
      </c>
      <c r="V524">
        <v>1.57142400470143E-2</v>
      </c>
      <c r="W524">
        <v>6.2591978853553595E-2</v>
      </c>
      <c r="X524">
        <v>-1.5229565300346382E-2</v>
      </c>
      <c r="Y524">
        <v>2.5511165305225549E-2</v>
      </c>
    </row>
    <row r="525" spans="1:25" x14ac:dyDescent="0.25">
      <c r="A525" s="879"/>
      <c r="B525" s="1133">
        <v>275</v>
      </c>
      <c r="C525" s="883">
        <v>0.9867029249236946</v>
      </c>
      <c r="D525" s="883">
        <v>1.0331440897341719</v>
      </c>
      <c r="E525" s="883">
        <v>0.95694295956373343</v>
      </c>
      <c r="F525" s="883">
        <v>0.99743549371968987</v>
      </c>
      <c r="G525" s="883">
        <v>0.98219056454958475</v>
      </c>
      <c r="H525" s="883">
        <v>1.0404216769058161</v>
      </c>
      <c r="I525" s="883">
        <v>1.0024976852835641</v>
      </c>
      <c r="K525">
        <v>1.6200005987891408</v>
      </c>
      <c r="L525">
        <v>0</v>
      </c>
      <c r="M525">
        <v>6.9164354149809405E-3</v>
      </c>
      <c r="N525">
        <v>0.12096794087711529</v>
      </c>
      <c r="O525">
        <v>3.0892209775381457E-2</v>
      </c>
      <c r="P525">
        <v>1.776414110988787E-2</v>
      </c>
      <c r="Q525">
        <v>0</v>
      </c>
      <c r="R525">
        <v>6.9164354149809405E-3</v>
      </c>
      <c r="S525">
        <v>0.17337454198195462</v>
      </c>
      <c r="T525">
        <v>1.1837153105805944</v>
      </c>
      <c r="U525">
        <v>0</v>
      </c>
      <c r="V525">
        <v>1.5927379211204948E-2</v>
      </c>
      <c r="W525">
        <v>6.5057574444196117E-2</v>
      </c>
      <c r="X525">
        <v>-1.617914915047574E-2</v>
      </c>
      <c r="Y525">
        <v>2.8480649959280346E-2</v>
      </c>
    </row>
    <row r="526" spans="1:25" x14ac:dyDescent="0.25">
      <c r="A526" s="879"/>
      <c r="B526" s="1133">
        <v>276</v>
      </c>
      <c r="C526" s="883">
        <v>0.97492831265956581</v>
      </c>
      <c r="D526" s="883">
        <v>1.0082923132117156</v>
      </c>
      <c r="E526" s="883">
        <v>0.96965180568451748</v>
      </c>
      <c r="F526" s="883">
        <v>1.0204751136828574</v>
      </c>
      <c r="G526" s="883">
        <v>0.96390038660366828</v>
      </c>
      <c r="H526" s="883">
        <v>1.0254501306053894</v>
      </c>
      <c r="I526" s="883">
        <v>1.0012306389445067</v>
      </c>
      <c r="K526">
        <v>1.6520952138265932</v>
      </c>
      <c r="L526">
        <v>0</v>
      </c>
      <c r="M526">
        <v>6.8977953414785841E-3</v>
      </c>
      <c r="N526">
        <v>0.12294119224797116</v>
      </c>
      <c r="O526">
        <v>3.1561646949237875E-2</v>
      </c>
      <c r="P526">
        <v>1.8313325107730007E-2</v>
      </c>
      <c r="Q526">
        <v>0</v>
      </c>
      <c r="R526">
        <v>6.8977953414785841E-3</v>
      </c>
      <c r="S526">
        <v>0.17464322210861336</v>
      </c>
      <c r="T526">
        <v>1.2108146787675633</v>
      </c>
      <c r="U526">
        <v>0</v>
      </c>
      <c r="V526">
        <v>1.5994108048460909E-2</v>
      </c>
      <c r="W526">
        <v>6.5696532552179332E-2</v>
      </c>
      <c r="X526">
        <v>-1.6273385409570341E-2</v>
      </c>
      <c r="Y526">
        <v>2.8403893454407046E-2</v>
      </c>
    </row>
    <row r="527" spans="1:25" x14ac:dyDescent="0.25">
      <c r="A527" s="879"/>
      <c r="B527" s="1133">
        <v>277</v>
      </c>
      <c r="C527" s="883">
        <v>1.0017425835209763</v>
      </c>
      <c r="D527" s="883">
        <v>0.9691838276958411</v>
      </c>
      <c r="E527" s="883">
        <v>1.0164354747873676</v>
      </c>
      <c r="F527" s="883">
        <v>1.0086650032841993</v>
      </c>
      <c r="G527" s="883">
        <v>1.0221803618618763</v>
      </c>
      <c r="H527" s="883">
        <v>0.98094535395443194</v>
      </c>
      <c r="I527" s="883">
        <v>0.98706239191207579</v>
      </c>
      <c r="K527">
        <v>1.6200337419158015</v>
      </c>
      <c r="L527">
        <v>0</v>
      </c>
      <c r="M527">
        <v>6.2746552001011193E-3</v>
      </c>
      <c r="N527">
        <v>0.11986519796395642</v>
      </c>
      <c r="O527">
        <v>3.1167448554478078E-2</v>
      </c>
      <c r="P527">
        <v>1.8650362291867631E-2</v>
      </c>
      <c r="Q527">
        <v>0</v>
      </c>
      <c r="R527">
        <v>6.2746552001011193E-3</v>
      </c>
      <c r="S527">
        <v>0.16546504996385913</v>
      </c>
      <c r="T527">
        <v>1.1959232916525391</v>
      </c>
      <c r="U527">
        <v>0</v>
      </c>
      <c r="V527">
        <v>1.5844428241483681E-2</v>
      </c>
      <c r="W527">
        <v>6.2577570204656346E-2</v>
      </c>
      <c r="X527">
        <v>-1.5297520224064318E-2</v>
      </c>
      <c r="Y527">
        <v>2.5837913267025087E-2</v>
      </c>
    </row>
    <row r="528" spans="1:25" x14ac:dyDescent="0.25">
      <c r="A528" s="879"/>
      <c r="B528" s="1133">
        <v>278</v>
      </c>
      <c r="C528" s="883">
        <v>0.9649717735007497</v>
      </c>
      <c r="D528" s="883">
        <v>0.9620805291315141</v>
      </c>
      <c r="E528" s="883">
        <v>0.95881850414415681</v>
      </c>
      <c r="F528" s="883">
        <v>1.0265993897863277</v>
      </c>
      <c r="G528" s="883">
        <v>0.96212928083625782</v>
      </c>
      <c r="H528" s="883">
        <v>0.99918544575866508</v>
      </c>
      <c r="I528" s="883">
        <v>1.0330660062875592</v>
      </c>
      <c r="K528">
        <v>1.667456293873119</v>
      </c>
      <c r="L528">
        <v>0</v>
      </c>
      <c r="M528">
        <v>6.9998664118621542E-3</v>
      </c>
      <c r="N528">
        <v>0.12276885762859194</v>
      </c>
      <c r="O528">
        <v>3.249985470347036E-2</v>
      </c>
      <c r="P528">
        <v>1.8338089291624352E-2</v>
      </c>
      <c r="Q528">
        <v>0</v>
      </c>
      <c r="R528">
        <v>6.9998664118621542E-3</v>
      </c>
      <c r="S528">
        <v>0.18094279873433075</v>
      </c>
      <c r="T528">
        <v>1.2182896829509888</v>
      </c>
      <c r="U528">
        <v>0</v>
      </c>
      <c r="V528">
        <v>1.6051804241008143E-2</v>
      </c>
      <c r="W528">
        <v>6.5963583461830885E-2</v>
      </c>
      <c r="X528">
        <v>-1.6222581093000558E-2</v>
      </c>
      <c r="Y528">
        <v>2.882420395427333E-2</v>
      </c>
    </row>
    <row r="529" spans="1:25" x14ac:dyDescent="0.25">
      <c r="A529" s="879"/>
      <c r="B529" s="1133">
        <v>279</v>
      </c>
      <c r="C529" s="883">
        <v>1.0012936562773005</v>
      </c>
      <c r="D529" s="883">
        <v>0.99733935113710837</v>
      </c>
      <c r="E529" s="883">
        <v>0.96567605908832688</v>
      </c>
      <c r="F529" s="883">
        <v>1.0194911265836932</v>
      </c>
      <c r="G529" s="883">
        <v>0.99585909923985949</v>
      </c>
      <c r="H529" s="883">
        <v>0.99408447458402127</v>
      </c>
      <c r="I529" s="883">
        <v>0.98460485146896037</v>
      </c>
      <c r="K529">
        <v>1.6306744235104056</v>
      </c>
      <c r="L529">
        <v>0</v>
      </c>
      <c r="M529">
        <v>6.5652110465985484E-3</v>
      </c>
      <c r="N529">
        <v>0.11632462824799751</v>
      </c>
      <c r="O529">
        <v>3.0868147431642436E-2</v>
      </c>
      <c r="P529">
        <v>1.8121726897454473E-2</v>
      </c>
      <c r="Q529">
        <v>0</v>
      </c>
      <c r="R529">
        <v>6.5652110465985484E-3</v>
      </c>
      <c r="S529">
        <v>0.16554247738380604</v>
      </c>
      <c r="T529">
        <v>1.2097230587794641</v>
      </c>
      <c r="U529">
        <v>0</v>
      </c>
      <c r="V529">
        <v>1.5846868211010452E-2</v>
      </c>
      <c r="W529">
        <v>6.2285308659539122E-2</v>
      </c>
      <c r="X529">
        <v>-1.5072162626397023E-2</v>
      </c>
      <c r="Y529">
        <v>2.7034370525888755E-2</v>
      </c>
    </row>
    <row r="530" spans="1:25" x14ac:dyDescent="0.25">
      <c r="A530" s="879"/>
      <c r="B530" s="1133">
        <v>280</v>
      </c>
      <c r="C530" s="883">
        <v>1.0099145529313849</v>
      </c>
      <c r="D530" s="883">
        <v>0.98025742038200048</v>
      </c>
      <c r="E530" s="883">
        <v>1.0352065413714391</v>
      </c>
      <c r="F530" s="883">
        <v>1.0174036630398513</v>
      </c>
      <c r="G530" s="883">
        <v>1.0178860108263932</v>
      </c>
      <c r="H530" s="883">
        <v>0.99852246776229292</v>
      </c>
      <c r="I530" s="883">
        <v>0.96582352436944563</v>
      </c>
      <c r="K530">
        <v>1.627804060418135</v>
      </c>
      <c r="L530">
        <v>0</v>
      </c>
      <c r="M530">
        <v>6.2005338619229135E-3</v>
      </c>
      <c r="N530">
        <v>0.12178296986619966</v>
      </c>
      <c r="O530">
        <v>3.0757730416603329E-2</v>
      </c>
      <c r="P530">
        <v>1.8993648611553674E-2</v>
      </c>
      <c r="Q530">
        <v>0</v>
      </c>
      <c r="R530">
        <v>6.2005338619229135E-3</v>
      </c>
      <c r="S530">
        <v>0.16148713482273985</v>
      </c>
      <c r="T530">
        <v>1.2059315204979153</v>
      </c>
      <c r="U530">
        <v>0</v>
      </c>
      <c r="V530">
        <v>1.5800391821293933E-2</v>
      </c>
      <c r="W530">
        <v>6.2994983702937393E-2</v>
      </c>
      <c r="X530">
        <v>-1.5477014110622611E-2</v>
      </c>
      <c r="Y530">
        <v>2.5532694789513619E-2</v>
      </c>
    </row>
    <row r="531" spans="1:25" x14ac:dyDescent="0.25">
      <c r="A531" s="879"/>
      <c r="B531" s="1133">
        <v>281</v>
      </c>
      <c r="C531" s="883">
        <v>0.9734148389585221</v>
      </c>
      <c r="D531" s="883">
        <v>0.97110618641087698</v>
      </c>
      <c r="E531" s="883">
        <v>0.95682776702051786</v>
      </c>
      <c r="F531" s="883">
        <v>1.0178236278201855</v>
      </c>
      <c r="G531" s="883">
        <v>1.0109481575670722</v>
      </c>
      <c r="H531" s="883">
        <v>0.99866759126949622</v>
      </c>
      <c r="I531" s="883">
        <v>1.0238566551209181</v>
      </c>
      <c r="K531">
        <v>1.6503561454506996</v>
      </c>
      <c r="L531">
        <v>0</v>
      </c>
      <c r="M531">
        <v>6.9186383346099244E-3</v>
      </c>
      <c r="N531">
        <v>0.12098575495462428</v>
      </c>
      <c r="O531">
        <v>3.2099354099630634E-2</v>
      </c>
      <c r="P531">
        <v>1.8131669280166313E-2</v>
      </c>
      <c r="Q531">
        <v>0</v>
      </c>
      <c r="R531">
        <v>6.9186383346099244E-3</v>
      </c>
      <c r="S531">
        <v>0.17763422846250237</v>
      </c>
      <c r="T531">
        <v>1.2079133083268045</v>
      </c>
      <c r="U531">
        <v>0</v>
      </c>
      <c r="V531">
        <v>1.6002802261436161E-2</v>
      </c>
      <c r="W531">
        <v>6.5070943703504663E-2</v>
      </c>
      <c r="X531">
        <v>-1.5971636828177187E-2</v>
      </c>
      <c r="Y531">
        <v>2.8489721190207439E-2</v>
      </c>
    </row>
    <row r="532" spans="1:25" x14ac:dyDescent="0.25">
      <c r="A532" s="879"/>
      <c r="B532" s="1133">
        <v>282</v>
      </c>
      <c r="C532" s="883">
        <v>0.96756911151030756</v>
      </c>
      <c r="D532" s="883">
        <v>0.97267593070392422</v>
      </c>
      <c r="E532" s="883">
        <v>0.97818045906327855</v>
      </c>
      <c r="F532" s="883">
        <v>0.95694493393965996</v>
      </c>
      <c r="G532" s="883">
        <v>0.96726667962726465</v>
      </c>
      <c r="H532" s="883">
        <v>1.0241675493897004</v>
      </c>
      <c r="I532" s="883">
        <v>1.008723147248193</v>
      </c>
      <c r="K532">
        <v>1.583989015423702</v>
      </c>
      <c r="L532">
        <v>0</v>
      </c>
      <c r="M532">
        <v>7.001665371524691E-3</v>
      </c>
      <c r="N532">
        <v>0.12638234771002343</v>
      </c>
      <c r="O532">
        <v>3.2255570386040384E-2</v>
      </c>
      <c r="P532">
        <v>1.7481511690977718E-2</v>
      </c>
      <c r="Q532">
        <v>0</v>
      </c>
      <c r="R532">
        <v>7.001665371524691E-3</v>
      </c>
      <c r="S532">
        <v>0.17763210966842666</v>
      </c>
      <c r="T532">
        <v>1.1352822053079703</v>
      </c>
      <c r="U532">
        <v>0</v>
      </c>
      <c r="V532">
        <v>1.6036638700041853E-2</v>
      </c>
      <c r="W532">
        <v>6.7246893034943842E-2</v>
      </c>
      <c r="X532">
        <v>-1.7159872824683956E-2</v>
      </c>
      <c r="Y532">
        <v>2.8831611749960781E-2</v>
      </c>
    </row>
    <row r="533" spans="1:25" x14ac:dyDescent="0.25">
      <c r="A533" s="879"/>
      <c r="B533" s="1133">
        <v>283</v>
      </c>
      <c r="C533" s="883">
        <v>0.99639397559838372</v>
      </c>
      <c r="D533" s="883">
        <v>0.97423440999070832</v>
      </c>
      <c r="E533" s="883">
        <v>0.98528357742100658</v>
      </c>
      <c r="F533" s="883">
        <v>0.991656985673813</v>
      </c>
      <c r="G533" s="883">
        <v>0.95621730272603145</v>
      </c>
      <c r="H533" s="883">
        <v>1.0165901570570641</v>
      </c>
      <c r="I533" s="883">
        <v>0.98929157260020728</v>
      </c>
      <c r="K533">
        <v>1.6087277963257878</v>
      </c>
      <c r="L533">
        <v>0</v>
      </c>
      <c r="M533">
        <v>6.7023501253687051E-3</v>
      </c>
      <c r="N533">
        <v>0.12226116021019988</v>
      </c>
      <c r="O533">
        <v>3.1296644562025765E-2</v>
      </c>
      <c r="P533">
        <v>1.7999960611254924E-2</v>
      </c>
      <c r="Q533">
        <v>0</v>
      </c>
      <c r="R533">
        <v>6.7023501253687051E-3</v>
      </c>
      <c r="S533">
        <v>0.16871893561795492</v>
      </c>
      <c r="T533">
        <v>1.1763317579959878</v>
      </c>
      <c r="U533">
        <v>0</v>
      </c>
      <c r="V533">
        <v>1.5873641471314242E-2</v>
      </c>
      <c r="W533">
        <v>6.4823249537664898E-2</v>
      </c>
      <c r="X533">
        <v>-1.6176638523032479E-2</v>
      </c>
      <c r="Y533">
        <v>2.7599084842418197E-2</v>
      </c>
    </row>
    <row r="534" spans="1:25" x14ac:dyDescent="0.25">
      <c r="A534" s="879"/>
      <c r="B534" s="1133">
        <v>284</v>
      </c>
      <c r="C534" s="883">
        <v>0.98632846947362596</v>
      </c>
      <c r="D534" s="883">
        <v>1.0195711105057885</v>
      </c>
      <c r="E534" s="883">
        <v>1.0095184373141199</v>
      </c>
      <c r="F534" s="883">
        <v>1.0025709371926652</v>
      </c>
      <c r="G534" s="883">
        <v>0.99473726837765486</v>
      </c>
      <c r="H534" s="883">
        <v>0.98153064634496623</v>
      </c>
      <c r="I534" s="883">
        <v>0.9968848381524017</v>
      </c>
      <c r="K534">
        <v>1.6149385570199872</v>
      </c>
      <c r="L534">
        <v>0</v>
      </c>
      <c r="M534">
        <v>6.2717693487418097E-3</v>
      </c>
      <c r="N534">
        <v>0.11858975632192574</v>
      </c>
      <c r="O534">
        <v>3.1025432927002258E-2</v>
      </c>
      <c r="P534">
        <v>1.8510572963438037E-2</v>
      </c>
      <c r="Q534">
        <v>0</v>
      </c>
      <c r="R534">
        <v>6.2717693487418097E-3</v>
      </c>
      <c r="S534">
        <v>0.16924865477033249</v>
      </c>
      <c r="T534">
        <v>1.1888263537783146</v>
      </c>
      <c r="U534">
        <v>0</v>
      </c>
      <c r="V534">
        <v>1.5929476789655013E-2</v>
      </c>
      <c r="W534">
        <v>6.2123623919306051E-2</v>
      </c>
      <c r="X534">
        <v>-1.5141344294778276E-2</v>
      </c>
      <c r="Y534">
        <v>2.5826029844789839E-2</v>
      </c>
    </row>
    <row r="535" spans="1:25" x14ac:dyDescent="0.25">
      <c r="A535" s="879"/>
      <c r="B535" s="1133">
        <v>285</v>
      </c>
      <c r="C535" s="883">
        <v>0.97565264840642218</v>
      </c>
      <c r="D535" s="883">
        <v>0.97506157828429363</v>
      </c>
      <c r="E535" s="883">
        <v>0.98737628456633131</v>
      </c>
      <c r="F535" s="883">
        <v>0.98764347172744116</v>
      </c>
      <c r="G535" s="883">
        <v>1.0188275479477944</v>
      </c>
      <c r="H535" s="883">
        <v>1.0183363611374721</v>
      </c>
      <c r="I535" s="883">
        <v>1.0023495583988205</v>
      </c>
      <c r="K535">
        <v>1.6151681722982456</v>
      </c>
      <c r="L535">
        <v>0</v>
      </c>
      <c r="M535">
        <v>6.8414936727335439E-3</v>
      </c>
      <c r="N535">
        <v>0.12518726231757199</v>
      </c>
      <c r="O535">
        <v>3.1949371501958902E-2</v>
      </c>
      <c r="P535">
        <v>1.8045930224874086E-2</v>
      </c>
      <c r="Q535">
        <v>0</v>
      </c>
      <c r="R535">
        <v>6.8414936727335439E-3</v>
      </c>
      <c r="S535">
        <v>0.17467788107659199</v>
      </c>
      <c r="T535">
        <v>1.1715322770325649</v>
      </c>
      <c r="U535">
        <v>0</v>
      </c>
      <c r="V535">
        <v>1.5989956615309317E-2</v>
      </c>
      <c r="W535">
        <v>6.6305344006092004E-2</v>
      </c>
      <c r="X535">
        <v>-1.6691903680556428E-2</v>
      </c>
      <c r="Y535">
        <v>2.8172053203838428E-2</v>
      </c>
    </row>
    <row r="536" spans="1:25" x14ac:dyDescent="0.25">
      <c r="A536" s="879"/>
      <c r="B536" s="1133">
        <v>286</v>
      </c>
      <c r="C536" s="883">
        <v>1.0136691345869224</v>
      </c>
      <c r="D536" s="883">
        <v>1.0305532330286986</v>
      </c>
      <c r="E536" s="883">
        <v>0.98146918671176975</v>
      </c>
      <c r="F536" s="883">
        <v>1.0383893418187304</v>
      </c>
      <c r="G536" s="883">
        <v>1.0187175839011</v>
      </c>
      <c r="H536" s="883">
        <v>0.98430022010890372</v>
      </c>
      <c r="I536" s="883">
        <v>0.9833560581842079</v>
      </c>
      <c r="K536">
        <v>1.6435831008212654</v>
      </c>
      <c r="L536">
        <v>0</v>
      </c>
      <c r="M536">
        <v>6.2416998796910152E-3</v>
      </c>
      <c r="N536">
        <v>0.11321581109514778</v>
      </c>
      <c r="O536">
        <v>3.008243032801582E-2</v>
      </c>
      <c r="P536">
        <v>1.859539226230093E-2</v>
      </c>
      <c r="Q536">
        <v>0</v>
      </c>
      <c r="R536">
        <v>6.2416998796910152E-3</v>
      </c>
      <c r="S536">
        <v>0.16247751660656251</v>
      </c>
      <c r="T536">
        <v>1.2318409102903241</v>
      </c>
      <c r="U536">
        <v>0</v>
      </c>
      <c r="V536">
        <v>1.5780397496544855E-2</v>
      </c>
      <c r="W536">
        <v>6.0141974752010358E-2</v>
      </c>
      <c r="X536">
        <v>-1.425354113304592E-2</v>
      </c>
      <c r="Y536">
        <v>2.5702209123404651E-2</v>
      </c>
    </row>
    <row r="537" spans="1:25" x14ac:dyDescent="0.25">
      <c r="A537" s="879"/>
      <c r="B537" s="1133">
        <v>287</v>
      </c>
      <c r="C537" s="883">
        <v>0.98191925658742008</v>
      </c>
      <c r="D537" s="883">
        <v>0.99394744879223895</v>
      </c>
      <c r="E537" s="883">
        <v>1.0305478949945146</v>
      </c>
      <c r="F537" s="883">
        <v>1.0010905399306964</v>
      </c>
      <c r="G537" s="883">
        <v>1.0000784235842133</v>
      </c>
      <c r="H537" s="883">
        <v>1.0241491896570163</v>
      </c>
      <c r="I537" s="883">
        <v>1.038057949560619</v>
      </c>
      <c r="K537">
        <v>1.636571977162719</v>
      </c>
      <c r="L537">
        <v>0</v>
      </c>
      <c r="M537">
        <v>6.5272219120192316E-3</v>
      </c>
      <c r="N537">
        <v>0.12731974720306799</v>
      </c>
      <c r="O537">
        <v>3.1464145082889076E-2</v>
      </c>
      <c r="P537">
        <v>1.8920155499141132E-2</v>
      </c>
      <c r="Q537">
        <v>0</v>
      </c>
      <c r="R537">
        <v>6.5272219120192316E-3</v>
      </c>
      <c r="S537">
        <v>0.17993121408584936</v>
      </c>
      <c r="T537">
        <v>1.1866815270854945</v>
      </c>
      <c r="U537">
        <v>0</v>
      </c>
      <c r="V537">
        <v>1.5954296103055206E-2</v>
      </c>
      <c r="W537">
        <v>6.6009520195628543E-2</v>
      </c>
      <c r="X537">
        <v>-1.6586566123911382E-2</v>
      </c>
      <c r="Y537">
        <v>2.6877938031505014E-2</v>
      </c>
    </row>
    <row r="538" spans="1:25" x14ac:dyDescent="0.25">
      <c r="A538" s="879"/>
      <c r="B538" s="1133">
        <v>288</v>
      </c>
      <c r="C538" s="883">
        <v>0.98863382090614182</v>
      </c>
      <c r="D538" s="883">
        <v>1.0067341094774858</v>
      </c>
      <c r="E538" s="883">
        <v>0.97209299857819409</v>
      </c>
      <c r="F538" s="883">
        <v>0.9947170361049239</v>
      </c>
      <c r="G538" s="883">
        <v>0.98529107263708982</v>
      </c>
      <c r="H538" s="883">
        <v>1.0028592752283505</v>
      </c>
      <c r="I538" s="883">
        <v>0.9916638236138251</v>
      </c>
      <c r="K538">
        <v>1.6084163035067751</v>
      </c>
      <c r="L538">
        <v>0</v>
      </c>
      <c r="M538">
        <v>6.6427705731051121E-3</v>
      </c>
      <c r="N538">
        <v>0.11882571241115629</v>
      </c>
      <c r="O538">
        <v>3.1141480344769334E-2</v>
      </c>
      <c r="P538">
        <v>1.787623721321242E-2</v>
      </c>
      <c r="Q538">
        <v>0</v>
      </c>
      <c r="R538">
        <v>6.6427705731051121E-3</v>
      </c>
      <c r="S538">
        <v>0.16928612746825061</v>
      </c>
      <c r="T538">
        <v>1.1802067521694537</v>
      </c>
      <c r="U538">
        <v>0</v>
      </c>
      <c r="V538">
        <v>1.5916588177703458E-2</v>
      </c>
      <c r="W538">
        <v>6.3419471531113741E-2</v>
      </c>
      <c r="X538">
        <v>-1.5609812659846092E-2</v>
      </c>
      <c r="Y538">
        <v>2.7353746850961688E-2</v>
      </c>
    </row>
    <row r="539" spans="1:25" x14ac:dyDescent="0.25">
      <c r="A539" s="879"/>
      <c r="B539" s="1133">
        <v>289</v>
      </c>
      <c r="C539" s="883">
        <v>0.98390721977650886</v>
      </c>
      <c r="D539" s="883">
        <v>1.0038934276314357</v>
      </c>
      <c r="E539" s="883">
        <v>0.99751581291495817</v>
      </c>
      <c r="F539" s="883">
        <v>1.0117315825322113</v>
      </c>
      <c r="G539" s="883">
        <v>1.0046363463057266</v>
      </c>
      <c r="H539" s="883">
        <v>1.0147919766764959</v>
      </c>
      <c r="I539" s="883">
        <v>1.0271509689987877</v>
      </c>
      <c r="K539">
        <v>1.6415496326211136</v>
      </c>
      <c r="L539">
        <v>0</v>
      </c>
      <c r="M539">
        <v>6.6143295503800189E-3</v>
      </c>
      <c r="N539">
        <v>0.12286338014541917</v>
      </c>
      <c r="O539">
        <v>3.1305657161705046E-2</v>
      </c>
      <c r="P539">
        <v>1.8594849871883964E-2</v>
      </c>
      <c r="Q539">
        <v>0</v>
      </c>
      <c r="R539">
        <v>6.6143295503800189E-3</v>
      </c>
      <c r="S539">
        <v>0.17696577861236099</v>
      </c>
      <c r="T539">
        <v>1.1999143446119982</v>
      </c>
      <c r="U539">
        <v>0</v>
      </c>
      <c r="V539">
        <v>1.5943078386691133E-2</v>
      </c>
      <c r="W539">
        <v>6.4746625678574116E-2</v>
      </c>
      <c r="X539">
        <v>-1.6020713629212063E-2</v>
      </c>
      <c r="Y539">
        <v>2.7236631781693086E-2</v>
      </c>
    </row>
    <row r="540" spans="1:25" x14ac:dyDescent="0.25">
      <c r="A540" s="879"/>
      <c r="B540" s="1133">
        <v>290</v>
      </c>
      <c r="C540" s="883">
        <v>1.0195721015116277</v>
      </c>
      <c r="D540" s="883">
        <v>1.002574718674454</v>
      </c>
      <c r="E540" s="883">
        <v>1.0217251321581204</v>
      </c>
      <c r="F540" s="883">
        <v>1.0273164114817159</v>
      </c>
      <c r="G540" s="883">
        <v>1.0108311999709549</v>
      </c>
      <c r="H540" s="883">
        <v>0.99269737166066108</v>
      </c>
      <c r="I540" s="883">
        <v>0.9999881971155602</v>
      </c>
      <c r="K540">
        <v>1.6374395263108903</v>
      </c>
      <c r="L540">
        <v>0</v>
      </c>
      <c r="M540">
        <v>6.1167711532455152E-3</v>
      </c>
      <c r="N540">
        <v>0.11776711387033319</v>
      </c>
      <c r="O540">
        <v>3.0205612571182535E-2</v>
      </c>
      <c r="P540">
        <v>1.9016203869122717E-2</v>
      </c>
      <c r="Q540">
        <v>0</v>
      </c>
      <c r="R540">
        <v>6.1167711532455152E-3</v>
      </c>
      <c r="S540">
        <v>0.16504343023735857</v>
      </c>
      <c r="T540">
        <v>1.2179367887511712</v>
      </c>
      <c r="U540">
        <v>0</v>
      </c>
      <c r="V540">
        <v>1.5749260105230454E-2</v>
      </c>
      <c r="W540">
        <v>6.1322178722269707E-2</v>
      </c>
      <c r="X540">
        <v>-1.4788836680164419E-2</v>
      </c>
      <c r="Y540">
        <v>2.5187774864386437E-2</v>
      </c>
    </row>
    <row r="541" spans="1:25" x14ac:dyDescent="0.25">
      <c r="A541" s="879"/>
      <c r="B541" s="1133">
        <v>291</v>
      </c>
      <c r="C541" s="883">
        <v>0.98545474628232244</v>
      </c>
      <c r="D541" s="883">
        <v>1.0009873370439992</v>
      </c>
      <c r="E541" s="883">
        <v>0.98363277642719738</v>
      </c>
      <c r="F541" s="883">
        <v>0.98844174143447172</v>
      </c>
      <c r="G541" s="883">
        <v>1.008885804019676</v>
      </c>
      <c r="H541" s="883">
        <v>1.0142875758906478</v>
      </c>
      <c r="I541" s="883">
        <v>0.9983744646942575</v>
      </c>
      <c r="K541">
        <v>1.607265250376696</v>
      </c>
      <c r="L541">
        <v>0</v>
      </c>
      <c r="M541">
        <v>6.6897587423208407E-3</v>
      </c>
      <c r="N541">
        <v>0.12173305158282466</v>
      </c>
      <c r="O541">
        <v>3.1304361177600278E-2</v>
      </c>
      <c r="P541">
        <v>1.7967741735973965E-2</v>
      </c>
      <c r="Q541">
        <v>0</v>
      </c>
      <c r="R541">
        <v>6.6897587423208407E-3</v>
      </c>
      <c r="S541">
        <v>0.17172387781728335</v>
      </c>
      <c r="T541">
        <v>1.1725481804690778</v>
      </c>
      <c r="U541">
        <v>0</v>
      </c>
      <c r="V541">
        <v>1.5934377303832806E-2</v>
      </c>
      <c r="W541">
        <v>6.4596519191816845E-2</v>
      </c>
      <c r="X541">
        <v>-1.6090094669923862E-2</v>
      </c>
      <c r="Y541">
        <v>2.7547235768209718E-2</v>
      </c>
    </row>
    <row r="542" spans="1:25" x14ac:dyDescent="0.25">
      <c r="A542" s="879"/>
      <c r="B542" s="1133">
        <v>292</v>
      </c>
      <c r="C542" s="883">
        <v>0.98957118472273142</v>
      </c>
      <c r="D542" s="883">
        <v>0.98274325834264564</v>
      </c>
      <c r="E542" s="883">
        <v>1.015878122358276</v>
      </c>
      <c r="F542" s="883">
        <v>0.99786389231103367</v>
      </c>
      <c r="G542" s="883">
        <v>0.99845087516625719</v>
      </c>
      <c r="H542" s="883">
        <v>0.99245229499352949</v>
      </c>
      <c r="I542" s="883">
        <v>0.99976232570098622</v>
      </c>
      <c r="K542">
        <v>1.6153590688384982</v>
      </c>
      <c r="L542">
        <v>0</v>
      </c>
      <c r="M542">
        <v>6.3897000622762882E-3</v>
      </c>
      <c r="N542">
        <v>0.12196228213848444</v>
      </c>
      <c r="O542">
        <v>3.137645151367531E-2</v>
      </c>
      <c r="P542">
        <v>1.8534427421848857E-2</v>
      </c>
      <c r="Q542">
        <v>0</v>
      </c>
      <c r="R542">
        <v>6.3897000622762882E-3</v>
      </c>
      <c r="S542">
        <v>0.17019197392984031</v>
      </c>
      <c r="T542">
        <v>1.1831272552233831</v>
      </c>
      <c r="U542">
        <v>0</v>
      </c>
      <c r="V542">
        <v>1.5911364796497449E-2</v>
      </c>
      <c r="W542">
        <v>6.3689897994844993E-2</v>
      </c>
      <c r="X542">
        <v>-1.5746231712316802E-2</v>
      </c>
      <c r="Y542">
        <v>2.6311647532240311E-2</v>
      </c>
    </row>
    <row r="543" spans="1:25" x14ac:dyDescent="0.25">
      <c r="A543" s="879"/>
      <c r="B543" s="1133">
        <v>293</v>
      </c>
      <c r="C543" s="883">
        <v>0.98337011305545807</v>
      </c>
      <c r="D543" s="883">
        <v>0.97309305621978881</v>
      </c>
      <c r="E543" s="883">
        <v>0.97767563877587593</v>
      </c>
      <c r="F543" s="883">
        <v>1.0400561114794666</v>
      </c>
      <c r="G543" s="883">
        <v>0.97857660257207602</v>
      </c>
      <c r="H543" s="883">
        <v>0.98951267250740715</v>
      </c>
      <c r="I543" s="883">
        <v>1.0019136505209252</v>
      </c>
      <c r="K543">
        <v>1.6676808112664914</v>
      </c>
      <c r="L543">
        <v>0</v>
      </c>
      <c r="M543">
        <v>6.6577052231369897E-3</v>
      </c>
      <c r="N543">
        <v>0.12008376539388438</v>
      </c>
      <c r="O543">
        <v>3.1732246642754966E-2</v>
      </c>
      <c r="P543">
        <v>1.868928417771918E-2</v>
      </c>
      <c r="Q543">
        <v>0</v>
      </c>
      <c r="R543">
        <v>6.6577052231369897E-3</v>
      </c>
      <c r="S543">
        <v>0.17152065785348933</v>
      </c>
      <c r="T543">
        <v>1.233891878506258</v>
      </c>
      <c r="U543">
        <v>0</v>
      </c>
      <c r="V543">
        <v>1.5946104711064855E-2</v>
      </c>
      <c r="W543">
        <v>6.3911641401037472E-2</v>
      </c>
      <c r="X543">
        <v>-1.5510012501241588E-2</v>
      </c>
      <c r="Y543">
        <v>2.7415245081524351E-2</v>
      </c>
    </row>
    <row r="544" spans="1:25" x14ac:dyDescent="0.25">
      <c r="A544" s="879"/>
      <c r="B544" s="1133">
        <v>294</v>
      </c>
      <c r="C544" s="883">
        <v>0.99728146106893645</v>
      </c>
      <c r="D544" s="883">
        <v>0.98366261229296803</v>
      </c>
      <c r="E544" s="883">
        <v>1.0429589424068286</v>
      </c>
      <c r="F544" s="883">
        <v>1.0141841760929424</v>
      </c>
      <c r="G544" s="883">
        <v>1.0084203381712482</v>
      </c>
      <c r="H544" s="883">
        <v>1.0171202072668333</v>
      </c>
      <c r="I544" s="883">
        <v>1.0199497486174804</v>
      </c>
      <c r="K544">
        <v>1.6428340447847041</v>
      </c>
      <c r="L544">
        <v>0</v>
      </c>
      <c r="M544">
        <v>6.3428501007071732E-3</v>
      </c>
      <c r="N544">
        <v>0.1260130188126832</v>
      </c>
      <c r="O544">
        <v>3.1096637984383897E-2</v>
      </c>
      <c r="P544">
        <v>1.921811604036976E-2</v>
      </c>
      <c r="Q544">
        <v>0</v>
      </c>
      <c r="R544">
        <v>6.3428501007071732E-3</v>
      </c>
      <c r="S544">
        <v>0.17378004645940265</v>
      </c>
      <c r="T544">
        <v>1.2019706892647939</v>
      </c>
      <c r="U544">
        <v>0</v>
      </c>
      <c r="V544">
        <v>1.5868772486120512E-2</v>
      </c>
      <c r="W544">
        <v>6.4936550654746156E-2</v>
      </c>
      <c r="X544">
        <v>-1.6168514647277036E-2</v>
      </c>
      <c r="Y544">
        <v>2.6118727729481001E-2</v>
      </c>
    </row>
    <row r="545" spans="1:25" x14ac:dyDescent="0.25">
      <c r="A545" s="879"/>
      <c r="B545" s="1133">
        <v>295</v>
      </c>
      <c r="C545" s="883">
        <v>0.9712872272077322</v>
      </c>
      <c r="D545" s="883">
        <v>0.97204619203226972</v>
      </c>
      <c r="E545" s="883">
        <v>0.96414324069754909</v>
      </c>
      <c r="F545" s="883">
        <v>0.97805159328873725</v>
      </c>
      <c r="G545" s="883">
        <v>0.97309855107640975</v>
      </c>
      <c r="H545" s="883">
        <v>0.99638619150169949</v>
      </c>
      <c r="I545" s="883">
        <v>0.99861748250412619</v>
      </c>
      <c r="K545">
        <v>1.5984355534629429</v>
      </c>
      <c r="L545">
        <v>0</v>
      </c>
      <c r="M545">
        <v>6.8711058899137596E-3</v>
      </c>
      <c r="N545">
        <v>0.12146770858600868</v>
      </c>
      <c r="O545">
        <v>3.2151623565396921E-2</v>
      </c>
      <c r="P545">
        <v>1.7566596110016271E-2</v>
      </c>
      <c r="Q545">
        <v>0</v>
      </c>
      <c r="R545">
        <v>6.8711058899137596E-3</v>
      </c>
      <c r="S545">
        <v>0.17349460458067728</v>
      </c>
      <c r="T545">
        <v>1.1605792077309727</v>
      </c>
      <c r="U545">
        <v>0</v>
      </c>
      <c r="V545">
        <v>1.6015070233579717E-2</v>
      </c>
      <c r="W545">
        <v>6.5089385200808633E-2</v>
      </c>
      <c r="X545">
        <v>-1.6222633587924529E-2</v>
      </c>
      <c r="Y545">
        <v>2.8293991043408379E-2</v>
      </c>
    </row>
    <row r="546" spans="1:25" x14ac:dyDescent="0.25">
      <c r="A546" s="879"/>
      <c r="B546" s="1133">
        <v>296</v>
      </c>
      <c r="C546" s="883">
        <v>0.99229649856970814</v>
      </c>
      <c r="D546" s="883">
        <v>1.0163227738390888</v>
      </c>
      <c r="E546" s="883">
        <v>1.0359102837846406</v>
      </c>
      <c r="F546" s="883">
        <v>1.0109126728923603</v>
      </c>
      <c r="G546" s="883">
        <v>1.0241152817936214</v>
      </c>
      <c r="H546" s="883">
        <v>0.99565849157793218</v>
      </c>
      <c r="I546" s="883">
        <v>0.99133903712585958</v>
      </c>
      <c r="K546">
        <v>1.6267471622094853</v>
      </c>
      <c r="L546">
        <v>0</v>
      </c>
      <c r="M546">
        <v>6.1880954809319568E-3</v>
      </c>
      <c r="N546">
        <v>0.12166511786779398</v>
      </c>
      <c r="O546">
        <v>3.0853993023490834E-2</v>
      </c>
      <c r="P546">
        <v>1.8990835801818994E-2</v>
      </c>
      <c r="Q546">
        <v>0</v>
      </c>
      <c r="R546">
        <v>6.1880954809319568E-3</v>
      </c>
      <c r="S546">
        <v>0.16816550131638178</v>
      </c>
      <c r="T546">
        <v>1.1982246209125942</v>
      </c>
      <c r="U546">
        <v>0</v>
      </c>
      <c r="V546">
        <v>1.5896234269168707E-2</v>
      </c>
      <c r="W546">
        <v>6.2912347333060337E-2</v>
      </c>
      <c r="X546">
        <v>-1.5442964065366965E-2</v>
      </c>
      <c r="Y546">
        <v>2.5481475750542132E-2</v>
      </c>
    </row>
    <row r="547" spans="1:25" x14ac:dyDescent="0.25">
      <c r="A547" s="879"/>
      <c r="B547" s="1133">
        <v>297</v>
      </c>
      <c r="C547" s="883">
        <v>0.99774629947079008</v>
      </c>
      <c r="D547" s="883">
        <v>0.99833876431955937</v>
      </c>
      <c r="E547" s="883">
        <v>1.0103296836253643</v>
      </c>
      <c r="F547" s="883">
        <v>1.0089091472762548</v>
      </c>
      <c r="G547" s="883">
        <v>1.0094037256635493</v>
      </c>
      <c r="H547" s="883">
        <v>0.9804385839332449</v>
      </c>
      <c r="I547" s="883">
        <v>1.0327621913592357</v>
      </c>
      <c r="K547">
        <v>1.6261740314737343</v>
      </c>
      <c r="L547">
        <v>0</v>
      </c>
      <c r="M547">
        <v>6.2470431081282363E-3</v>
      </c>
      <c r="N547">
        <v>0.11826416587772706</v>
      </c>
      <c r="O547">
        <v>3.0928943230404803E-2</v>
      </c>
      <c r="P547">
        <v>1.8679167107545368E-2</v>
      </c>
      <c r="Q547">
        <v>0</v>
      </c>
      <c r="R547">
        <v>6.2470431081282363E-3</v>
      </c>
      <c r="S547">
        <v>0.17347603292625965</v>
      </c>
      <c r="T547">
        <v>1.1963268867239156</v>
      </c>
      <c r="U547">
        <v>0</v>
      </c>
      <c r="V547">
        <v>1.5866225713519998E-2</v>
      </c>
      <c r="W547">
        <v>6.1928207884005895E-2</v>
      </c>
      <c r="X547">
        <v>-1.5019809576694021E-2</v>
      </c>
      <c r="Y547">
        <v>2.5724211587049899E-2</v>
      </c>
    </row>
    <row r="548" spans="1:25" x14ac:dyDescent="0.25">
      <c r="A548" s="879"/>
      <c r="B548" s="1133">
        <v>298</v>
      </c>
      <c r="C548" s="883">
        <v>1.029915403605568</v>
      </c>
      <c r="D548" s="883">
        <v>1.0042503801970164</v>
      </c>
      <c r="E548" s="883">
        <v>0.96366675817523939</v>
      </c>
      <c r="F548" s="883">
        <v>0.99936986662663019</v>
      </c>
      <c r="G548" s="883">
        <v>0.99856778387594902</v>
      </c>
      <c r="H548" s="883">
        <v>0.99097226571949237</v>
      </c>
      <c r="I548" s="883">
        <v>1.0292549572660288</v>
      </c>
      <c r="K548">
        <v>1.6014643794101833</v>
      </c>
      <c r="L548">
        <v>0</v>
      </c>
      <c r="M548">
        <v>6.3543116310604041E-3</v>
      </c>
      <c r="N548">
        <v>0.11225231774633383</v>
      </c>
      <c r="O548">
        <v>2.9928983891624111E-2</v>
      </c>
      <c r="P548">
        <v>1.7813210403212907E-2</v>
      </c>
      <c r="Q548">
        <v>0</v>
      </c>
      <c r="R548">
        <v>6.3543116310604041E-3</v>
      </c>
      <c r="S548">
        <v>0.16798938452127743</v>
      </c>
      <c r="T548">
        <v>1.1858849009848833</v>
      </c>
      <c r="U548">
        <v>0</v>
      </c>
      <c r="V548">
        <v>1.5695561160252173E-2</v>
      </c>
      <c r="W548">
        <v>6.0165696057797112E-2</v>
      </c>
      <c r="X548">
        <v>-1.4431599626596223E-2</v>
      </c>
      <c r="Y548">
        <v>2.6165924271399261E-2</v>
      </c>
    </row>
    <row r="549" spans="1:25" x14ac:dyDescent="0.25">
      <c r="A549" s="879"/>
      <c r="B549" s="1133">
        <v>299</v>
      </c>
      <c r="C549" s="883">
        <v>1.0074286039889093</v>
      </c>
      <c r="D549" s="883">
        <v>0.97446079773413707</v>
      </c>
      <c r="E549" s="883">
        <v>1.0055627160434721</v>
      </c>
      <c r="F549" s="883">
        <v>1.0187503264733584</v>
      </c>
      <c r="G549" s="883">
        <v>0.97933468211493158</v>
      </c>
      <c r="H549" s="883">
        <v>0.98694062976980024</v>
      </c>
      <c r="I549" s="883">
        <v>0.9955232306245293</v>
      </c>
      <c r="K549">
        <v>1.6318146647949598</v>
      </c>
      <c r="L549">
        <v>0</v>
      </c>
      <c r="M549">
        <v>6.3219962259190429E-3</v>
      </c>
      <c r="N549">
        <v>0.11884136826744379</v>
      </c>
      <c r="O549">
        <v>3.0933926886265697E-2</v>
      </c>
      <c r="P549">
        <v>1.867189409049794E-2</v>
      </c>
      <c r="Q549">
        <v>0</v>
      </c>
      <c r="R549">
        <v>6.3219962259190429E-3</v>
      </c>
      <c r="S549">
        <v>0.1662227021390954</v>
      </c>
      <c r="T549">
        <v>1.2080862772905414</v>
      </c>
      <c r="U549">
        <v>0</v>
      </c>
      <c r="V549">
        <v>1.5813712284815613E-2</v>
      </c>
      <c r="W549">
        <v>6.2377478532878783E-2</v>
      </c>
      <c r="X549">
        <v>-1.5165549881533805E-2</v>
      </c>
      <c r="Y549">
        <v>2.6032855184954819E-2</v>
      </c>
    </row>
    <row r="550" spans="1:25" x14ac:dyDescent="0.25">
      <c r="A550" s="879"/>
      <c r="B550" s="1133">
        <v>300</v>
      </c>
      <c r="C550" s="883">
        <v>1.0301072943996432</v>
      </c>
      <c r="D550" s="883">
        <v>1.0365793428243772</v>
      </c>
      <c r="E550" s="883">
        <v>0.99193840977995851</v>
      </c>
      <c r="F550" s="883">
        <v>1.019600476549549</v>
      </c>
      <c r="G550" s="883">
        <v>0.98270328888431169</v>
      </c>
      <c r="H550" s="883">
        <v>1.0206715589815765</v>
      </c>
      <c r="I550" s="883">
        <v>1.0064190059175313</v>
      </c>
      <c r="K550">
        <v>1.6270191084015213</v>
      </c>
      <c r="L550">
        <v>0</v>
      </c>
      <c r="M550">
        <v>6.2947962368291926E-3</v>
      </c>
      <c r="N550">
        <v>0.11596539385755053</v>
      </c>
      <c r="O550">
        <v>2.9525288109152892E-2</v>
      </c>
      <c r="P550">
        <v>1.8487114750993849E-2</v>
      </c>
      <c r="Q550">
        <v>0</v>
      </c>
      <c r="R550">
        <v>6.2947962368291926E-3</v>
      </c>
      <c r="S550">
        <v>0.16562074329582355</v>
      </c>
      <c r="T550">
        <v>1.2093526787425062</v>
      </c>
      <c r="U550">
        <v>0</v>
      </c>
      <c r="V550">
        <v>1.5694575116547007E-2</v>
      </c>
      <c r="W550">
        <v>6.1281395538202672E-2</v>
      </c>
      <c r="X550">
        <v>-1.4828931480556647E-2</v>
      </c>
      <c r="Y550">
        <v>2.59208504713004E-2</v>
      </c>
    </row>
    <row r="551" spans="1:25" x14ac:dyDescent="0.25">
      <c r="A551" s="879"/>
      <c r="B551" s="1133">
        <v>301</v>
      </c>
      <c r="C551" s="883">
        <v>0.96955003107978666</v>
      </c>
      <c r="D551" s="883">
        <v>1.0205161740951829</v>
      </c>
      <c r="E551" s="883">
        <v>0.9975354288278786</v>
      </c>
      <c r="F551" s="883">
        <v>0.999919193516562</v>
      </c>
      <c r="G551" s="883">
        <v>0.98445428063457185</v>
      </c>
      <c r="H551" s="883">
        <v>1.020658817216421</v>
      </c>
      <c r="I551" s="883">
        <v>0.99159831128611087</v>
      </c>
      <c r="K551">
        <v>1.6266767055846019</v>
      </c>
      <c r="L551">
        <v>0</v>
      </c>
      <c r="M551">
        <v>6.7017279320432995E-3</v>
      </c>
      <c r="N551">
        <v>0.12449045264940913</v>
      </c>
      <c r="O551">
        <v>3.1561206453076605E-2</v>
      </c>
      <c r="P551">
        <v>1.836344339486078E-2</v>
      </c>
      <c r="Q551">
        <v>0</v>
      </c>
      <c r="R551">
        <v>6.7017279320432995E-3</v>
      </c>
      <c r="S551">
        <v>0.17354178351097377</v>
      </c>
      <c r="T551">
        <v>1.1859044784601152</v>
      </c>
      <c r="U551">
        <v>0</v>
      </c>
      <c r="V551">
        <v>1.6025126968232946E-2</v>
      </c>
      <c r="W551">
        <v>6.5603421674261364E-2</v>
      </c>
      <c r="X551">
        <v>-1.6409730287379045E-2</v>
      </c>
      <c r="Y551">
        <v>2.759652276105045E-2</v>
      </c>
    </row>
    <row r="552" spans="1:25" x14ac:dyDescent="0.25">
      <c r="A552" s="879"/>
      <c r="B552" s="1133">
        <v>302</v>
      </c>
      <c r="C552" s="883">
        <v>0.98419740384927856</v>
      </c>
      <c r="D552" s="883">
        <v>0.99461292658973466</v>
      </c>
      <c r="E552" s="883">
        <v>1.0061194313620436</v>
      </c>
      <c r="F552" s="883">
        <v>1.0357704106406809</v>
      </c>
      <c r="G552" s="883">
        <v>1.028617132868626</v>
      </c>
      <c r="H552" s="883">
        <v>0.97126946246744184</v>
      </c>
      <c r="I552" s="883">
        <v>1.0049930321333387</v>
      </c>
      <c r="K552">
        <v>1.6571732455158128</v>
      </c>
      <c r="L552">
        <v>0</v>
      </c>
      <c r="M552">
        <v>6.3074661366903035E-3</v>
      </c>
      <c r="N552">
        <v>0.11866601929092686</v>
      </c>
      <c r="O552">
        <v>3.1405406052887573E-2</v>
      </c>
      <c r="P552">
        <v>1.9011692279024352E-2</v>
      </c>
      <c r="Q552">
        <v>0</v>
      </c>
      <c r="R552">
        <v>6.3074661366903035E-3</v>
      </c>
      <c r="S552">
        <v>0.17062386417340653</v>
      </c>
      <c r="T552">
        <v>1.2282588621928197</v>
      </c>
      <c r="U552">
        <v>0</v>
      </c>
      <c r="V552">
        <v>1.5941444720767344E-2</v>
      </c>
      <c r="W552">
        <v>6.2268263840519408E-2</v>
      </c>
      <c r="X552">
        <v>-1.4975329898309048E-2</v>
      </c>
      <c r="Y552">
        <v>2.5973022863770342E-2</v>
      </c>
    </row>
    <row r="553" spans="1:25" x14ac:dyDescent="0.25">
      <c r="A553" s="879"/>
      <c r="B553" s="1133">
        <v>303</v>
      </c>
      <c r="C553" s="883">
        <v>0.99698692822588997</v>
      </c>
      <c r="D553" s="883">
        <v>1.0094510448070522</v>
      </c>
      <c r="E553" s="883">
        <v>0.99616844776455959</v>
      </c>
      <c r="F553" s="883">
        <v>0.99246638860098424</v>
      </c>
      <c r="G553" s="883">
        <v>0.97045714832547059</v>
      </c>
      <c r="H553" s="883">
        <v>0.96815061008301073</v>
      </c>
      <c r="I553" s="883">
        <v>0.99665901969035864</v>
      </c>
      <c r="K553">
        <v>1.5956422561362529</v>
      </c>
      <c r="L553">
        <v>0</v>
      </c>
      <c r="M553">
        <v>6.2195414096546742E-3</v>
      </c>
      <c r="N553">
        <v>0.11529962560814289</v>
      </c>
      <c r="O553">
        <v>3.082793370588803E-2</v>
      </c>
      <c r="P553">
        <v>1.8133511993925697E-2</v>
      </c>
      <c r="Q553">
        <v>0</v>
      </c>
      <c r="R553">
        <v>6.2195414096546742E-3</v>
      </c>
      <c r="S553">
        <v>0.16670881996039422</v>
      </c>
      <c r="T553">
        <v>1.177090682481003</v>
      </c>
      <c r="U553">
        <v>0</v>
      </c>
      <c r="V553">
        <v>1.5870387411874663E-2</v>
      </c>
      <c r="W553">
        <v>6.0801397250857848E-2</v>
      </c>
      <c r="X553">
        <v>-1.4701066763689744E-2</v>
      </c>
      <c r="Y553">
        <v>2.5610964487855624E-2</v>
      </c>
    </row>
    <row r="554" spans="1:25" x14ac:dyDescent="0.25">
      <c r="A554" s="879"/>
      <c r="B554" s="1133">
        <v>304</v>
      </c>
      <c r="C554" s="883">
        <v>1.0112174672802103</v>
      </c>
      <c r="D554" s="883">
        <v>0.99418199860735823</v>
      </c>
      <c r="E554" s="883">
        <v>1.0050892040480537</v>
      </c>
      <c r="F554" s="883">
        <v>1.0022480026794294</v>
      </c>
      <c r="G554" s="883">
        <v>0.99630751867299461</v>
      </c>
      <c r="H554" s="883">
        <v>1.0293235346605658</v>
      </c>
      <c r="I554" s="883">
        <v>1.0195673755604096</v>
      </c>
      <c r="K554">
        <v>1.6226803576288042</v>
      </c>
      <c r="L554">
        <v>0</v>
      </c>
      <c r="M554">
        <v>6.5129810170105181E-3</v>
      </c>
      <c r="N554">
        <v>0.12234569331519711</v>
      </c>
      <c r="O554">
        <v>3.0572428067965219E-2</v>
      </c>
      <c r="P554">
        <v>1.8478448071938061E-2</v>
      </c>
      <c r="Q554">
        <v>0</v>
      </c>
      <c r="R554">
        <v>6.5129810170105181E-3</v>
      </c>
      <c r="S554">
        <v>0.17187861861282186</v>
      </c>
      <c r="T554">
        <v>1.1885257861556857</v>
      </c>
      <c r="U554">
        <v>0</v>
      </c>
      <c r="V554">
        <v>1.5793436571778233E-2</v>
      </c>
      <c r="W554">
        <v>6.423189959398426E-2</v>
      </c>
      <c r="X554">
        <v>-1.5965249321209667E-2</v>
      </c>
      <c r="Y554">
        <v>2.6819296560643944E-2</v>
      </c>
    </row>
    <row r="555" spans="1:25" x14ac:dyDescent="0.25">
      <c r="A555" s="879"/>
      <c r="B555" s="1133">
        <v>305</v>
      </c>
      <c r="C555" s="883">
        <v>0.97054180361021825</v>
      </c>
      <c r="D555" s="883">
        <v>0.97652378069148182</v>
      </c>
      <c r="E555" s="883">
        <v>1.0148703459563178</v>
      </c>
      <c r="F555" s="883">
        <v>0.97319691155539123</v>
      </c>
      <c r="G555" s="883">
        <v>0.96000319872009043</v>
      </c>
      <c r="H555" s="883">
        <v>1.0307533115425254</v>
      </c>
      <c r="I555" s="883">
        <v>1.0118152045324686</v>
      </c>
      <c r="K555">
        <v>1.6059834157221484</v>
      </c>
      <c r="L555">
        <v>0</v>
      </c>
      <c r="M555">
        <v>6.7916083625070072E-3</v>
      </c>
      <c r="N555">
        <v>0.12944045746424171</v>
      </c>
      <c r="O555">
        <v>3.2073934517234282E-2</v>
      </c>
      <c r="P555">
        <v>1.8232850817164994E-2</v>
      </c>
      <c r="Q555">
        <v>0</v>
      </c>
      <c r="R555">
        <v>6.7916083625070072E-3</v>
      </c>
      <c r="S555">
        <v>0.17802826248146436</v>
      </c>
      <c r="T555">
        <v>1.1538987653664647</v>
      </c>
      <c r="U555">
        <v>0</v>
      </c>
      <c r="V555">
        <v>1.6019381126684506E-2</v>
      </c>
      <c r="W555">
        <v>6.7628701991568577E-2</v>
      </c>
      <c r="X555">
        <v>-1.7305572418254381E-2</v>
      </c>
      <c r="Y555">
        <v>2.7966634375579762E-2</v>
      </c>
    </row>
    <row r="556" spans="1:25" x14ac:dyDescent="0.25">
      <c r="A556" s="879"/>
      <c r="B556" s="1133">
        <v>306</v>
      </c>
      <c r="C556" s="883">
        <v>0.97134872639541026</v>
      </c>
      <c r="D556" s="883">
        <v>0.98958548041651861</v>
      </c>
      <c r="E556" s="883">
        <v>1.0156725224037508</v>
      </c>
      <c r="F556" s="883">
        <v>0.98822407916982957</v>
      </c>
      <c r="G556" s="883">
        <v>1.0194661762777995</v>
      </c>
      <c r="H556" s="883">
        <v>0.97640346473901241</v>
      </c>
      <c r="I556" s="883">
        <v>1.0048602691471855</v>
      </c>
      <c r="K556">
        <v>1.6072918491933383</v>
      </c>
      <c r="L556">
        <v>0</v>
      </c>
      <c r="M556">
        <v>6.3856490281906228E-3</v>
      </c>
      <c r="N556">
        <v>0.12184788245874954</v>
      </c>
      <c r="O556">
        <v>3.1876673195847575E-2</v>
      </c>
      <c r="P556">
        <v>1.8419538722105895E-2</v>
      </c>
      <c r="Q556">
        <v>0</v>
      </c>
      <c r="R556">
        <v>6.3856490281906228E-3</v>
      </c>
      <c r="S556">
        <v>0.17322806350497802</v>
      </c>
      <c r="T556">
        <v>1.1717014768483953</v>
      </c>
      <c r="U556">
        <v>0</v>
      </c>
      <c r="V556">
        <v>1.6014714870285076E-2</v>
      </c>
      <c r="W556">
        <v>6.3636613097338729E-2</v>
      </c>
      <c r="X556">
        <v>-1.572807959929335E-2</v>
      </c>
      <c r="Y556">
        <v>2.6294966094932731E-2</v>
      </c>
    </row>
    <row r="557" spans="1:25" x14ac:dyDescent="0.25">
      <c r="A557" s="879"/>
      <c r="B557" s="1133">
        <v>307</v>
      </c>
      <c r="C557" s="883">
        <v>1.0296980375097384</v>
      </c>
      <c r="D557" s="883">
        <v>1.0231895166941065</v>
      </c>
      <c r="E557" s="883">
        <v>1.0071883817737428</v>
      </c>
      <c r="F557" s="883">
        <v>1.0123462184970027</v>
      </c>
      <c r="G557" s="883">
        <v>0.99558963750769824</v>
      </c>
      <c r="H557" s="883">
        <v>0.96353604159636486</v>
      </c>
      <c r="I557" s="883">
        <v>0.96299908393490963</v>
      </c>
      <c r="K557">
        <v>1.5998928608065297</v>
      </c>
      <c r="L557">
        <v>0</v>
      </c>
      <c r="M557">
        <v>5.9001794282518075E-3</v>
      </c>
      <c r="N557">
        <v>0.11117933920898784</v>
      </c>
      <c r="O557">
        <v>2.9678560715408201E-2</v>
      </c>
      <c r="P557">
        <v>1.8447736495535182E-2</v>
      </c>
      <c r="Q557">
        <v>0</v>
      </c>
      <c r="R557">
        <v>5.9001794282518075E-3</v>
      </c>
      <c r="S557">
        <v>0.15561043767812724</v>
      </c>
      <c r="T557">
        <v>1.2004614179682538</v>
      </c>
      <c r="U557">
        <v>0</v>
      </c>
      <c r="V557">
        <v>1.5696678554438265E-2</v>
      </c>
      <c r="W557">
        <v>5.8308858633640881E-2</v>
      </c>
      <c r="X557">
        <v>-1.3786057140614169E-2</v>
      </c>
      <c r="Y557">
        <v>2.4295888692752239E-2</v>
      </c>
    </row>
    <row r="558" spans="1:25" x14ac:dyDescent="0.25">
      <c r="A558" s="879"/>
      <c r="B558" s="1133">
        <v>308</v>
      </c>
      <c r="C558" s="883">
        <v>1.0197279584693413</v>
      </c>
      <c r="D558" s="883">
        <v>1.0057548871562882</v>
      </c>
      <c r="E558" s="883">
        <v>1.0207157748268578</v>
      </c>
      <c r="F558" s="883">
        <v>0.98304502239057501</v>
      </c>
      <c r="G558" s="883">
        <v>0.98613271986090001</v>
      </c>
      <c r="H558" s="883">
        <v>0.98105716388924546</v>
      </c>
      <c r="I558" s="883">
        <v>0.9986766548981767</v>
      </c>
      <c r="K558">
        <v>1.5805519021337173</v>
      </c>
      <c r="L558">
        <v>0</v>
      </c>
      <c r="M558">
        <v>6.0409294885061006E-3</v>
      </c>
      <c r="N558">
        <v>0.11613340653768398</v>
      </c>
      <c r="O558">
        <v>3.0163662989067863E-2</v>
      </c>
      <c r="P558">
        <v>1.827661909061298E-2</v>
      </c>
      <c r="Q558">
        <v>0</v>
      </c>
      <c r="R558">
        <v>6.0409294885061006E-3</v>
      </c>
      <c r="S558">
        <v>0.16411067889258879</v>
      </c>
      <c r="T558">
        <v>1.1654691133833681</v>
      </c>
      <c r="U558">
        <v>0</v>
      </c>
      <c r="V558">
        <v>1.5748442864571117E-2</v>
      </c>
      <c r="W558">
        <v>6.0501554699910053E-2</v>
      </c>
      <c r="X558">
        <v>-1.4727048712388989E-2</v>
      </c>
      <c r="Y558">
        <v>2.4875472388302611E-2</v>
      </c>
    </row>
    <row r="559" spans="1:25" x14ac:dyDescent="0.25">
      <c r="A559" s="879"/>
      <c r="B559" s="1133">
        <v>309</v>
      </c>
      <c r="C559" s="883">
        <v>1.0345419628090218</v>
      </c>
      <c r="D559" s="883">
        <v>1.0166220831187844</v>
      </c>
      <c r="E559" s="883">
        <v>1.0091632587073702</v>
      </c>
      <c r="F559" s="883">
        <v>0.98866605692709708</v>
      </c>
      <c r="G559" s="883">
        <v>1.0378201455680764</v>
      </c>
      <c r="H559" s="883">
        <v>0.98401167985005</v>
      </c>
      <c r="I559" s="883">
        <v>1.0187219196040345</v>
      </c>
      <c r="K559">
        <v>1.584247270341044</v>
      </c>
      <c r="L559">
        <v>0</v>
      </c>
      <c r="M559">
        <v>6.0042027372959909E-3</v>
      </c>
      <c r="N559">
        <v>0.11347079114932997</v>
      </c>
      <c r="O559">
        <v>2.9614124326732459E-2</v>
      </c>
      <c r="P559">
        <v>1.8223761432100732E-2</v>
      </c>
      <c r="Q559">
        <v>0</v>
      </c>
      <c r="R559">
        <v>6.0042027372959909E-3</v>
      </c>
      <c r="S559">
        <v>0.16506263002946447</v>
      </c>
      <c r="T559">
        <v>1.172344767382381</v>
      </c>
      <c r="U559">
        <v>0</v>
      </c>
      <c r="V559">
        <v>1.5671889184882482E-2</v>
      </c>
      <c r="W559">
        <v>5.9452483791504529E-2</v>
      </c>
      <c r="X559">
        <v>-1.4317415119289956E-2</v>
      </c>
      <c r="Y559">
        <v>2.4724238163937404E-2</v>
      </c>
    </row>
    <row r="560" spans="1:25" x14ac:dyDescent="0.25">
      <c r="A560" s="879"/>
      <c r="B560" s="1133">
        <v>310</v>
      </c>
      <c r="C560" s="883">
        <v>1.0098373600518993</v>
      </c>
      <c r="D560" s="883">
        <v>0.98851587083846515</v>
      </c>
      <c r="E560" s="883">
        <v>1.0157279039127316</v>
      </c>
      <c r="F560" s="883">
        <v>0.99990085285602293</v>
      </c>
      <c r="G560" s="883">
        <v>0.99426177178828856</v>
      </c>
      <c r="H560" s="883">
        <v>1.002522947197964</v>
      </c>
      <c r="I560" s="883">
        <v>1.0002983987686942</v>
      </c>
      <c r="K560">
        <v>1.6117072189615971</v>
      </c>
      <c r="L560">
        <v>0</v>
      </c>
      <c r="M560">
        <v>6.3093173527574049E-3</v>
      </c>
      <c r="N560">
        <v>0.12040122479452764</v>
      </c>
      <c r="O560">
        <v>3.0674952531675508E-2</v>
      </c>
      <c r="P560">
        <v>1.8525548047120737E-2</v>
      </c>
      <c r="Q560">
        <v>0</v>
      </c>
      <c r="R560">
        <v>6.3093173527574049E-3</v>
      </c>
      <c r="S560">
        <v>0.16738769790559715</v>
      </c>
      <c r="T560">
        <v>1.1855451788857807</v>
      </c>
      <c r="U560">
        <v>0</v>
      </c>
      <c r="V560">
        <v>1.5800804457392084E-2</v>
      </c>
      <c r="W560">
        <v>6.2879359230582535E-2</v>
      </c>
      <c r="X560">
        <v>-1.5488192733110485E-2</v>
      </c>
      <c r="Y560">
        <v>2.5980645842030484E-2</v>
      </c>
    </row>
    <row r="561" spans="1:25" x14ac:dyDescent="0.25">
      <c r="A561" s="879"/>
      <c r="B561" s="1133">
        <v>311</v>
      </c>
      <c r="C561" s="883">
        <v>1.0320265622634603</v>
      </c>
      <c r="D561" s="883">
        <v>1.003889801394888</v>
      </c>
      <c r="E561" s="883">
        <v>1.0025979227412911</v>
      </c>
      <c r="F561" s="883">
        <v>1.0123422745442126</v>
      </c>
      <c r="G561" s="883">
        <v>1.0212152983977925</v>
      </c>
      <c r="H561" s="883">
        <v>0.99461633162363494</v>
      </c>
      <c r="I561" s="883">
        <v>0.99788325378893428</v>
      </c>
      <c r="K561">
        <v>1.6137802456672203</v>
      </c>
      <c r="L561">
        <v>0</v>
      </c>
      <c r="M561">
        <v>6.1531892884180263E-3</v>
      </c>
      <c r="N561">
        <v>0.11516134198273026</v>
      </c>
      <c r="O561">
        <v>2.9841854488287908E-2</v>
      </c>
      <c r="P561">
        <v>1.8481170180004832E-2</v>
      </c>
      <c r="Q561">
        <v>0</v>
      </c>
      <c r="R561">
        <v>6.1531892884180263E-3</v>
      </c>
      <c r="S561">
        <v>0.16278344411325155</v>
      </c>
      <c r="T561">
        <v>1.2005430090505294</v>
      </c>
      <c r="U561">
        <v>0</v>
      </c>
      <c r="V561">
        <v>1.5684733004730944E-2</v>
      </c>
      <c r="W561">
        <v>6.0534824330091101E-2</v>
      </c>
      <c r="X561">
        <v>-1.4587869745247005E-2</v>
      </c>
      <c r="Y561">
        <v>2.5337738262840418E-2</v>
      </c>
    </row>
    <row r="562" spans="1:25" x14ac:dyDescent="0.25">
      <c r="A562" s="879"/>
      <c r="B562" s="1133">
        <v>312</v>
      </c>
      <c r="C562" s="883">
        <v>1.0133697182105892</v>
      </c>
      <c r="D562" s="883">
        <v>1.014991579932875</v>
      </c>
      <c r="E562" s="883">
        <v>1.0207987417658018</v>
      </c>
      <c r="F562" s="883">
        <v>1.0105430396354989</v>
      </c>
      <c r="G562" s="883">
        <v>0.99175831005983861</v>
      </c>
      <c r="H562" s="883">
        <v>0.96907565891859038</v>
      </c>
      <c r="I562" s="883">
        <v>0.96919778638436316</v>
      </c>
      <c r="K562">
        <v>1.607406379502911</v>
      </c>
      <c r="L562">
        <v>0</v>
      </c>
      <c r="M562">
        <v>5.9797376639457289E-3</v>
      </c>
      <c r="N562">
        <v>0.11497113778766535</v>
      </c>
      <c r="O562">
        <v>3.0242055117402109E-2</v>
      </c>
      <c r="P562">
        <v>1.8658556738313813E-2</v>
      </c>
      <c r="Q562">
        <v>0</v>
      </c>
      <c r="R562">
        <v>5.9797376639457289E-3</v>
      </c>
      <c r="S562">
        <v>0.15952285878702427</v>
      </c>
      <c r="T562">
        <v>1.1980683990627021</v>
      </c>
      <c r="U562">
        <v>0</v>
      </c>
      <c r="V562">
        <v>1.5781986546117354E-2</v>
      </c>
      <c r="W562">
        <v>5.9893605131833214E-2</v>
      </c>
      <c r="X562">
        <v>-1.4355715014649023E-2</v>
      </c>
      <c r="Y562">
        <v>2.4623495346501753E-2</v>
      </c>
    </row>
    <row r="563" spans="1:25" x14ac:dyDescent="0.25">
      <c r="A563" s="879"/>
      <c r="B563" s="1133">
        <v>313</v>
      </c>
      <c r="C563" s="883">
        <v>1.0304540002462363</v>
      </c>
      <c r="D563" s="883">
        <v>1.0409087304388667</v>
      </c>
      <c r="E563" s="883">
        <v>1.0067211955691244</v>
      </c>
      <c r="F563" s="883">
        <v>1.0092435908654489</v>
      </c>
      <c r="G563" s="883">
        <v>0.99327758811521749</v>
      </c>
      <c r="H563" s="883">
        <v>1.0160705092701383</v>
      </c>
      <c r="I563" s="883">
        <v>0.98671016052772809</v>
      </c>
      <c r="K563">
        <v>1.610274533933985</v>
      </c>
      <c r="L563">
        <v>0</v>
      </c>
      <c r="M563">
        <v>6.1724811648114072E-3</v>
      </c>
      <c r="N563">
        <v>0.11622999265816535</v>
      </c>
      <c r="O563">
        <v>2.9454198567993316E-2</v>
      </c>
      <c r="P563">
        <v>1.8478540396508022E-2</v>
      </c>
      <c r="Q563">
        <v>0</v>
      </c>
      <c r="R563">
        <v>6.1724811648114072E-3</v>
      </c>
      <c r="S563">
        <v>0.16204726088976679</v>
      </c>
      <c r="T563">
        <v>1.1967910055494646</v>
      </c>
      <c r="U563">
        <v>0</v>
      </c>
      <c r="V563">
        <v>1.5692794476509148E-2</v>
      </c>
      <c r="W563">
        <v>6.0971817578135114E-2</v>
      </c>
      <c r="X563">
        <v>-1.4808254958560873E-2</v>
      </c>
      <c r="Y563">
        <v>2.5417178776002376E-2</v>
      </c>
    </row>
    <row r="564" spans="1:25" x14ac:dyDescent="0.25">
      <c r="A564" s="879"/>
      <c r="B564" s="1133">
        <v>314</v>
      </c>
      <c r="C564" s="883">
        <v>0.98101683070843082</v>
      </c>
      <c r="D564" s="883">
        <v>1.0325552758148777</v>
      </c>
      <c r="E564" s="883">
        <v>1.0006158496210822</v>
      </c>
      <c r="F564" s="883">
        <v>1.0141202469952932</v>
      </c>
      <c r="G564" s="883">
        <v>0.98277105708876544</v>
      </c>
      <c r="H564" s="883">
        <v>1.0365072123699521</v>
      </c>
      <c r="I564" s="883">
        <v>1.0069843737621371</v>
      </c>
      <c r="K564">
        <v>1.6445190923834101</v>
      </c>
      <c r="L564">
        <v>0</v>
      </c>
      <c r="M564">
        <v>6.6732172040111556E-3</v>
      </c>
      <c r="N564">
        <v>0.12452787867190802</v>
      </c>
      <c r="O564">
        <v>3.1043679639641244E-2</v>
      </c>
      <c r="P564">
        <v>1.8649408789474502E-2</v>
      </c>
      <c r="Q564">
        <v>0</v>
      </c>
      <c r="R564">
        <v>6.6732172040111556E-3</v>
      </c>
      <c r="S564">
        <v>0.17498498017744096</v>
      </c>
      <c r="T564">
        <v>1.2026888609416035</v>
      </c>
      <c r="U564">
        <v>0</v>
      </c>
      <c r="V564">
        <v>1.5959403332234699E-2</v>
      </c>
      <c r="W564">
        <v>6.5522790173006482E-2</v>
      </c>
      <c r="X564">
        <v>-1.6337029999633122E-2</v>
      </c>
      <c r="Y564">
        <v>2.7479120657734498E-2</v>
      </c>
    </row>
    <row r="565" spans="1:25" x14ac:dyDescent="0.25">
      <c r="A565" s="879"/>
      <c r="B565" s="1133">
        <v>315</v>
      </c>
      <c r="C565" s="883">
        <v>1.0133513768675793</v>
      </c>
      <c r="D565" s="883">
        <v>1.0153537813462459</v>
      </c>
      <c r="E565" s="883">
        <v>1.0019035684933262</v>
      </c>
      <c r="F565" s="883">
        <v>1.0229394391057824</v>
      </c>
      <c r="G565" s="883">
        <v>0.98248405268641215</v>
      </c>
      <c r="H565" s="883">
        <v>0.9596026635473095</v>
      </c>
      <c r="I565" s="883">
        <v>0.95824506639445606</v>
      </c>
      <c r="K565">
        <v>1.6174033345049932</v>
      </c>
      <c r="L565">
        <v>0</v>
      </c>
      <c r="M565">
        <v>6.0191069845548124E-3</v>
      </c>
      <c r="N565">
        <v>0.11253609260973961</v>
      </c>
      <c r="O565">
        <v>3.0254673054532933E-2</v>
      </c>
      <c r="P565">
        <v>1.8566128649843597E-2</v>
      </c>
      <c r="Q565">
        <v>0</v>
      </c>
      <c r="R565">
        <v>6.0191069845548124E-3</v>
      </c>
      <c r="S565">
        <v>0.15718505753279335</v>
      </c>
      <c r="T565">
        <v>1.2131234462647416</v>
      </c>
      <c r="U565">
        <v>0</v>
      </c>
      <c r="V565">
        <v>1.578208391701855E-2</v>
      </c>
      <c r="W565">
        <v>5.9175239666965807E-2</v>
      </c>
      <c r="X565">
        <v>-1.4004998391934963E-2</v>
      </c>
      <c r="Y565">
        <v>2.4785611201292111E-2</v>
      </c>
    </row>
    <row r="566" spans="1:25" x14ac:dyDescent="0.25">
      <c r="A566" s="879"/>
      <c r="B566" s="1133">
        <v>316</v>
      </c>
      <c r="C566" s="883">
        <v>1.0037633350511985</v>
      </c>
      <c r="D566" s="883">
        <v>0.99707114012858433</v>
      </c>
      <c r="E566" s="883">
        <v>0.97183528005781206</v>
      </c>
      <c r="F566" s="883">
        <v>0.97151406171451982</v>
      </c>
      <c r="G566" s="883">
        <v>0.9793331054751826</v>
      </c>
      <c r="H566" s="883">
        <v>1.0240539101376045</v>
      </c>
      <c r="I566" s="883">
        <v>0.99014017104134888</v>
      </c>
      <c r="K566">
        <v>1.5802757703794854</v>
      </c>
      <c r="L566">
        <v>0</v>
      </c>
      <c r="M566">
        <v>6.7112247418681225E-3</v>
      </c>
      <c r="N566">
        <v>0.12000429645400475</v>
      </c>
      <c r="O566">
        <v>3.0790846946340301E-2</v>
      </c>
      <c r="P566">
        <v>1.7491735532169365E-2</v>
      </c>
      <c r="Q566">
        <v>0</v>
      </c>
      <c r="R566">
        <v>6.7112247418681225E-3</v>
      </c>
      <c r="S566">
        <v>0.16778859387024339</v>
      </c>
      <c r="T566">
        <v>1.1526816903777886</v>
      </c>
      <c r="U566">
        <v>0</v>
      </c>
      <c r="V566">
        <v>1.5833472254853573E-2</v>
      </c>
      <c r="W566">
        <v>6.4056796241087732E-2</v>
      </c>
      <c r="X566">
        <v>-1.6007290230543175E-2</v>
      </c>
      <c r="Y566">
        <v>2.7635628933539942E-2</v>
      </c>
    </row>
    <row r="567" spans="1:25" x14ac:dyDescent="0.25">
      <c r="A567" s="879"/>
      <c r="B567" s="1133">
        <v>317</v>
      </c>
      <c r="C567" s="883">
        <v>0.97924740124307352</v>
      </c>
      <c r="D567" s="883">
        <v>1.0001001025412124</v>
      </c>
      <c r="E567" s="883">
        <v>0.9878541418418636</v>
      </c>
      <c r="F567" s="883">
        <v>1.0166975940470568</v>
      </c>
      <c r="G567" s="883">
        <v>1.0277151415581811</v>
      </c>
      <c r="H567" s="883">
        <v>0.99314913141371541</v>
      </c>
      <c r="I567" s="883">
        <v>1.0029172063977629</v>
      </c>
      <c r="K567">
        <v>1.639785201420332</v>
      </c>
      <c r="L567">
        <v>0</v>
      </c>
      <c r="M567">
        <v>6.5702337538997343E-3</v>
      </c>
      <c r="N567">
        <v>0.12030890354369231</v>
      </c>
      <c r="O567">
        <v>3.1510482823351435E-2</v>
      </c>
      <c r="P567">
        <v>1.8477957378111257E-2</v>
      </c>
      <c r="Q567">
        <v>0</v>
      </c>
      <c r="R567">
        <v>6.5702337538997343E-3</v>
      </c>
      <c r="S567">
        <v>0.17235792930062246</v>
      </c>
      <c r="T567">
        <v>1.2059869150132778</v>
      </c>
      <c r="U567">
        <v>0</v>
      </c>
      <c r="V567">
        <v>1.5969444643043691E-2</v>
      </c>
      <c r="W567">
        <v>6.3706327454530712E-2</v>
      </c>
      <c r="X567">
        <v>-1.5587811876844337E-2</v>
      </c>
      <c r="Y567">
        <v>2.7055053140546455E-2</v>
      </c>
    </row>
    <row r="568" spans="1:25" x14ac:dyDescent="0.25">
      <c r="A568" s="879"/>
      <c r="B568" s="1133">
        <v>318</v>
      </c>
      <c r="C568" s="883">
        <v>0.99668498774810099</v>
      </c>
      <c r="D568" s="883">
        <v>1.0212082911382803</v>
      </c>
      <c r="E568" s="883">
        <v>1.0346457092269938</v>
      </c>
      <c r="F568" s="883">
        <v>1.0092298772283199</v>
      </c>
      <c r="G568" s="883">
        <v>1.0204971997046397</v>
      </c>
      <c r="H568" s="883">
        <v>0.97175249443368528</v>
      </c>
      <c r="I568" s="883">
        <v>0.98767277281614729</v>
      </c>
      <c r="K568">
        <v>1.6159596803778851</v>
      </c>
      <c r="L568">
        <v>0</v>
      </c>
      <c r="M568">
        <v>6.0067481274126916E-3</v>
      </c>
      <c r="N568">
        <v>0.1178791487622083</v>
      </c>
      <c r="O568">
        <v>3.0660471696901483E-2</v>
      </c>
      <c r="P568">
        <v>1.8907757310920328E-2</v>
      </c>
      <c r="Q568">
        <v>0</v>
      </c>
      <c r="R568">
        <v>6.0067481274126916E-3</v>
      </c>
      <c r="S568">
        <v>0.165397404743265</v>
      </c>
      <c r="T568">
        <v>1.1962535404061012</v>
      </c>
      <c r="U568">
        <v>0</v>
      </c>
      <c r="V568">
        <v>1.5872043944515794E-2</v>
      </c>
      <c r="W568">
        <v>6.0992389551352381E-2</v>
      </c>
      <c r="X568">
        <v>-1.473779566475554E-2</v>
      </c>
      <c r="Y568">
        <v>2.4734719627375432E-2</v>
      </c>
    </row>
    <row r="569" spans="1:25" x14ac:dyDescent="0.25">
      <c r="A569" s="879"/>
      <c r="B569" s="1133">
        <v>319</v>
      </c>
      <c r="C569" s="883">
        <v>1.0038090025033384</v>
      </c>
      <c r="D569" s="883">
        <v>1.0221047544434454</v>
      </c>
      <c r="E569" s="883">
        <v>0.98269902752404981</v>
      </c>
      <c r="F569" s="883">
        <v>0.958831085954302</v>
      </c>
      <c r="G569" s="883">
        <v>1.0140442671578733</v>
      </c>
      <c r="H569" s="883">
        <v>0.98982727499571044</v>
      </c>
      <c r="I569" s="883">
        <v>1.0215339472778606</v>
      </c>
      <c r="K569">
        <v>1.5599644832444823</v>
      </c>
      <c r="L569">
        <v>0</v>
      </c>
      <c r="M569">
        <v>6.3548665351123926E-3</v>
      </c>
      <c r="N569">
        <v>0.11547898652175068</v>
      </c>
      <c r="O569">
        <v>3.0477142426637498E-2</v>
      </c>
      <c r="P569">
        <v>1.7478566689746879E-2</v>
      </c>
      <c r="Q569">
        <v>0</v>
      </c>
      <c r="R569">
        <v>6.3548665351123926E-3</v>
      </c>
      <c r="S569">
        <v>0.17084543674266237</v>
      </c>
      <c r="T569">
        <v>1.1374389712163262</v>
      </c>
      <c r="U569">
        <v>0</v>
      </c>
      <c r="V569">
        <v>1.5833225167561926E-2</v>
      </c>
      <c r="W569">
        <v>6.1306476656267921E-2</v>
      </c>
      <c r="X569">
        <v>-1.5062531443988565E-2</v>
      </c>
      <c r="Y569">
        <v>2.6168209267516097E-2</v>
      </c>
    </row>
    <row r="570" spans="1:25" x14ac:dyDescent="0.25">
      <c r="A570" s="879"/>
      <c r="B570" s="1133">
        <v>320</v>
      </c>
      <c r="C570" s="883">
        <v>0.97315921491071966</v>
      </c>
      <c r="D570" s="883">
        <v>0.97193489611885298</v>
      </c>
      <c r="E570" s="883">
        <v>0.98085321516862001</v>
      </c>
      <c r="F570" s="883">
        <v>0.99055752044764434</v>
      </c>
      <c r="G570" s="883">
        <v>1.0002729132602211</v>
      </c>
      <c r="H570" s="883">
        <v>1.0158048821621677</v>
      </c>
      <c r="I570" s="883">
        <v>0.96685631924420312</v>
      </c>
      <c r="K570">
        <v>1.6128319818596251</v>
      </c>
      <c r="L570">
        <v>0</v>
      </c>
      <c r="M570">
        <v>6.8908830730361054E-3</v>
      </c>
      <c r="N570">
        <v>0.12487692928955763</v>
      </c>
      <c r="O570">
        <v>3.2077865767221915E-2</v>
      </c>
      <c r="P570">
        <v>1.792547072407643E-2</v>
      </c>
      <c r="Q570">
        <v>0</v>
      </c>
      <c r="R570">
        <v>6.8908830730361054E-3</v>
      </c>
      <c r="S570">
        <v>0.1688051511064099</v>
      </c>
      <c r="T570">
        <v>1.1751094275331271</v>
      </c>
      <c r="U570">
        <v>0</v>
      </c>
      <c r="V570">
        <v>1.6004273373939913E-2</v>
      </c>
      <c r="W570">
        <v>6.6356992692210251E-2</v>
      </c>
      <c r="X570">
        <v>-1.6699558590217416E-2</v>
      </c>
      <c r="Y570">
        <v>2.837542996329883E-2</v>
      </c>
    </row>
    <row r="571" spans="1:25" x14ac:dyDescent="0.25">
      <c r="A571" s="879"/>
      <c r="B571" s="1133">
        <v>321</v>
      </c>
      <c r="C571" s="883">
        <v>0.99072502972635856</v>
      </c>
      <c r="D571" s="883">
        <v>0.99878065576477859</v>
      </c>
      <c r="E571" s="883">
        <v>0.98452945490073929</v>
      </c>
      <c r="F571" s="883">
        <v>1.0026765454603961</v>
      </c>
      <c r="G571" s="883">
        <v>1.0059347222382105</v>
      </c>
      <c r="H571" s="883">
        <v>0.99591741429281044</v>
      </c>
      <c r="I571" s="883">
        <v>1.0116182791839667</v>
      </c>
      <c r="K571">
        <v>1.6203725007592358</v>
      </c>
      <c r="L571">
        <v>0</v>
      </c>
      <c r="M571">
        <v>6.5349782676882252E-3</v>
      </c>
      <c r="N571">
        <v>0.11907478449803817</v>
      </c>
      <c r="O571">
        <v>3.1164605104039268E-2</v>
      </c>
      <c r="P571">
        <v>1.8206499545130712E-2</v>
      </c>
      <c r="Q571">
        <v>0</v>
      </c>
      <c r="R571">
        <v>6.5349782676882252E-3</v>
      </c>
      <c r="S571">
        <v>0.17201296031110283</v>
      </c>
      <c r="T571">
        <v>1.189417576590666</v>
      </c>
      <c r="U571">
        <v>0</v>
      </c>
      <c r="V571">
        <v>1.5904948663775457E-2</v>
      </c>
      <c r="W571">
        <v>6.3157619003042786E-2</v>
      </c>
      <c r="X571">
        <v>-1.5476370280129994E-2</v>
      </c>
      <c r="Y571">
        <v>2.6909877323570093E-2</v>
      </c>
    </row>
    <row r="572" spans="1:25" x14ac:dyDescent="0.25">
      <c r="A572" s="879"/>
      <c r="B572" s="1133">
        <v>322</v>
      </c>
      <c r="C572" s="883">
        <v>1.0355693619442308</v>
      </c>
      <c r="D572" s="883">
        <v>0.99173849928085456</v>
      </c>
      <c r="E572" s="883">
        <v>0.98431903587093916</v>
      </c>
      <c r="F572" s="883">
        <v>1.0282040174545553</v>
      </c>
      <c r="G572" s="883">
        <v>1.0068054181589967</v>
      </c>
      <c r="H572" s="883">
        <v>1.0003178964768364</v>
      </c>
      <c r="I572" s="883">
        <v>0.96916659001759242</v>
      </c>
      <c r="K572">
        <v>1.6286156614547955</v>
      </c>
      <c r="L572">
        <v>0</v>
      </c>
      <c r="M572">
        <v>6.300623459804016E-3</v>
      </c>
      <c r="N572">
        <v>0.11476874764202685</v>
      </c>
      <c r="O572">
        <v>2.9899721166787813E-2</v>
      </c>
      <c r="P572">
        <v>1.8414592652122353E-2</v>
      </c>
      <c r="Q572">
        <v>0</v>
      </c>
      <c r="R572">
        <v>6.300623459804016E-3</v>
      </c>
      <c r="S572">
        <v>0.15796491386412545</v>
      </c>
      <c r="T572">
        <v>1.2197033856371036</v>
      </c>
      <c r="U572">
        <v>0</v>
      </c>
      <c r="V572">
        <v>1.5666661156547794E-2</v>
      </c>
      <c r="W572">
        <v>6.0880086609586083E-2</v>
      </c>
      <c r="X572">
        <v>-1.4627293211808869E-2</v>
      </c>
      <c r="Y572">
        <v>2.5944845938303693E-2</v>
      </c>
    </row>
    <row r="573" spans="1:25" x14ac:dyDescent="0.25">
      <c r="A573" s="879"/>
      <c r="B573" s="1133">
        <v>323</v>
      </c>
      <c r="C573" s="883">
        <v>0.99678594905450868</v>
      </c>
      <c r="D573" s="883">
        <v>0.97903828080185895</v>
      </c>
      <c r="E573" s="883">
        <v>1.0168762789694255</v>
      </c>
      <c r="F573" s="883">
        <v>1.009247121847058</v>
      </c>
      <c r="G573" s="883">
        <v>0.97366179530034691</v>
      </c>
      <c r="H573" s="883">
        <v>1.0048661170827826</v>
      </c>
      <c r="I573" s="883">
        <v>1.0006754269143274</v>
      </c>
      <c r="K573">
        <v>1.6298921851039903</v>
      </c>
      <c r="L573">
        <v>0</v>
      </c>
      <c r="M573">
        <v>6.4280212632731957E-3</v>
      </c>
      <c r="N573">
        <v>0.12287507883315971</v>
      </c>
      <c r="O573">
        <v>3.1195538364164634E-2</v>
      </c>
      <c r="P573">
        <v>1.8726067867106747E-2</v>
      </c>
      <c r="Q573">
        <v>0</v>
      </c>
      <c r="R573">
        <v>6.4280212632731957E-3</v>
      </c>
      <c r="S573">
        <v>0.16988415059219145</v>
      </c>
      <c r="T573">
        <v>1.1966052447327584</v>
      </c>
      <c r="U573">
        <v>0</v>
      </c>
      <c r="V573">
        <v>1.5871489929956142E-2</v>
      </c>
      <c r="W573">
        <v>6.4134980683527257E-2</v>
      </c>
      <c r="X573">
        <v>-1.5869813315900892E-2</v>
      </c>
      <c r="Y573">
        <v>2.646944741702608E-2</v>
      </c>
    </row>
    <row r="574" spans="1:25" x14ac:dyDescent="0.25">
      <c r="A574" s="879"/>
      <c r="B574" s="1133">
        <v>324</v>
      </c>
      <c r="C574" s="883">
        <v>1.0294518468730867</v>
      </c>
      <c r="D574" s="883">
        <v>1.015770355739978</v>
      </c>
      <c r="E574" s="883">
        <v>0.97749272430533807</v>
      </c>
      <c r="F574" s="883">
        <v>1.0003700816540415</v>
      </c>
      <c r="G574" s="883">
        <v>0.99332855592377611</v>
      </c>
      <c r="H574" s="883">
        <v>1.0358557390352277</v>
      </c>
      <c r="I574" s="883">
        <v>0.9625012725877089</v>
      </c>
      <c r="K574">
        <v>1.6016318258625466</v>
      </c>
      <c r="L574">
        <v>0</v>
      </c>
      <c r="M574">
        <v>6.5322860014217655E-3</v>
      </c>
      <c r="N574">
        <v>0.11778962611940792</v>
      </c>
      <c r="O574">
        <v>2.97959564411567E-2</v>
      </c>
      <c r="P574">
        <v>1.7906155538775229E-2</v>
      </c>
      <c r="Q574">
        <v>0</v>
      </c>
      <c r="R574">
        <v>6.5322860014217655E-3</v>
      </c>
      <c r="S574">
        <v>0.15949055028731882</v>
      </c>
      <c r="T574">
        <v>1.1868129625245045</v>
      </c>
      <c r="U574">
        <v>0</v>
      </c>
      <c r="V574">
        <v>1.569794469420804E-2</v>
      </c>
      <c r="W574">
        <v>6.2696389581514786E-2</v>
      </c>
      <c r="X574">
        <v>-1.5456550374630156E-2</v>
      </c>
      <c r="Y574">
        <v>2.6898791050290333E-2</v>
      </c>
    </row>
    <row r="575" spans="1:25" x14ac:dyDescent="0.25">
      <c r="A575" s="879"/>
      <c r="B575" s="1133">
        <v>325</v>
      </c>
      <c r="C575" s="883">
        <v>1.0164844251049179</v>
      </c>
      <c r="D575" s="883">
        <v>1.0200664226460345</v>
      </c>
      <c r="E575" s="883">
        <v>0.95656541651664895</v>
      </c>
      <c r="F575" s="883">
        <v>1.0190257071644606</v>
      </c>
      <c r="G575" s="883">
        <v>0.98809667519493904</v>
      </c>
      <c r="H575" s="883">
        <v>0.99892201035076933</v>
      </c>
      <c r="I575" s="883">
        <v>0.98233047718112898</v>
      </c>
      <c r="K575">
        <v>1.6223438325179367</v>
      </c>
      <c r="L575">
        <v>0</v>
      </c>
      <c r="M575">
        <v>6.4848026604394102E-3</v>
      </c>
      <c r="N575">
        <v>0.11335509239312466</v>
      </c>
      <c r="O575">
        <v>3.0140571736259062E-2</v>
      </c>
      <c r="P575">
        <v>1.7950343713127731E-2</v>
      </c>
      <c r="Q575">
        <v>0</v>
      </c>
      <c r="R575">
        <v>6.4848026604394102E-3</v>
      </c>
      <c r="S575">
        <v>0.1627366468849262</v>
      </c>
      <c r="T575">
        <v>1.2093449079886913</v>
      </c>
      <c r="U575">
        <v>0</v>
      </c>
      <c r="V575">
        <v>1.5765502091846875E-2</v>
      </c>
      <c r="W575">
        <v>6.0974956261708312E-2</v>
      </c>
      <c r="X575">
        <v>-1.4627451655592963E-2</v>
      </c>
      <c r="Y575">
        <v>2.6703263103844618E-2</v>
      </c>
    </row>
    <row r="576" spans="1:25" x14ac:dyDescent="0.25">
      <c r="A576" s="879"/>
      <c r="B576" s="1133">
        <v>326</v>
      </c>
      <c r="C576" s="883">
        <v>0.98642789575554901</v>
      </c>
      <c r="D576" s="883">
        <v>0.97785618334125135</v>
      </c>
      <c r="E576" s="883">
        <v>1.0060279727361026</v>
      </c>
      <c r="F576" s="883">
        <v>1.0046957521883291</v>
      </c>
      <c r="G576" s="883">
        <v>0.98061015149119735</v>
      </c>
      <c r="H576" s="883">
        <v>0.9992657776070446</v>
      </c>
      <c r="I576" s="883">
        <v>0.97961409398670929</v>
      </c>
      <c r="K576">
        <v>1.6231289536444786</v>
      </c>
      <c r="L576">
        <v>0</v>
      </c>
      <c r="M576">
        <v>6.5244183289730187E-3</v>
      </c>
      <c r="N576">
        <v>0.12273104373546451</v>
      </c>
      <c r="O576">
        <v>3.1548161327819402E-2</v>
      </c>
      <c r="P576">
        <v>1.8476284608083503E-2</v>
      </c>
      <c r="Q576">
        <v>0</v>
      </c>
      <c r="R576">
        <v>6.5244183289730187E-3</v>
      </c>
      <c r="S576">
        <v>0.16773042065040447</v>
      </c>
      <c r="T576">
        <v>1.191410968170096</v>
      </c>
      <c r="U576">
        <v>0</v>
      </c>
      <c r="V576">
        <v>1.5928919680460746E-2</v>
      </c>
      <c r="W576">
        <v>6.4404244180155307E-2</v>
      </c>
      <c r="X576">
        <v>-1.5967482083544971E-2</v>
      </c>
      <c r="Y576">
        <v>2.6866393375539883E-2</v>
      </c>
    </row>
    <row r="577" spans="1:25" x14ac:dyDescent="0.25">
      <c r="A577" s="879"/>
      <c r="B577" s="1133">
        <v>327</v>
      </c>
      <c r="C577" s="883">
        <v>1.0219466791376834</v>
      </c>
      <c r="D577" s="883">
        <v>1.0005812840350796</v>
      </c>
      <c r="E577" s="883">
        <v>0.96323906207077425</v>
      </c>
      <c r="F577" s="883">
        <v>1.019589170663195</v>
      </c>
      <c r="G577" s="883">
        <v>0.99389532695448191</v>
      </c>
      <c r="H577" s="883">
        <v>1.0151511087099374</v>
      </c>
      <c r="I577" s="883">
        <v>0.97198328953535706</v>
      </c>
      <c r="K577">
        <v>1.6253280312283207</v>
      </c>
      <c r="L577">
        <v>0</v>
      </c>
      <c r="M577">
        <v>6.5732714589969814E-3</v>
      </c>
      <c r="N577">
        <v>0.11604660743571318</v>
      </c>
      <c r="O577">
        <v>3.0206862297001997E-2</v>
      </c>
      <c r="P577">
        <v>1.8031931032036749E-2</v>
      </c>
      <c r="Q577">
        <v>0</v>
      </c>
      <c r="R577">
        <v>6.5732714589969814E-3</v>
      </c>
      <c r="S577">
        <v>0.16124543985873283</v>
      </c>
      <c r="T577">
        <v>1.2098859609150372</v>
      </c>
      <c r="U577">
        <v>0</v>
      </c>
      <c r="V577">
        <v>1.5736835968212411E-2</v>
      </c>
      <c r="W577">
        <v>6.2212795043453811E-2</v>
      </c>
      <c r="X577">
        <v>-1.5105963191313387E-2</v>
      </c>
      <c r="Y577">
        <v>2.7067561869445565E-2</v>
      </c>
    </row>
    <row r="578" spans="1:25" x14ac:dyDescent="0.25">
      <c r="A578" s="879"/>
      <c r="B578" s="1133">
        <v>328</v>
      </c>
      <c r="C578" s="883">
        <v>1.008003472928936</v>
      </c>
      <c r="D578" s="883">
        <v>0.99360408537799527</v>
      </c>
      <c r="E578" s="883">
        <v>0.982947881845186</v>
      </c>
      <c r="F578" s="883">
        <v>1.0092269426917675</v>
      </c>
      <c r="G578" s="883">
        <v>1.0108630767715352</v>
      </c>
      <c r="H578" s="883">
        <v>0.98769362808003092</v>
      </c>
      <c r="I578" s="883">
        <v>1.0039759866633899</v>
      </c>
      <c r="K578">
        <v>1.6186187921295576</v>
      </c>
      <c r="L578">
        <v>0</v>
      </c>
      <c r="M578">
        <v>6.3935189657312779E-3</v>
      </c>
      <c r="N578">
        <v>0.11622426389206011</v>
      </c>
      <c r="O578">
        <v>3.0695401891307632E-2</v>
      </c>
      <c r="P578">
        <v>1.8224571370689453E-2</v>
      </c>
      <c r="Q578">
        <v>0</v>
      </c>
      <c r="R578">
        <v>6.3935189657312779E-3</v>
      </c>
      <c r="S578">
        <v>0.16736177339231442</v>
      </c>
      <c r="T578">
        <v>1.1972177150235865</v>
      </c>
      <c r="U578">
        <v>0</v>
      </c>
      <c r="V578">
        <v>1.5810626123810814E-2</v>
      </c>
      <c r="W578">
        <v>6.1694456935717644E-2</v>
      </c>
      <c r="X578">
        <v>-1.4937389596857554E-2</v>
      </c>
      <c r="Y578">
        <v>2.6327373096928491E-2</v>
      </c>
    </row>
    <row r="579" spans="1:25" x14ac:dyDescent="0.25">
      <c r="A579" s="879"/>
      <c r="B579" s="1133">
        <v>329</v>
      </c>
      <c r="C579" s="883">
        <v>0.9926195439290374</v>
      </c>
      <c r="D579" s="883">
        <v>0.97794197317319531</v>
      </c>
      <c r="E579" s="883">
        <v>1.0067943750160437</v>
      </c>
      <c r="F579" s="883">
        <v>1.0092492221447342</v>
      </c>
      <c r="G579" s="883">
        <v>1.0313429713060778</v>
      </c>
      <c r="H579" s="883">
        <v>1.0215737356262276</v>
      </c>
      <c r="I579" s="883">
        <v>0.98564603349914948</v>
      </c>
      <c r="K579">
        <v>1.6327289507739744</v>
      </c>
      <c r="L579">
        <v>0</v>
      </c>
      <c r="M579">
        <v>6.6237670029092371E-3</v>
      </c>
      <c r="N579">
        <v>0.12474138002656833</v>
      </c>
      <c r="O579">
        <v>3.1349596033038413E-2</v>
      </c>
      <c r="P579">
        <v>1.8576078023570239E-2</v>
      </c>
      <c r="Q579">
        <v>0</v>
      </c>
      <c r="R579">
        <v>6.6237670029092371E-3</v>
      </c>
      <c r="S579">
        <v>0.16900759581456035</v>
      </c>
      <c r="T579">
        <v>1.1967963128431334</v>
      </c>
      <c r="U579">
        <v>0</v>
      </c>
      <c r="V579">
        <v>1.5894446278422205E-2</v>
      </c>
      <c r="W579">
        <v>6.5434341372357596E-2</v>
      </c>
      <c r="X579">
        <v>-1.6346293149079944E-2</v>
      </c>
      <c r="Y579">
        <v>2.7275493531404481E-2</v>
      </c>
    </row>
    <row r="580" spans="1:25" x14ac:dyDescent="0.25">
      <c r="A580" s="879"/>
      <c r="B580" s="1133">
        <v>330</v>
      </c>
      <c r="C580" s="883">
        <v>1.0334843692803422</v>
      </c>
      <c r="D580" s="883">
        <v>0.9982038525123289</v>
      </c>
      <c r="E580" s="883">
        <v>1.0065503804800742</v>
      </c>
      <c r="F580" s="883">
        <v>0.9808678958130328</v>
      </c>
      <c r="G580" s="883">
        <v>0.97075518404066385</v>
      </c>
      <c r="H580" s="883">
        <v>1.0289205302558051</v>
      </c>
      <c r="I580" s="883">
        <v>1.0149887727338618</v>
      </c>
      <c r="K580">
        <v>1.5869820384547078</v>
      </c>
      <c r="L580">
        <v>0</v>
      </c>
      <c r="M580">
        <v>6.3505810245914288E-3</v>
      </c>
      <c r="N580">
        <v>0.11955343261808095</v>
      </c>
      <c r="O580">
        <v>2.9864234004169491E-2</v>
      </c>
      <c r="P580">
        <v>1.8095273476623062E-2</v>
      </c>
      <c r="Q580">
        <v>0</v>
      </c>
      <c r="R580">
        <v>6.3505810245914288E-3</v>
      </c>
      <c r="S580">
        <v>0.16735518366605986</v>
      </c>
      <c r="T580">
        <v>1.1631453731510826</v>
      </c>
      <c r="U580">
        <v>0</v>
      </c>
      <c r="V580">
        <v>1.5677281717765071E-2</v>
      </c>
      <c r="W580">
        <v>6.2720530623496362E-2</v>
      </c>
      <c r="X580">
        <v>-1.5579833100552888E-2</v>
      </c>
      <c r="Y580">
        <v>2.6150562297983213E-2</v>
      </c>
    </row>
    <row r="581" spans="1:25" x14ac:dyDescent="0.25">
      <c r="A581" s="879"/>
      <c r="B581" s="1133">
        <v>331</v>
      </c>
      <c r="C581" s="883">
        <v>1.0028810100985699</v>
      </c>
      <c r="D581" s="883">
        <v>1.0030313806629536</v>
      </c>
      <c r="E581" s="883">
        <v>0.96633289454114335</v>
      </c>
      <c r="F581" s="883">
        <v>1.0028701954499972</v>
      </c>
      <c r="G581" s="883">
        <v>0.96934662509664926</v>
      </c>
      <c r="H581" s="883">
        <v>1.0401786067241141</v>
      </c>
      <c r="I581" s="883">
        <v>1.0360199238115917</v>
      </c>
      <c r="K581">
        <v>1.6294230086693196</v>
      </c>
      <c r="L581">
        <v>0</v>
      </c>
      <c r="M581">
        <v>6.8374585964204506E-3</v>
      </c>
      <c r="N581">
        <v>0.12126664587680702</v>
      </c>
      <c r="O581">
        <v>3.0748720874400132E-2</v>
      </c>
      <c r="P581">
        <v>1.8018258063734898E-2</v>
      </c>
      <c r="Q581">
        <v>0</v>
      </c>
      <c r="R581">
        <v>6.8374585964204506E-3</v>
      </c>
      <c r="S581">
        <v>0.17660955069191231</v>
      </c>
      <c r="T581">
        <v>1.1899884053200065</v>
      </c>
      <c r="U581">
        <v>0</v>
      </c>
      <c r="V581">
        <v>1.5838250559845508E-2</v>
      </c>
      <c r="W581">
        <v>6.491000775541847E-2</v>
      </c>
      <c r="X581">
        <v>-1.6112267950603436E-2</v>
      </c>
      <c r="Y581">
        <v>2.8155437477797918E-2</v>
      </c>
    </row>
    <row r="582" spans="1:25" x14ac:dyDescent="0.25">
      <c r="A582" s="879"/>
      <c r="B582" s="1133">
        <v>332</v>
      </c>
      <c r="C582" s="883">
        <v>1.0222691039628375</v>
      </c>
      <c r="D582" s="883">
        <v>1.00412732230056</v>
      </c>
      <c r="E582" s="883">
        <v>0.99115928071792792</v>
      </c>
      <c r="F582" s="883">
        <v>0.96610689793455951</v>
      </c>
      <c r="G582" s="883">
        <v>0.99149842663174081</v>
      </c>
      <c r="H582" s="883">
        <v>1.0347609628871657</v>
      </c>
      <c r="I582" s="883">
        <v>1.008481632414336</v>
      </c>
      <c r="K582">
        <v>1.5723803691216387</v>
      </c>
      <c r="L582">
        <v>0</v>
      </c>
      <c r="M582">
        <v>6.5268362480196468E-3</v>
      </c>
      <c r="N582">
        <v>0.12010133712891388</v>
      </c>
      <c r="O582">
        <v>3.0133248501182885E-2</v>
      </c>
      <c r="P582">
        <v>1.7670539852785303E-2</v>
      </c>
      <c r="Q582">
        <v>0</v>
      </c>
      <c r="R582">
        <v>6.5268362480196468E-3</v>
      </c>
      <c r="S582">
        <v>0.16835992773522068</v>
      </c>
      <c r="T582">
        <v>1.1459177236154447</v>
      </c>
      <c r="U582">
        <v>0</v>
      </c>
      <c r="V582">
        <v>1.5735153445087576E-2</v>
      </c>
      <c r="W582">
        <v>6.3491664109420878E-2</v>
      </c>
      <c r="X582">
        <v>-1.5905575202218355E-2</v>
      </c>
      <c r="Y582">
        <v>2.6876349935800348E-2</v>
      </c>
    </row>
    <row r="583" spans="1:25" x14ac:dyDescent="0.25">
      <c r="A583" s="879"/>
      <c r="B583" s="1133">
        <v>333</v>
      </c>
      <c r="C583" s="883">
        <v>1.0167509402466275</v>
      </c>
      <c r="D583" s="883">
        <v>0.98296264153362689</v>
      </c>
      <c r="E583" s="883">
        <v>0.99044594080299475</v>
      </c>
      <c r="F583" s="883">
        <v>0.95602481410513018</v>
      </c>
      <c r="G583" s="883">
        <v>1.018975804643919</v>
      </c>
      <c r="H583" s="883">
        <v>1.0045189856247196</v>
      </c>
      <c r="I583" s="883">
        <v>0.98955256779221623</v>
      </c>
      <c r="K583">
        <v>1.5541121729952507</v>
      </c>
      <c r="L583">
        <v>0</v>
      </c>
      <c r="M583">
        <v>6.4353184443982879E-3</v>
      </c>
      <c r="N583">
        <v>0.11829214115975126</v>
      </c>
      <c r="O583">
        <v>3.0556640095120241E-2</v>
      </c>
      <c r="P583">
        <v>1.7452810214464452E-2</v>
      </c>
      <c r="Q583">
        <v>0</v>
      </c>
      <c r="R583">
        <v>6.4353184443982879E-3</v>
      </c>
      <c r="S583">
        <v>0.16460811637753919</v>
      </c>
      <c r="T583">
        <v>1.1339718747211787</v>
      </c>
      <c r="U583">
        <v>0</v>
      </c>
      <c r="V583">
        <v>1.5764096262459268E-2</v>
      </c>
      <c r="W583">
        <v>6.2557472921410617E-2</v>
      </c>
      <c r="X583">
        <v>-1.5590474666721761E-2</v>
      </c>
      <c r="Y583">
        <v>2.6499495910049384E-2</v>
      </c>
    </row>
    <row r="584" spans="1:25" x14ac:dyDescent="0.25">
      <c r="A584" s="879"/>
      <c r="B584" s="1133">
        <v>334</v>
      </c>
      <c r="C584" s="883">
        <v>1.0169081868154295</v>
      </c>
      <c r="D584" s="883">
        <v>0.9948326051028431</v>
      </c>
      <c r="E584" s="883">
        <v>1.0184016712681694</v>
      </c>
      <c r="F584" s="883">
        <v>1.0168053885135164</v>
      </c>
      <c r="G584" s="883">
        <v>0.98060056162216136</v>
      </c>
      <c r="H584" s="883">
        <v>0.99024003211225997</v>
      </c>
      <c r="I584" s="883">
        <v>1.0031439996210281</v>
      </c>
      <c r="K584">
        <v>1.6263497339095714</v>
      </c>
      <c r="L584">
        <v>0</v>
      </c>
      <c r="M584">
        <v>6.1566924395090638E-3</v>
      </c>
      <c r="N584">
        <v>0.11795439274209445</v>
      </c>
      <c r="O584">
        <v>3.0381773323148391E-2</v>
      </c>
      <c r="P584">
        <v>1.8813325746315449E-2</v>
      </c>
      <c r="Q584">
        <v>0</v>
      </c>
      <c r="R584">
        <v>6.1566924395090638E-3</v>
      </c>
      <c r="S584">
        <v>0.16593005659169283</v>
      </c>
      <c r="T584">
        <v>1.2055379334434884</v>
      </c>
      <c r="U584">
        <v>0</v>
      </c>
      <c r="V584">
        <v>1.5763267154866589E-2</v>
      </c>
      <c r="W584">
        <v>6.152032699008976E-2</v>
      </c>
      <c r="X584">
        <v>-1.4903505697620218E-2</v>
      </c>
      <c r="Y584">
        <v>2.5352163615495662E-2</v>
      </c>
    </row>
    <row r="585" spans="1:25" x14ac:dyDescent="0.25">
      <c r="A585" s="879"/>
      <c r="B585" s="1133">
        <v>335</v>
      </c>
      <c r="C585" s="883">
        <v>1.0126152567037237</v>
      </c>
      <c r="D585" s="883">
        <v>1.0151422926262541</v>
      </c>
      <c r="E585" s="883">
        <v>1.0158801291012303</v>
      </c>
      <c r="F585" s="883">
        <v>0.98135792789197829</v>
      </c>
      <c r="G585" s="883">
        <v>0.99308030177465612</v>
      </c>
      <c r="H585" s="883">
        <v>1.0264719445656103</v>
      </c>
      <c r="I585" s="883">
        <v>1.0036867819896598</v>
      </c>
      <c r="K585">
        <v>1.5917777712660306</v>
      </c>
      <c r="L585">
        <v>0</v>
      </c>
      <c r="M585">
        <v>6.365551002722937E-3</v>
      </c>
      <c r="N585">
        <v>0.12150170198272187</v>
      </c>
      <c r="O585">
        <v>3.0267156589732943E-2</v>
      </c>
      <c r="P585">
        <v>1.8246225199093448E-2</v>
      </c>
      <c r="Q585">
        <v>0</v>
      </c>
      <c r="R585">
        <v>6.365551002722937E-3</v>
      </c>
      <c r="S585">
        <v>0.16859269283954648</v>
      </c>
      <c r="T585">
        <v>1.1635567577703949</v>
      </c>
      <c r="U585">
        <v>0</v>
      </c>
      <c r="V585">
        <v>1.5785994758623644E-2</v>
      </c>
      <c r="W585">
        <v>6.344931570165499E-2</v>
      </c>
      <c r="X585">
        <v>-1.5834279579108788E-2</v>
      </c>
      <c r="Y585">
        <v>2.6212206003371985E-2</v>
      </c>
    </row>
    <row r="586" spans="1:25" x14ac:dyDescent="0.25">
      <c r="A586" s="879"/>
      <c r="B586" s="1133">
        <v>336</v>
      </c>
      <c r="C586" s="883">
        <v>0.96538800706145955</v>
      </c>
      <c r="D586" s="883">
        <v>0.99721248762571557</v>
      </c>
      <c r="E586" s="883">
        <v>1.0117755375676956</v>
      </c>
      <c r="F586" s="883">
        <v>0.99400315543961293</v>
      </c>
      <c r="G586" s="883">
        <v>1.0099928003494143</v>
      </c>
      <c r="H586" s="883">
        <v>1.0345456375829165</v>
      </c>
      <c r="I586" s="883">
        <v>0.99812243443497872</v>
      </c>
      <c r="K586">
        <v>1.6292804159906842</v>
      </c>
      <c r="L586">
        <v>0</v>
      </c>
      <c r="M586">
        <v>6.8075600967190874E-3</v>
      </c>
      <c r="N586">
        <v>0.12915155945630433</v>
      </c>
      <c r="O586">
        <v>3.1978744727548324E-2</v>
      </c>
      <c r="P586">
        <v>1.8504487052912952E-2</v>
      </c>
      <c r="Q586">
        <v>0</v>
      </c>
      <c r="R586">
        <v>6.8075600967190874E-3</v>
      </c>
      <c r="S586">
        <v>0.17653766041724078</v>
      </c>
      <c r="T586">
        <v>1.178625276282061</v>
      </c>
      <c r="U586">
        <v>0</v>
      </c>
      <c r="V586">
        <v>1.6049368412965608E-2</v>
      </c>
      <c r="W586">
        <v>6.7580989946833522E-2</v>
      </c>
      <c r="X586">
        <v>-1.7179991082945715E-2</v>
      </c>
      <c r="Y586">
        <v>2.803232077776226E-2</v>
      </c>
    </row>
    <row r="587" spans="1:25" x14ac:dyDescent="0.25">
      <c r="A587" s="879"/>
      <c r="B587" s="1133">
        <v>337</v>
      </c>
      <c r="C587" s="883">
        <v>1.0137465422620993</v>
      </c>
      <c r="D587" s="883">
        <v>1.0397945806722277</v>
      </c>
      <c r="E587" s="883">
        <v>1.0022247349930444</v>
      </c>
      <c r="F587" s="883">
        <v>1.0032208725582838</v>
      </c>
      <c r="G587" s="883">
        <v>0.98176786322720677</v>
      </c>
      <c r="H587" s="883">
        <v>0.99443368003746957</v>
      </c>
      <c r="I587" s="883">
        <v>1.0099162273049644</v>
      </c>
      <c r="K587">
        <v>1.6080011928691684</v>
      </c>
      <c r="L587">
        <v>0</v>
      </c>
      <c r="M587">
        <v>6.1677204738750215E-3</v>
      </c>
      <c r="N587">
        <v>0.11536951285396162</v>
      </c>
      <c r="O587">
        <v>2.9956232438931998E-2</v>
      </c>
      <c r="P587">
        <v>1.8393979145908883E-2</v>
      </c>
      <c r="Q587">
        <v>0</v>
      </c>
      <c r="R587">
        <v>6.1677204738750215E-3</v>
      </c>
      <c r="S587">
        <v>0.16736936603495348</v>
      </c>
      <c r="T587">
        <v>1.1897328357817942</v>
      </c>
      <c r="U587">
        <v>0</v>
      </c>
      <c r="V587">
        <v>1.5779986834602865E-2</v>
      </c>
      <c r="W587">
        <v>6.0655479461763299E-2</v>
      </c>
      <c r="X587">
        <v>-1.4653774780846038E-2</v>
      </c>
      <c r="Y587">
        <v>2.5397575098097737E-2</v>
      </c>
    </row>
    <row r="588" spans="1:25" x14ac:dyDescent="0.25">
      <c r="A588" s="879"/>
      <c r="B588" s="1133">
        <v>338</v>
      </c>
      <c r="C588" s="883">
        <v>1.022621057064949</v>
      </c>
      <c r="D588" s="883">
        <v>1.0102253693266667</v>
      </c>
      <c r="E588" s="883">
        <v>1.0159744811334472</v>
      </c>
      <c r="F588" s="883">
        <v>1.0060596908858253</v>
      </c>
      <c r="G588" s="883">
        <v>1.0385406870684872</v>
      </c>
      <c r="H588" s="883">
        <v>1.0120572525586595</v>
      </c>
      <c r="I588" s="883">
        <v>0.96050974620732654</v>
      </c>
      <c r="K588">
        <v>1.6075257768368931</v>
      </c>
      <c r="L588">
        <v>0</v>
      </c>
      <c r="M588">
        <v>6.2277008612512848E-3</v>
      </c>
      <c r="N588">
        <v>0.11888710110045672</v>
      </c>
      <c r="O588">
        <v>3.0029190735937305E-2</v>
      </c>
      <c r="P588">
        <v>1.8513465679596951E-2</v>
      </c>
      <c r="Q588">
        <v>0</v>
      </c>
      <c r="R588">
        <v>6.2277008612512848E-3</v>
      </c>
      <c r="S588">
        <v>0.15902845633345833</v>
      </c>
      <c r="T588">
        <v>1.1928428904670412</v>
      </c>
      <c r="U588">
        <v>0</v>
      </c>
      <c r="V588">
        <v>1.5733318044476547E-2</v>
      </c>
      <c r="W588">
        <v>6.2081056648595888E-2</v>
      </c>
      <c r="X588">
        <v>-1.5234265829872003E-2</v>
      </c>
      <c r="Y588">
        <v>2.5644563657202229E-2</v>
      </c>
    </row>
    <row r="589" spans="1:25" x14ac:dyDescent="0.25">
      <c r="A589" s="879"/>
      <c r="B589" s="1133">
        <v>339</v>
      </c>
      <c r="C589" s="883">
        <v>0.95202876941844805</v>
      </c>
      <c r="D589" s="883">
        <v>0.98175800065966756</v>
      </c>
      <c r="E589" s="883">
        <v>0.98915934086970458</v>
      </c>
      <c r="F589" s="883">
        <v>0.98055495696074157</v>
      </c>
      <c r="G589" s="883">
        <v>0.99980996469281702</v>
      </c>
      <c r="H589" s="883">
        <v>0.9987082367904061</v>
      </c>
      <c r="I589" s="883">
        <v>1.0165313572989978</v>
      </c>
      <c r="K589">
        <v>1.6136422158880852</v>
      </c>
      <c r="L589">
        <v>0</v>
      </c>
      <c r="M589">
        <v>6.8444789832014597E-3</v>
      </c>
      <c r="N589">
        <v>0.12557344867635462</v>
      </c>
      <c r="O589">
        <v>3.2651114463722444E-2</v>
      </c>
      <c r="P589">
        <v>1.8034410622888186E-2</v>
      </c>
      <c r="Q589">
        <v>0</v>
      </c>
      <c r="R589">
        <v>6.8444789832014597E-3</v>
      </c>
      <c r="S589">
        <v>0.1802414110401824</v>
      </c>
      <c r="T589">
        <v>1.1630913716418989</v>
      </c>
      <c r="U589">
        <v>0</v>
      </c>
      <c r="V589">
        <v>1.6128610470685902E-2</v>
      </c>
      <c r="W589">
        <v>6.6450734371782713E-2</v>
      </c>
      <c r="X589">
        <v>-1.6713231580410069E-2</v>
      </c>
      <c r="Y589">
        <v>2.8184346180979852E-2</v>
      </c>
    </row>
    <row r="590" spans="1:25" x14ac:dyDescent="0.25">
      <c r="A590" s="879"/>
      <c r="B590" s="1133">
        <v>340</v>
      </c>
      <c r="C590" s="883">
        <v>0.99578862535202395</v>
      </c>
      <c r="D590" s="883">
        <v>0.97777510506133003</v>
      </c>
      <c r="E590" s="883">
        <v>1.0480816534392114</v>
      </c>
      <c r="F590" s="883">
        <v>1.044197565144058</v>
      </c>
      <c r="G590" s="883">
        <v>0.98114405847398611</v>
      </c>
      <c r="H590" s="883">
        <v>1.0244967580202422</v>
      </c>
      <c r="I590" s="883">
        <v>0.98931927547525655</v>
      </c>
      <c r="K590">
        <v>1.6771173140880431</v>
      </c>
      <c r="L590">
        <v>0</v>
      </c>
      <c r="M590">
        <v>6.3868184294225009E-3</v>
      </c>
      <c r="N590">
        <v>0.1278499050670765</v>
      </c>
      <c r="O590">
        <v>3.1213032773850364E-2</v>
      </c>
      <c r="P590">
        <v>1.971965711904641E-2</v>
      </c>
      <c r="Q590">
        <v>0</v>
      </c>
      <c r="R590">
        <v>6.3868184294225009E-3</v>
      </c>
      <c r="S590">
        <v>0.16931423275260934</v>
      </c>
      <c r="T590">
        <v>1.2374430268719547</v>
      </c>
      <c r="U590">
        <v>0</v>
      </c>
      <c r="V590">
        <v>1.5876967565249148E-2</v>
      </c>
      <c r="W590">
        <v>6.5718805550262729E-2</v>
      </c>
      <c r="X590">
        <v>-1.6318095093065248E-2</v>
      </c>
      <c r="Y590">
        <v>2.629978148105995E-2</v>
      </c>
    </row>
    <row r="591" spans="1:25" x14ac:dyDescent="0.25">
      <c r="A591" s="879"/>
      <c r="B591" s="1133">
        <v>341</v>
      </c>
      <c r="C591" s="883">
        <v>0.97293697208468721</v>
      </c>
      <c r="D591" s="883">
        <v>0.99218299687158329</v>
      </c>
      <c r="E591" s="883">
        <v>1.0005167120068037</v>
      </c>
      <c r="F591" s="883">
        <v>0.97789272552756323</v>
      </c>
      <c r="G591" s="883">
        <v>0.99633650345618752</v>
      </c>
      <c r="H591" s="883">
        <v>0.99400262448924037</v>
      </c>
      <c r="I591" s="883">
        <v>1.0005471742372209</v>
      </c>
      <c r="K591">
        <v>1.5968134484983798</v>
      </c>
      <c r="L591">
        <v>0</v>
      </c>
      <c r="M591">
        <v>6.5690202680522185E-3</v>
      </c>
      <c r="N591">
        <v>0.12256547387058214</v>
      </c>
      <c r="O591">
        <v>3.1804953205977163E-2</v>
      </c>
      <c r="P591">
        <v>1.805015954440703E-2</v>
      </c>
      <c r="Q591">
        <v>0</v>
      </c>
      <c r="R591">
        <v>6.5690202680522185E-3</v>
      </c>
      <c r="S591">
        <v>0.17321310390403222</v>
      </c>
      <c r="T591">
        <v>1.1597268850844531</v>
      </c>
      <c r="U591">
        <v>0</v>
      </c>
      <c r="V591">
        <v>1.600555300621509E-2</v>
      </c>
      <c r="W591">
        <v>6.4493406854004856E-2</v>
      </c>
      <c r="X591">
        <v>-1.609614319311066E-2</v>
      </c>
      <c r="Y591">
        <v>2.7050056221818823E-2</v>
      </c>
    </row>
    <row r="592" spans="1:25" x14ac:dyDescent="0.25">
      <c r="A592" s="879"/>
      <c r="B592" s="1133">
        <v>342</v>
      </c>
      <c r="C592" s="883">
        <v>1.0070322300830514</v>
      </c>
      <c r="D592" s="883">
        <v>1.0041835679740281</v>
      </c>
      <c r="E592" s="883">
        <v>1.0072357921330337</v>
      </c>
      <c r="F592" s="883">
        <v>1.0003430967067681</v>
      </c>
      <c r="G592" s="883">
        <v>0.98512339731850096</v>
      </c>
      <c r="H592" s="883">
        <v>0.98735104043319122</v>
      </c>
      <c r="I592" s="883">
        <v>1.0067995319521768</v>
      </c>
      <c r="K592">
        <v>1.6086947492687269</v>
      </c>
      <c r="L592">
        <v>0</v>
      </c>
      <c r="M592">
        <v>6.2337106550930353E-3</v>
      </c>
      <c r="N592">
        <v>0.11747244205632584</v>
      </c>
      <c r="O592">
        <v>3.057496463043282E-2</v>
      </c>
      <c r="P592">
        <v>1.8424112455691945E-2</v>
      </c>
      <c r="Q592">
        <v>0</v>
      </c>
      <c r="R592">
        <v>6.2337106550930353E-3</v>
      </c>
      <c r="S592">
        <v>0.16789600161498494</v>
      </c>
      <c r="T592">
        <v>1.1862269839996005</v>
      </c>
      <c r="U592">
        <v>0</v>
      </c>
      <c r="V592">
        <v>1.5815842254632263E-2</v>
      </c>
      <c r="W592">
        <v>6.1607878428677779E-2</v>
      </c>
      <c r="X592">
        <v>-1.4992787090158756E-2</v>
      </c>
      <c r="Y592">
        <v>2.5669310918539124E-2</v>
      </c>
    </row>
    <row r="593" spans="1:25" x14ac:dyDescent="0.25">
      <c r="A593" s="879"/>
      <c r="B593" s="1133">
        <v>343</v>
      </c>
      <c r="C593" s="883">
        <v>1.025624331915534</v>
      </c>
      <c r="D593" s="883">
        <v>1.0145673386841254</v>
      </c>
      <c r="E593" s="883">
        <v>0.96699379455287771</v>
      </c>
      <c r="F593" s="883">
        <v>1.003364003967758</v>
      </c>
      <c r="G593" s="883">
        <v>0.98317458133287916</v>
      </c>
      <c r="H593" s="883">
        <v>0.97006334815336581</v>
      </c>
      <c r="I593" s="883">
        <v>0.98165759200759506</v>
      </c>
      <c r="K593">
        <v>1.5941861703861535</v>
      </c>
      <c r="L593">
        <v>0</v>
      </c>
      <c r="M593">
        <v>6.1998913503935335E-3</v>
      </c>
      <c r="N593">
        <v>0.11006696973320625</v>
      </c>
      <c r="O593">
        <v>2.9929164837747695E-2</v>
      </c>
      <c r="P593">
        <v>1.7811881556043012E-2</v>
      </c>
      <c r="Q593">
        <v>0</v>
      </c>
      <c r="R593">
        <v>6.1998913503935335E-3</v>
      </c>
      <c r="S593">
        <v>0.15964654306190842</v>
      </c>
      <c r="T593">
        <v>1.1905619294477618</v>
      </c>
      <c r="U593">
        <v>0</v>
      </c>
      <c r="V593">
        <v>1.5717707499184715E-2</v>
      </c>
      <c r="W593">
        <v>5.8895593593737659E-2</v>
      </c>
      <c r="X593">
        <v>-1.3973668384835757E-2</v>
      </c>
      <c r="Y593">
        <v>2.5530049041398408E-2</v>
      </c>
    </row>
    <row r="594" spans="1:25" x14ac:dyDescent="0.25">
      <c r="A594" s="879"/>
      <c r="B594" s="1133">
        <v>344</v>
      </c>
      <c r="C594" s="883">
        <v>0.95542388008681223</v>
      </c>
      <c r="D594" s="883">
        <v>0.98443514634826257</v>
      </c>
      <c r="E594" s="883">
        <v>0.98939340437383871</v>
      </c>
      <c r="F594" s="883">
        <v>0.99884994756598644</v>
      </c>
      <c r="G594" s="883">
        <v>0.99202094675838304</v>
      </c>
      <c r="H594" s="883">
        <v>1.0129590910653392</v>
      </c>
      <c r="I594" s="883">
        <v>0.98750717028852131</v>
      </c>
      <c r="K594">
        <v>1.6323723928634717</v>
      </c>
      <c r="L594">
        <v>0</v>
      </c>
      <c r="M594">
        <v>6.9076595293351434E-3</v>
      </c>
      <c r="N594">
        <v>0.12677659024147064</v>
      </c>
      <c r="O594">
        <v>3.2499465883556178E-2</v>
      </c>
      <c r="P594">
        <v>1.8259539310390451E-2</v>
      </c>
      <c r="Q594">
        <v>0</v>
      </c>
      <c r="R594">
        <v>6.9076595293351434E-3</v>
      </c>
      <c r="S594">
        <v>0.17530368505435059</v>
      </c>
      <c r="T594">
        <v>1.1847877326430933</v>
      </c>
      <c r="U594">
        <v>0</v>
      </c>
      <c r="V594">
        <v>1.6108261904561671E-2</v>
      </c>
      <c r="W594">
        <v>6.7079578396253545E-2</v>
      </c>
      <c r="X594">
        <v>-1.6886972994446508E-2</v>
      </c>
      <c r="Y594">
        <v>2.844451242424037E-2</v>
      </c>
    </row>
    <row r="595" spans="1:25" x14ac:dyDescent="0.25">
      <c r="A595" s="879"/>
      <c r="B595" s="1133">
        <v>345</v>
      </c>
      <c r="C595" s="883">
        <v>0.98820581265809027</v>
      </c>
      <c r="D595" s="883">
        <v>1.003022017526656</v>
      </c>
      <c r="E595" s="883">
        <v>0.98494774500102722</v>
      </c>
      <c r="F595" s="883">
        <v>1.0228597870260587</v>
      </c>
      <c r="G595" s="883">
        <v>1.0042493535896313</v>
      </c>
      <c r="H595" s="883">
        <v>0.97575253025063713</v>
      </c>
      <c r="I595" s="883">
        <v>0.99272795092855082</v>
      </c>
      <c r="K595">
        <v>1.6371047425926499</v>
      </c>
      <c r="L595">
        <v>0</v>
      </c>
      <c r="M595">
        <v>6.4045259080454846E-3</v>
      </c>
      <c r="N595">
        <v>0.11677021382872674</v>
      </c>
      <c r="O595">
        <v>3.1190797015075468E-2</v>
      </c>
      <c r="P595">
        <v>1.8475995484998304E-2</v>
      </c>
      <c r="Q595">
        <v>0</v>
      </c>
      <c r="R595">
        <v>6.4045259080454846E-3</v>
      </c>
      <c r="S595">
        <v>0.16801616881218104</v>
      </c>
      <c r="T595">
        <v>1.2133518161468169</v>
      </c>
      <c r="U595">
        <v>0</v>
      </c>
      <c r="V595">
        <v>1.591897651308086E-2</v>
      </c>
      <c r="W595">
        <v>6.1922322492725994E-2</v>
      </c>
      <c r="X595">
        <v>-1.4914245427171815E-2</v>
      </c>
      <c r="Y595">
        <v>2.6372697726215692E-2</v>
      </c>
    </row>
    <row r="596" spans="1:25" x14ac:dyDescent="0.25">
      <c r="A596" s="879"/>
      <c r="B596" s="1133">
        <v>346</v>
      </c>
      <c r="C596" s="883">
        <v>1.0217713584296253</v>
      </c>
      <c r="D596" s="883">
        <v>1.0096676133063218</v>
      </c>
      <c r="E596" s="883">
        <v>1.0066888871794861</v>
      </c>
      <c r="F596" s="883">
        <v>1.0168423724204296</v>
      </c>
      <c r="G596" s="883">
        <v>0.99944216152009313</v>
      </c>
      <c r="H596" s="883">
        <v>0.99704668843562461</v>
      </c>
      <c r="I596" s="883">
        <v>1.031835441966362</v>
      </c>
      <c r="K596">
        <v>1.6289134350539223</v>
      </c>
      <c r="L596">
        <v>0</v>
      </c>
      <c r="M596">
        <v>6.1920325254314927E-3</v>
      </c>
      <c r="N596">
        <v>0.11659257367671032</v>
      </c>
      <c r="O596">
        <v>3.0068806639067209E-2</v>
      </c>
      <c r="P596">
        <v>1.8708246768498995E-2</v>
      </c>
      <c r="Q596">
        <v>0</v>
      </c>
      <c r="R596">
        <v>6.1920325254314927E-3</v>
      </c>
      <c r="S596">
        <v>0.17010017749519038</v>
      </c>
      <c r="T596">
        <v>1.2058024758625114</v>
      </c>
      <c r="U596">
        <v>0</v>
      </c>
      <c r="V596">
        <v>1.5737751297367025E-2</v>
      </c>
      <c r="W596">
        <v>6.1162998674206298E-2</v>
      </c>
      <c r="X596">
        <v>-1.4757283158652877E-2</v>
      </c>
      <c r="Y596">
        <v>2.5497687799023425E-2</v>
      </c>
    </row>
    <row r="597" spans="1:25" x14ac:dyDescent="0.25">
      <c r="A597" s="879"/>
      <c r="B597" s="1133">
        <v>347</v>
      </c>
      <c r="C597" s="883">
        <v>1.0273015077372161</v>
      </c>
      <c r="D597" s="883">
        <v>0.9994011428407974</v>
      </c>
      <c r="E597" s="883">
        <v>0.98092336119624191</v>
      </c>
      <c r="F597" s="883">
        <v>1.0275326876038711</v>
      </c>
      <c r="G597" s="883">
        <v>0.99706076227406137</v>
      </c>
      <c r="H597" s="883">
        <v>0.96938964053556076</v>
      </c>
      <c r="I597" s="883">
        <v>1.0119561080828894</v>
      </c>
      <c r="K597">
        <v>1.6297061806883872</v>
      </c>
      <c r="L597">
        <v>0</v>
      </c>
      <c r="M597">
        <v>6.1520464022090174E-3</v>
      </c>
      <c r="N597">
        <v>0.11149929685169387</v>
      </c>
      <c r="O597">
        <v>3.0050352989118689E-2</v>
      </c>
      <c r="P597">
        <v>1.844267042126746E-2</v>
      </c>
      <c r="Q597">
        <v>0</v>
      </c>
      <c r="R597">
        <v>6.1520464022090174E-3</v>
      </c>
      <c r="S597">
        <v>0.164418718351972</v>
      </c>
      <c r="T597">
        <v>1.2189721348758817</v>
      </c>
      <c r="U597">
        <v>0</v>
      </c>
      <c r="V597">
        <v>1.5709029524219258E-2</v>
      </c>
      <c r="W597">
        <v>5.9246317972504535E-2</v>
      </c>
      <c r="X597">
        <v>-1.3965372359128767E-2</v>
      </c>
      <c r="Y597">
        <v>2.5333032060857883E-2</v>
      </c>
    </row>
    <row r="598" spans="1:25" x14ac:dyDescent="0.25">
      <c r="A598" s="879"/>
      <c r="B598" s="1133">
        <v>348</v>
      </c>
      <c r="C598" s="883">
        <v>0.96410130046407849</v>
      </c>
      <c r="D598" s="883">
        <v>0.98542244960774383</v>
      </c>
      <c r="E598" s="883">
        <v>0.99509806966566028</v>
      </c>
      <c r="F598" s="883">
        <v>1.0404599281447162</v>
      </c>
      <c r="G598" s="883">
        <v>0.9789302436151297</v>
      </c>
      <c r="H598" s="883">
        <v>0.96310399935340396</v>
      </c>
      <c r="I598" s="883">
        <v>0.98549134248240966</v>
      </c>
      <c r="K598">
        <v>1.6660448494605262</v>
      </c>
      <c r="L598">
        <v>0</v>
      </c>
      <c r="M598">
        <v>6.4733463998175476E-3</v>
      </c>
      <c r="N598">
        <v>0.11981452699862687</v>
      </c>
      <c r="O598">
        <v>3.2189110702185698E-2</v>
      </c>
      <c r="P598">
        <v>1.8929021905821204E-2</v>
      </c>
      <c r="Q598">
        <v>0</v>
      </c>
      <c r="R598">
        <v>6.4733463998175476E-3</v>
      </c>
      <c r="S598">
        <v>0.17039254378746652</v>
      </c>
      <c r="T598">
        <v>1.2340329751358587</v>
      </c>
      <c r="U598">
        <v>0</v>
      </c>
      <c r="V598">
        <v>1.6056905109014447E-2</v>
      </c>
      <c r="W598">
        <v>6.3215913394845474E-2</v>
      </c>
      <c r="X598">
        <v>-1.524223583503592E-2</v>
      </c>
      <c r="Y598">
        <v>2.6656088261742161E-2</v>
      </c>
    </row>
    <row r="599" spans="1:25" x14ac:dyDescent="0.25">
      <c r="A599" s="879"/>
      <c r="B599" s="1133">
        <v>349</v>
      </c>
      <c r="C599" s="883">
        <v>0.98107621433500924</v>
      </c>
      <c r="D599" s="883">
        <v>1.0147766895205153</v>
      </c>
      <c r="E599" s="883">
        <v>0.98435017942471481</v>
      </c>
      <c r="F599" s="883">
        <v>1.0082287200399485</v>
      </c>
      <c r="G599" s="883">
        <v>0.97854840521305486</v>
      </c>
      <c r="H599" s="883">
        <v>1.0016634360411032</v>
      </c>
      <c r="I599" s="883">
        <v>0.95725811941802441</v>
      </c>
      <c r="K599">
        <v>1.621202608098272</v>
      </c>
      <c r="L599">
        <v>0</v>
      </c>
      <c r="M599">
        <v>6.5915003133921284E-3</v>
      </c>
      <c r="N599">
        <v>0.12007274930823623</v>
      </c>
      <c r="O599">
        <v>3.1271873426143487E-2</v>
      </c>
      <c r="P599">
        <v>1.8192834879971573E-2</v>
      </c>
      <c r="Q599">
        <v>0</v>
      </c>
      <c r="R599">
        <v>6.5915003133921284E-3</v>
      </c>
      <c r="S599">
        <v>0.16453928546771479</v>
      </c>
      <c r="T599">
        <v>1.1960071738786036</v>
      </c>
      <c r="U599">
        <v>0</v>
      </c>
      <c r="V599">
        <v>1.595906696510245E-2</v>
      </c>
      <c r="W599">
        <v>6.3692649247295896E-2</v>
      </c>
      <c r="X599">
        <v>-1.5675650122025424E-2</v>
      </c>
      <c r="Y599">
        <v>2.7142625047229661E-2</v>
      </c>
    </row>
    <row r="600" spans="1:25" x14ac:dyDescent="0.25">
      <c r="A600" s="879"/>
      <c r="B600" s="1133">
        <v>350</v>
      </c>
      <c r="C600" s="883">
        <v>0.99845173139575605</v>
      </c>
      <c r="D600" s="883">
        <v>0.97910695132808268</v>
      </c>
      <c r="E600" s="883">
        <v>0.97508484766233405</v>
      </c>
      <c r="F600" s="883">
        <v>0.98801879273164495</v>
      </c>
      <c r="G600" s="883">
        <v>1.0239590428395755</v>
      </c>
      <c r="H600" s="883">
        <v>1.0097054315277585</v>
      </c>
      <c r="I600" s="883">
        <v>1.0131651500324088</v>
      </c>
      <c r="K600">
        <v>1.6049146269253711</v>
      </c>
      <c r="L600">
        <v>0</v>
      </c>
      <c r="M600">
        <v>6.6876421779320265E-3</v>
      </c>
      <c r="N600">
        <v>0.12016083248841798</v>
      </c>
      <c r="O600">
        <v>3.1178049882745286E-2</v>
      </c>
      <c r="P600">
        <v>1.7847208685302016E-2</v>
      </c>
      <c r="Q600">
        <v>0</v>
      </c>
      <c r="R600">
        <v>6.6876421779320265E-3</v>
      </c>
      <c r="S600">
        <v>0.17195848692119051</v>
      </c>
      <c r="T600">
        <v>1.1722041764782711</v>
      </c>
      <c r="U600">
        <v>0</v>
      </c>
      <c r="V600">
        <v>1.5862365298905876E-2</v>
      </c>
      <c r="W600">
        <v>6.4035796941795661E-2</v>
      </c>
      <c r="X600">
        <v>-1.5870809904048367E-2</v>
      </c>
      <c r="Y600">
        <v>2.7538520132791008E-2</v>
      </c>
    </row>
    <row r="601" spans="1:25" x14ac:dyDescent="0.25">
      <c r="A601" s="879"/>
      <c r="B601" s="1133">
        <v>351</v>
      </c>
      <c r="C601" s="883">
        <v>1.0037104392870182</v>
      </c>
      <c r="D601" s="883">
        <v>0.98554146699872436</v>
      </c>
      <c r="E601" s="883">
        <v>1.0097247283665021</v>
      </c>
      <c r="F601" s="883">
        <v>1.0054875852388976</v>
      </c>
      <c r="G601" s="883">
        <v>0.97970902898559542</v>
      </c>
      <c r="H601" s="883">
        <v>0.9747963110472645</v>
      </c>
      <c r="I601" s="883">
        <v>1.0256174007534524</v>
      </c>
      <c r="K601">
        <v>1.6183948143829274</v>
      </c>
      <c r="L601">
        <v>0</v>
      </c>
      <c r="M601">
        <v>6.2131203597722605E-3</v>
      </c>
      <c r="N601">
        <v>0.11751667582355393</v>
      </c>
      <c r="O601">
        <v>3.0904767724029936E-2</v>
      </c>
      <c r="P601">
        <v>1.8582923501291183E-2</v>
      </c>
      <c r="Q601">
        <v>0</v>
      </c>
      <c r="R601">
        <v>6.2131203597722605E-3</v>
      </c>
      <c r="S601">
        <v>0.17104439176708477</v>
      </c>
      <c r="T601">
        <v>1.1922810040286025</v>
      </c>
      <c r="U601">
        <v>0</v>
      </c>
      <c r="V601">
        <v>1.5833758479592293E-2</v>
      </c>
      <c r="W601">
        <v>6.1555205281122384E-2</v>
      </c>
      <c r="X601">
        <v>-1.4908435969693245E-2</v>
      </c>
      <c r="Y601">
        <v>2.5584523747344115E-2</v>
      </c>
    </row>
    <row r="602" spans="1:25" x14ac:dyDescent="0.25">
      <c r="A602" s="879"/>
      <c r="B602" s="1133">
        <v>352</v>
      </c>
      <c r="C602" s="883">
        <v>1.0331894809588713</v>
      </c>
      <c r="D602" s="883">
        <v>0.97609301065047205</v>
      </c>
      <c r="E602" s="883">
        <v>1.0041144198497871</v>
      </c>
      <c r="F602" s="883">
        <v>0.97384992429081041</v>
      </c>
      <c r="G602" s="883">
        <v>1.0226653931624383</v>
      </c>
      <c r="H602" s="883">
        <v>1.0330690007994434</v>
      </c>
      <c r="I602" s="883">
        <v>0.97029165446759558</v>
      </c>
      <c r="K602">
        <v>1.5743625176526634</v>
      </c>
      <c r="L602">
        <v>0</v>
      </c>
      <c r="M602">
        <v>6.4558276001828721E-3</v>
      </c>
      <c r="N602">
        <v>0.12109712611625484</v>
      </c>
      <c r="O602">
        <v>3.0143679916641047E-2</v>
      </c>
      <c r="P602">
        <v>1.7858791594443438E-2</v>
      </c>
      <c r="Q602">
        <v>0</v>
      </c>
      <c r="R602">
        <v>6.4558276001828721E-3</v>
      </c>
      <c r="S602">
        <v>0.16049162707548165</v>
      </c>
      <c r="T602">
        <v>1.1548672654432928</v>
      </c>
      <c r="U602">
        <v>0</v>
      </c>
      <c r="V602">
        <v>1.5678787283513088E-2</v>
      </c>
      <c r="W602">
        <v>6.3607125255562738E-2</v>
      </c>
      <c r="X602">
        <v>-1.5965833995602328E-2</v>
      </c>
      <c r="Y602">
        <v>2.658394896307666E-2</v>
      </c>
    </row>
    <row r="603" spans="1:25" x14ac:dyDescent="0.25">
      <c r="A603" s="879"/>
      <c r="B603" s="1133">
        <v>353</v>
      </c>
      <c r="C603" s="883">
        <v>1.0377227376203799</v>
      </c>
      <c r="D603" s="883">
        <v>1.0173131067300742</v>
      </c>
      <c r="E603" s="883">
        <v>1.0077523770924544</v>
      </c>
      <c r="F603" s="883">
        <v>0.9907125763553758</v>
      </c>
      <c r="G603" s="883">
        <v>1.0031457050722783</v>
      </c>
      <c r="H603" s="883">
        <v>1.0262919467620024</v>
      </c>
      <c r="I603" s="883">
        <v>0.98578294781222742</v>
      </c>
      <c r="K603">
        <v>1.5898431518233256</v>
      </c>
      <c r="L603">
        <v>0</v>
      </c>
      <c r="M603">
        <v>6.2488061558090375E-3</v>
      </c>
      <c r="N603">
        <v>0.11784701744537092</v>
      </c>
      <c r="O603">
        <v>2.9516511920396133E-2</v>
      </c>
      <c r="P603">
        <v>1.8189722921603663E-2</v>
      </c>
      <c r="Q603">
        <v>0</v>
      </c>
      <c r="R603">
        <v>6.2488061558090375E-3</v>
      </c>
      <c r="S603">
        <v>0.16153941505868802</v>
      </c>
      <c r="T603">
        <v>1.1747974242393768</v>
      </c>
      <c r="U603">
        <v>0</v>
      </c>
      <c r="V603">
        <v>1.5655737065318948E-2</v>
      </c>
      <c r="W603">
        <v>6.1788517131499084E-2</v>
      </c>
      <c r="X603">
        <v>-1.5222665462517843E-2</v>
      </c>
      <c r="Y603">
        <v>2.5731471503588663E-2</v>
      </c>
    </row>
    <row r="604" spans="1:25" x14ac:dyDescent="0.25">
      <c r="A604" s="879"/>
      <c r="B604" s="1133">
        <v>354</v>
      </c>
      <c r="C604" s="883">
        <v>1.0083978728101555</v>
      </c>
      <c r="D604" s="883">
        <v>1.0074212475319355</v>
      </c>
      <c r="E604" s="883">
        <v>0.98093644109874378</v>
      </c>
      <c r="F604" s="883">
        <v>0.99917447251935854</v>
      </c>
      <c r="G604" s="883">
        <v>0.99480079656628884</v>
      </c>
      <c r="H604" s="883">
        <v>0.99976912340188406</v>
      </c>
      <c r="I604" s="883">
        <v>0.98369440126457142</v>
      </c>
      <c r="K604">
        <v>1.6042600454858658</v>
      </c>
      <c r="L604">
        <v>0</v>
      </c>
      <c r="M604">
        <v>6.4407134911137259E-3</v>
      </c>
      <c r="N604">
        <v>0.11673334596471115</v>
      </c>
      <c r="O604">
        <v>3.0515952300489577E-2</v>
      </c>
      <c r="P604">
        <v>1.800139543133604E-2</v>
      </c>
      <c r="Q604">
        <v>0</v>
      </c>
      <c r="R604">
        <v>6.4407134911137259E-3</v>
      </c>
      <c r="S604">
        <v>0.16446276185775402</v>
      </c>
      <c r="T604">
        <v>1.1853302613879411</v>
      </c>
      <c r="U604">
        <v>0</v>
      </c>
      <c r="V604">
        <v>1.580851083892057E-2</v>
      </c>
      <c r="W604">
        <v>6.20270786543725E-2</v>
      </c>
      <c r="X604">
        <v>-1.5140972701800044E-2</v>
      </c>
      <c r="Y604">
        <v>2.6521711752141047E-2</v>
      </c>
    </row>
    <row r="605" spans="1:25" x14ac:dyDescent="0.25">
      <c r="A605" s="879"/>
      <c r="B605" s="1133">
        <v>355</v>
      </c>
      <c r="C605" s="883">
        <v>1.0156906098078129</v>
      </c>
      <c r="D605" s="883">
        <v>0.98489470332809215</v>
      </c>
      <c r="E605" s="883">
        <v>1.0130051079686304</v>
      </c>
      <c r="F605" s="883">
        <v>0.98758751178449844</v>
      </c>
      <c r="G605" s="883">
        <v>0.99689297334080906</v>
      </c>
      <c r="H605" s="883">
        <v>1.0061318056825848</v>
      </c>
      <c r="I605" s="883">
        <v>0.97233735556267009</v>
      </c>
      <c r="K605">
        <v>1.5909595687928155</v>
      </c>
      <c r="L605">
        <v>0</v>
      </c>
      <c r="M605">
        <v>6.32090095239792E-3</v>
      </c>
      <c r="N605">
        <v>0.1201372080375902</v>
      </c>
      <c r="O605">
        <v>3.0545390224538203E-2</v>
      </c>
      <c r="P605">
        <v>1.8218140141995586E-2</v>
      </c>
      <c r="Q605">
        <v>0</v>
      </c>
      <c r="R605">
        <v>6.32090095239792E-3</v>
      </c>
      <c r="S605">
        <v>0.16200679025628101</v>
      </c>
      <c r="T605">
        <v>1.17099551492716</v>
      </c>
      <c r="U605">
        <v>0</v>
      </c>
      <c r="V605">
        <v>1.5769693725694686E-2</v>
      </c>
      <c r="W605">
        <v>6.2825878218634154E-2</v>
      </c>
      <c r="X605">
        <v>-1.556739178262613E-2</v>
      </c>
      <c r="Y605">
        <v>2.6028345043546255E-2</v>
      </c>
    </row>
    <row r="606" spans="1:25" x14ac:dyDescent="0.25">
      <c r="A606" s="879"/>
      <c r="B606" s="1133">
        <v>356</v>
      </c>
      <c r="C606" s="883">
        <v>1.0058674568019161</v>
      </c>
      <c r="D606" s="883">
        <v>1.0324738389230776</v>
      </c>
      <c r="E606" s="883">
        <v>0.9908267287394672</v>
      </c>
      <c r="F606" s="883">
        <v>1.0350251744222951</v>
      </c>
      <c r="G606" s="883">
        <v>0.9879295097395373</v>
      </c>
      <c r="H606" s="883">
        <v>0.99481929692780169</v>
      </c>
      <c r="I606" s="883">
        <v>0.99998466861016333</v>
      </c>
      <c r="K606">
        <v>1.6480248595270393</v>
      </c>
      <c r="L606">
        <v>0</v>
      </c>
      <c r="M606">
        <v>6.3004300465869158E-3</v>
      </c>
      <c r="N606">
        <v>0.11587805932272165</v>
      </c>
      <c r="O606">
        <v>3.0285738864414685E-2</v>
      </c>
      <c r="P606">
        <v>1.8735996457959331E-2</v>
      </c>
      <c r="Q606">
        <v>0</v>
      </c>
      <c r="R606">
        <v>6.3004300465869158E-3</v>
      </c>
      <c r="S606">
        <v>0.16709712648276931</v>
      </c>
      <c r="T606">
        <v>1.2276694096934035</v>
      </c>
      <c r="U606">
        <v>0</v>
      </c>
      <c r="V606">
        <v>1.5822111038733717E-2</v>
      </c>
      <c r="W606">
        <v>6.1269180530696903E-2</v>
      </c>
      <c r="X606">
        <v>-1.4676812360763059E-2</v>
      </c>
      <c r="Y606">
        <v>2.5944049497101943E-2</v>
      </c>
    </row>
    <row r="607" spans="1:25" x14ac:dyDescent="0.25">
      <c r="A607" s="879"/>
      <c r="B607" s="1133">
        <v>357</v>
      </c>
      <c r="C607" s="883">
        <v>1.028594048812729</v>
      </c>
      <c r="D607" s="883">
        <v>0.99372487475989835</v>
      </c>
      <c r="E607" s="883">
        <v>1.0432489850489803</v>
      </c>
      <c r="F607" s="883">
        <v>0.98900089146328996</v>
      </c>
      <c r="G607" s="883">
        <v>0.9625898158171563</v>
      </c>
      <c r="H607" s="883">
        <v>1.0379660813736542</v>
      </c>
      <c r="I607" s="883">
        <v>0.99382333734454997</v>
      </c>
      <c r="K607">
        <v>1.5995398675939123</v>
      </c>
      <c r="L607">
        <v>0</v>
      </c>
      <c r="M607">
        <v>6.2457664194524561E-3</v>
      </c>
      <c r="N607">
        <v>0.12413742299887859</v>
      </c>
      <c r="O607">
        <v>3.0027224176271811E-2</v>
      </c>
      <c r="P607">
        <v>1.8689488606782486E-2</v>
      </c>
      <c r="Q607">
        <v>0</v>
      </c>
      <c r="R607">
        <v>6.2457664194524561E-3</v>
      </c>
      <c r="S607">
        <v>0.16523908217426506</v>
      </c>
      <c r="T607">
        <v>1.1721191869491889</v>
      </c>
      <c r="U607">
        <v>0</v>
      </c>
      <c r="V607">
        <v>1.5702361019519509E-2</v>
      </c>
      <c r="W607">
        <v>6.3960972571853694E-2</v>
      </c>
      <c r="X607">
        <v>-1.6054825313173322E-2</v>
      </c>
      <c r="Y607">
        <v>2.5718954410325155E-2</v>
      </c>
    </row>
    <row r="608" spans="1:25" x14ac:dyDescent="0.25">
      <c r="A608" s="879"/>
      <c r="B608" s="1133">
        <v>358</v>
      </c>
      <c r="C608" s="883">
        <v>0.9953527227824247</v>
      </c>
      <c r="D608" s="883">
        <v>0.96327154565443218</v>
      </c>
      <c r="E608" s="883">
        <v>0.95197450962632546</v>
      </c>
      <c r="F608" s="883">
        <v>0.95771428854497531</v>
      </c>
      <c r="G608" s="883">
        <v>1.026746277873462</v>
      </c>
      <c r="H608" s="883">
        <v>1.0462191232679259</v>
      </c>
      <c r="I608" s="883">
        <v>1.0122438660838657</v>
      </c>
      <c r="K608">
        <v>1.5791378693226497</v>
      </c>
      <c r="L608">
        <v>0</v>
      </c>
      <c r="M608">
        <v>7.1440985813654816E-3</v>
      </c>
      <c r="N608">
        <v>0.1240303255851852</v>
      </c>
      <c r="O608">
        <v>3.1497301822286189E-2</v>
      </c>
      <c r="P608">
        <v>1.7104674035386257E-2</v>
      </c>
      <c r="Q608">
        <v>0</v>
      </c>
      <c r="R608">
        <v>7.1440985813654816E-3</v>
      </c>
      <c r="S608">
        <v>0.17468214077066913</v>
      </c>
      <c r="T608">
        <v>1.1366651977085707</v>
      </c>
      <c r="U608">
        <v>0</v>
      </c>
      <c r="V608">
        <v>1.5879365135273587E-2</v>
      </c>
      <c r="W608">
        <v>6.6872448381275054E-2</v>
      </c>
      <c r="X608">
        <v>-1.7011710471916873E-2</v>
      </c>
      <c r="Y608">
        <v>2.9418126355918887E-2</v>
      </c>
    </row>
    <row r="609" spans="1:25" x14ac:dyDescent="0.25">
      <c r="A609" s="879"/>
      <c r="B609" s="1133">
        <v>359</v>
      </c>
      <c r="C609" s="883">
        <v>0.98532196742025802</v>
      </c>
      <c r="D609" s="883">
        <v>1.0104798146680609</v>
      </c>
      <c r="E609" s="883">
        <v>0.97725049480947412</v>
      </c>
      <c r="F609" s="883">
        <v>1.0229709793765005</v>
      </c>
      <c r="G609" s="883">
        <v>1.0113233593715314</v>
      </c>
      <c r="H609" s="883">
        <v>0.97905699971368365</v>
      </c>
      <c r="I609" s="883">
        <v>1.0130580630145205</v>
      </c>
      <c r="K609">
        <v>1.6415831990823502</v>
      </c>
      <c r="L609">
        <v>0</v>
      </c>
      <c r="M609">
        <v>6.4670206949556724E-3</v>
      </c>
      <c r="N609">
        <v>0.11657085744600527</v>
      </c>
      <c r="O609">
        <v>3.1195721600700069E-2</v>
      </c>
      <c r="P609">
        <v>1.8424036271009851E-2</v>
      </c>
      <c r="Q609">
        <v>0</v>
      </c>
      <c r="R609">
        <v>6.4670206949556724E-3</v>
      </c>
      <c r="S609">
        <v>0.17207475594233584</v>
      </c>
      <c r="T609">
        <v>1.2136307076353174</v>
      </c>
      <c r="U609">
        <v>0</v>
      </c>
      <c r="V609">
        <v>1.5935122790932253E-2</v>
      </c>
      <c r="W609">
        <v>6.2055204457114842E-2</v>
      </c>
      <c r="X609">
        <v>-1.4933247196119893E-2</v>
      </c>
      <c r="Y609">
        <v>2.6630040135054454E-2</v>
      </c>
    </row>
    <row r="610" spans="1:25" x14ac:dyDescent="0.25">
      <c r="A610" s="879"/>
      <c r="B610" s="1133">
        <v>360</v>
      </c>
      <c r="C610" s="883">
        <v>1.0417136911739766</v>
      </c>
      <c r="D610" s="883">
        <v>0.99678703149573977</v>
      </c>
      <c r="E610" s="883">
        <v>1.0112969392731679</v>
      </c>
      <c r="F610" s="883">
        <v>0.9732502884906773</v>
      </c>
      <c r="G610" s="883">
        <v>1.0140677811199856</v>
      </c>
      <c r="H610" s="883">
        <v>1.0231098990109331</v>
      </c>
      <c r="I610" s="883">
        <v>1.0102013380189891</v>
      </c>
      <c r="K610">
        <v>1.5728969293452641</v>
      </c>
      <c r="L610">
        <v>0</v>
      </c>
      <c r="M610">
        <v>6.2428388260978695E-3</v>
      </c>
      <c r="N610">
        <v>0.11835391444475096</v>
      </c>
      <c r="O610">
        <v>2.9641149009646775E-2</v>
      </c>
      <c r="P610">
        <v>1.8003829886918093E-2</v>
      </c>
      <c r="Q610">
        <v>0</v>
      </c>
      <c r="R610">
        <v>6.2428388260978695E-3</v>
      </c>
      <c r="S610">
        <v>0.16494288875174101</v>
      </c>
      <c r="T610">
        <v>1.1540264891615033</v>
      </c>
      <c r="U610">
        <v>0</v>
      </c>
      <c r="V610">
        <v>1.5635610345090617E-2</v>
      </c>
      <c r="W610">
        <v>6.1945571261584502E-2</v>
      </c>
      <c r="X610">
        <v>-1.5359422617954106E-2</v>
      </c>
      <c r="Y610">
        <v>2.570689910198316E-2</v>
      </c>
    </row>
    <row r="611" spans="1:25" x14ac:dyDescent="0.25">
      <c r="A611" s="879"/>
      <c r="B611" s="1133">
        <v>361</v>
      </c>
      <c r="C611" s="883">
        <v>0.97478940939945913</v>
      </c>
      <c r="D611" s="883">
        <v>1.0162233137511523</v>
      </c>
      <c r="E611" s="883">
        <v>0.9768588443082018</v>
      </c>
      <c r="F611" s="883">
        <v>0.99591905299650063</v>
      </c>
      <c r="G611" s="883">
        <v>1.0023918678447274</v>
      </c>
      <c r="H611" s="883">
        <v>0.97981560653640676</v>
      </c>
      <c r="I611" s="883">
        <v>0.96468480693068903</v>
      </c>
      <c r="K611">
        <v>1.6043207840341951</v>
      </c>
      <c r="L611">
        <v>0</v>
      </c>
      <c r="M611">
        <v>6.5276836687847952E-3</v>
      </c>
      <c r="N611">
        <v>0.11759596598839044</v>
      </c>
      <c r="O611">
        <v>3.1461694683842641E-2</v>
      </c>
      <c r="P611">
        <v>1.7912736761281911E-2</v>
      </c>
      <c r="Q611">
        <v>0</v>
      </c>
      <c r="R611">
        <v>6.5276836687847952E-3</v>
      </c>
      <c r="S611">
        <v>0.1656189213934974</v>
      </c>
      <c r="T611">
        <v>1.1815441738642412</v>
      </c>
      <c r="U611">
        <v>0</v>
      </c>
      <c r="V611">
        <v>1.599490485886285E-2</v>
      </c>
      <c r="W611">
        <v>6.2613201873520027E-2</v>
      </c>
      <c r="X611">
        <v>-1.5300654853119091E-2</v>
      </c>
      <c r="Y611">
        <v>2.6879839463675954E-2</v>
      </c>
    </row>
    <row r="612" spans="1:25" x14ac:dyDescent="0.25">
      <c r="A612" s="879"/>
      <c r="B612" s="1133">
        <v>362</v>
      </c>
      <c r="C612" s="883">
        <v>0.97762227575845884</v>
      </c>
      <c r="D612" s="883">
        <v>1.0331923235485316</v>
      </c>
      <c r="E612" s="883">
        <v>1.0334558216574787</v>
      </c>
      <c r="F612" s="883">
        <v>1.0354457530047727</v>
      </c>
      <c r="G612" s="883">
        <v>0.96286947613384444</v>
      </c>
      <c r="H612" s="883">
        <v>0.99633743768999561</v>
      </c>
      <c r="I612" s="883">
        <v>1.0000165243541173</v>
      </c>
      <c r="K612">
        <v>1.6621094359749344</v>
      </c>
      <c r="L612">
        <v>0</v>
      </c>
      <c r="M612">
        <v>6.2527857673206379E-3</v>
      </c>
      <c r="N612">
        <v>0.12249192842058103</v>
      </c>
      <c r="O612">
        <v>3.1113928019147526E-2</v>
      </c>
      <c r="P612">
        <v>1.9410538698767094E-2</v>
      </c>
      <c r="Q612">
        <v>0</v>
      </c>
      <c r="R612">
        <v>6.2527857673206379E-3</v>
      </c>
      <c r="S612">
        <v>0.17205913288903041</v>
      </c>
      <c r="T612">
        <v>1.2273502779370216</v>
      </c>
      <c r="U612">
        <v>0</v>
      </c>
      <c r="V612">
        <v>1.597869906772996E-2</v>
      </c>
      <c r="W612">
        <v>6.3416055696318155E-2</v>
      </c>
      <c r="X612">
        <v>-1.5458983589110933E-2</v>
      </c>
      <c r="Y612">
        <v>2.5747858835448986E-2</v>
      </c>
    </row>
    <row r="613" spans="1:25" x14ac:dyDescent="0.25">
      <c r="A613" s="879"/>
      <c r="B613" s="1133">
        <v>363</v>
      </c>
      <c r="C613" s="883">
        <v>0.97313102072864666</v>
      </c>
      <c r="D613" s="883">
        <v>1.0355887043992775</v>
      </c>
      <c r="E613" s="883">
        <v>0.97321386182003555</v>
      </c>
      <c r="F613" s="883">
        <v>1.021554518922668</v>
      </c>
      <c r="G613" s="883">
        <v>1.0083029378547799</v>
      </c>
      <c r="H613" s="883">
        <v>0.99441918363156612</v>
      </c>
      <c r="I613" s="883">
        <v>0.99358905430855948</v>
      </c>
      <c r="K613">
        <v>1.6424370460343567</v>
      </c>
      <c r="L613">
        <v>0</v>
      </c>
      <c r="M613">
        <v>6.6016332241640276E-3</v>
      </c>
      <c r="N613">
        <v>0.11828650283606576</v>
      </c>
      <c r="O613">
        <v>3.1281115022970811E-2</v>
      </c>
      <c r="P613">
        <v>1.8339424424240369E-2</v>
      </c>
      <c r="Q613">
        <v>0</v>
      </c>
      <c r="R613">
        <v>6.6016332241640276E-3</v>
      </c>
      <c r="S613">
        <v>0.17154222920991949</v>
      </c>
      <c r="T613">
        <v>1.2120273337408052</v>
      </c>
      <c r="U613">
        <v>0</v>
      </c>
      <c r="V613">
        <v>1.6004435678351588E-2</v>
      </c>
      <c r="W613">
        <v>6.309615764053135E-2</v>
      </c>
      <c r="X613">
        <v>-1.532450308872458E-2</v>
      </c>
      <c r="Y613">
        <v>2.7184350570197451E-2</v>
      </c>
    </row>
    <row r="614" spans="1:25" x14ac:dyDescent="0.25">
      <c r="A614" s="879"/>
      <c r="B614" s="1133">
        <v>364</v>
      </c>
      <c r="C614" s="883">
        <v>1.016832748212086</v>
      </c>
      <c r="D614" s="883">
        <v>1.0147112549615276</v>
      </c>
      <c r="E614" s="883">
        <v>1.0104313960104185</v>
      </c>
      <c r="F614" s="883">
        <v>1.015664199378242</v>
      </c>
      <c r="G614" s="883">
        <v>0.98355796861741973</v>
      </c>
      <c r="H614" s="883">
        <v>0.99704407982712073</v>
      </c>
      <c r="I614" s="883">
        <v>0.98536666041806165</v>
      </c>
      <c r="K614">
        <v>1.6212118022637241</v>
      </c>
      <c r="L614">
        <v>0</v>
      </c>
      <c r="M614">
        <v>6.1880032846004657E-3</v>
      </c>
      <c r="N614">
        <v>0.11716410979807443</v>
      </c>
      <c r="O614">
        <v>3.0151477386231879E-2</v>
      </c>
      <c r="P614">
        <v>1.8648171056556612E-2</v>
      </c>
      <c r="Q614">
        <v>0</v>
      </c>
      <c r="R614">
        <v>6.1880032846004657E-3</v>
      </c>
      <c r="S614">
        <v>0.16318478396895289</v>
      </c>
      <c r="T614">
        <v>1.2043348606476387</v>
      </c>
      <c r="U614">
        <v>0</v>
      </c>
      <c r="V614">
        <v>1.5763664884923104E-2</v>
      </c>
      <c r="W614">
        <v>6.1349085229578354E-2</v>
      </c>
      <c r="X614">
        <v>-1.4865446810691147E-2</v>
      </c>
      <c r="Y614">
        <v>2.5481096102459386E-2</v>
      </c>
    </row>
    <row r="615" spans="1:25" x14ac:dyDescent="0.25">
      <c r="A615" s="879"/>
      <c r="B615" s="1133">
        <v>365</v>
      </c>
      <c r="C615" s="883">
        <v>1.0103992286927421</v>
      </c>
      <c r="D615" s="883">
        <v>0.98146237625024146</v>
      </c>
      <c r="E615" s="883">
        <v>0.98317861780737503</v>
      </c>
      <c r="F615" s="883">
        <v>0.98791000611100743</v>
      </c>
      <c r="G615" s="883">
        <v>1.0221796851246154</v>
      </c>
      <c r="H615" s="883">
        <v>0.98810728144867388</v>
      </c>
      <c r="I615" s="883">
        <v>1.0192039506972521</v>
      </c>
      <c r="K615">
        <v>1.5959286182545398</v>
      </c>
      <c r="L615">
        <v>0</v>
      </c>
      <c r="M615">
        <v>6.4148557043224473E-3</v>
      </c>
      <c r="N615">
        <v>0.11665205127598914</v>
      </c>
      <c r="O615">
        <v>3.0773410707022761E-2</v>
      </c>
      <c r="P615">
        <v>1.7923973769210077E-2</v>
      </c>
      <c r="Q615">
        <v>0</v>
      </c>
      <c r="R615">
        <v>6.4148557043224473E-3</v>
      </c>
      <c r="S615">
        <v>0.16964703056298888</v>
      </c>
      <c r="T615">
        <v>1.171925775643498</v>
      </c>
      <c r="U615">
        <v>0</v>
      </c>
      <c r="V615">
        <v>1.5797802417942843E-2</v>
      </c>
      <c r="W615">
        <v>6.191439157389738E-2</v>
      </c>
      <c r="X615">
        <v>-1.5121051684658647E-2</v>
      </c>
      <c r="Y615">
        <v>2.6415233988649041E-2</v>
      </c>
    </row>
    <row r="616" spans="1:25" x14ac:dyDescent="0.25">
      <c r="A616" s="879"/>
      <c r="B616" s="1133">
        <v>366</v>
      </c>
      <c r="C616" s="883">
        <v>1.0035041132589317</v>
      </c>
      <c r="D616" s="883">
        <v>1.0425951936973368</v>
      </c>
      <c r="E616" s="883">
        <v>0.99864963595974499</v>
      </c>
      <c r="F616" s="883">
        <v>0.96924866809697252</v>
      </c>
      <c r="G616" s="883">
        <v>1.033868803169862</v>
      </c>
      <c r="H616" s="883">
        <v>0.99639407504874911</v>
      </c>
      <c r="I616" s="883">
        <v>0.96596633927532483</v>
      </c>
      <c r="K616">
        <v>1.5634604381669426</v>
      </c>
      <c r="L616">
        <v>0</v>
      </c>
      <c r="M616">
        <v>6.2549921221713876E-3</v>
      </c>
      <c r="N616">
        <v>0.11638392552956016</v>
      </c>
      <c r="O616">
        <v>3.0232430342773869E-2</v>
      </c>
      <c r="P616">
        <v>1.773308871690216E-2</v>
      </c>
      <c r="Q616">
        <v>0</v>
      </c>
      <c r="R616">
        <v>6.2549921221713876E-3</v>
      </c>
      <c r="S616">
        <v>0.16179937206894357</v>
      </c>
      <c r="T616">
        <v>1.149509145603409</v>
      </c>
      <c r="U616">
        <v>0</v>
      </c>
      <c r="V616">
        <v>1.5834875220591259E-2</v>
      </c>
      <c r="W616">
        <v>6.1297525275946882E-2</v>
      </c>
      <c r="X616">
        <v>-1.5086868803191742E-2</v>
      </c>
      <c r="Y616">
        <v>2.5756944212007842E-2</v>
      </c>
    </row>
    <row r="617" spans="1:25" x14ac:dyDescent="0.25">
      <c r="A617" s="879"/>
      <c r="B617" s="1133">
        <v>367</v>
      </c>
      <c r="C617" s="883">
        <v>0.97847546553046705</v>
      </c>
      <c r="D617" s="883">
        <v>1.0162364396950543</v>
      </c>
      <c r="E617" s="883">
        <v>1.0123566470701049</v>
      </c>
      <c r="F617" s="883">
        <v>0.99843615015058929</v>
      </c>
      <c r="G617" s="883">
        <v>0.99208887773022292</v>
      </c>
      <c r="H617" s="883">
        <v>0.99408058978565095</v>
      </c>
      <c r="I617" s="883">
        <v>1.0127062101941326</v>
      </c>
      <c r="K617">
        <v>1.6194692536255049</v>
      </c>
      <c r="L617">
        <v>0</v>
      </c>
      <c r="M617">
        <v>6.3963960945071742E-3</v>
      </c>
      <c r="N617">
        <v>0.12145546791919697</v>
      </c>
      <c r="O617">
        <v>3.1312899839043042E-2</v>
      </c>
      <c r="P617">
        <v>1.8549331040660377E-2</v>
      </c>
      <c r="Q617">
        <v>0</v>
      </c>
      <c r="R617">
        <v>6.3963960945071742E-3</v>
      </c>
      <c r="S617">
        <v>0.17409728165983024</v>
      </c>
      <c r="T617">
        <v>1.1838708851026729</v>
      </c>
      <c r="U617">
        <v>0</v>
      </c>
      <c r="V617">
        <v>1.597383666807118E-2</v>
      </c>
      <c r="W617">
        <v>6.3535616110008797E-2</v>
      </c>
      <c r="X617">
        <v>-1.5665285315096686E-2</v>
      </c>
      <c r="Y617">
        <v>2.6339220601117805E-2</v>
      </c>
    </row>
    <row r="618" spans="1:25" x14ac:dyDescent="0.25">
      <c r="A618" s="879"/>
      <c r="B618" s="1133">
        <v>368</v>
      </c>
      <c r="C618" s="883">
        <v>0.96399011767588716</v>
      </c>
      <c r="D618" s="883">
        <v>0.98421637386164873</v>
      </c>
      <c r="E618" s="883">
        <v>1.0237996627043757</v>
      </c>
      <c r="F618" s="883">
        <v>0.97754474044381234</v>
      </c>
      <c r="G618" s="883">
        <v>1.0078346290350428</v>
      </c>
      <c r="H618" s="883">
        <v>0.9791672731912805</v>
      </c>
      <c r="I618" s="883">
        <v>0.99958028964783152</v>
      </c>
      <c r="K618">
        <v>1.5982489783260165</v>
      </c>
      <c r="L618">
        <v>0</v>
      </c>
      <c r="M618">
        <v>6.4224389250108717E-3</v>
      </c>
      <c r="N618">
        <v>0.12403215429267354</v>
      </c>
      <c r="O618">
        <v>3.2182270230468338E-2</v>
      </c>
      <c r="P618">
        <v>1.8366278993362132E-2</v>
      </c>
      <c r="Q618">
        <v>0</v>
      </c>
      <c r="R618">
        <v>6.4224389250108717E-3</v>
      </c>
      <c r="S618">
        <v>0.17386488065808947</v>
      </c>
      <c r="T618">
        <v>1.1588924097863882</v>
      </c>
      <c r="U618">
        <v>0</v>
      </c>
      <c r="V618">
        <v>1.6057557290328425E-2</v>
      </c>
      <c r="W618">
        <v>6.4518539312698117E-2</v>
      </c>
      <c r="X618">
        <v>-1.6111572579673432E-2</v>
      </c>
      <c r="Y618">
        <v>2.6446460341680994E-2</v>
      </c>
    </row>
    <row r="619" spans="1:25" x14ac:dyDescent="0.25">
      <c r="A619" s="879"/>
      <c r="B619" s="1133">
        <v>369</v>
      </c>
      <c r="C619" s="883">
        <v>0.99442472246951441</v>
      </c>
      <c r="D619" s="883">
        <v>0.96227617227840156</v>
      </c>
      <c r="E619" s="883">
        <v>1.0101311559744566</v>
      </c>
      <c r="F619" s="883">
        <v>0.9828327821179651</v>
      </c>
      <c r="G619" s="883">
        <v>1.0091978895985523</v>
      </c>
      <c r="H619" s="883">
        <v>0.99007255432498342</v>
      </c>
      <c r="I619" s="883">
        <v>0.99074972676980821</v>
      </c>
      <c r="K619">
        <v>1.5950994402690215</v>
      </c>
      <c r="L619">
        <v>0</v>
      </c>
      <c r="M619">
        <v>6.4354642367153801E-3</v>
      </c>
      <c r="N619">
        <v>0.12179540827606224</v>
      </c>
      <c r="O619">
        <v>3.1492493750573398E-2</v>
      </c>
      <c r="P619">
        <v>1.8184868548951273E-2</v>
      </c>
      <c r="Q619">
        <v>0</v>
      </c>
      <c r="R619">
        <v>6.4354642367153801E-3</v>
      </c>
      <c r="S619">
        <v>0.16790855276409009</v>
      </c>
      <c r="T619">
        <v>1.1654101217845232</v>
      </c>
      <c r="U619">
        <v>0</v>
      </c>
      <c r="V619">
        <v>1.5884476363130003E-2</v>
      </c>
      <c r="W619">
        <v>6.3783580645768181E-2</v>
      </c>
      <c r="X619">
        <v>-1.5860158120938071E-2</v>
      </c>
      <c r="Y619">
        <v>2.6500096256861113E-2</v>
      </c>
    </row>
    <row r="620" spans="1:25" x14ac:dyDescent="0.25">
      <c r="A620" s="879"/>
      <c r="B620" s="1133">
        <v>370</v>
      </c>
      <c r="C620" s="883">
        <v>0.96669301001615338</v>
      </c>
      <c r="D620" s="883">
        <v>0.99200492352555836</v>
      </c>
      <c r="E620" s="883">
        <v>0.95698149689132439</v>
      </c>
      <c r="F620" s="883">
        <v>1.0064026853715662</v>
      </c>
      <c r="G620" s="883">
        <v>1.0095824954210122</v>
      </c>
      <c r="H620" s="883">
        <v>1.0214661024603426</v>
      </c>
      <c r="I620" s="883">
        <v>0.98133343561671171</v>
      </c>
      <c r="K620">
        <v>1.6352343837751211</v>
      </c>
      <c r="L620">
        <v>0</v>
      </c>
      <c r="M620">
        <v>7.05742008283045E-3</v>
      </c>
      <c r="N620">
        <v>0.12344082209141771</v>
      </c>
      <c r="O620">
        <v>3.2048319519753503E-2</v>
      </c>
      <c r="P620">
        <v>1.7893254782557034E-2</v>
      </c>
      <c r="Q620">
        <v>0</v>
      </c>
      <c r="R620">
        <v>7.05742008283045E-3</v>
      </c>
      <c r="S620">
        <v>0.17256050656884367</v>
      </c>
      <c r="T620">
        <v>1.1943564757761467</v>
      </c>
      <c r="U620">
        <v>0</v>
      </c>
      <c r="V620">
        <v>1.6041745041919263E-2</v>
      </c>
      <c r="W620">
        <v>6.6386217600010372E-2</v>
      </c>
      <c r="X620">
        <v>-1.6554157332677739E-2</v>
      </c>
      <c r="Y620">
        <v>2.9061199727149233E-2</v>
      </c>
    </row>
    <row r="621" spans="1:25" x14ac:dyDescent="0.25">
      <c r="A621" s="879"/>
      <c r="B621" s="1133">
        <v>371</v>
      </c>
      <c r="C621" s="883">
        <v>0.98916806531412349</v>
      </c>
      <c r="D621" s="883">
        <v>0.98972493038786247</v>
      </c>
      <c r="E621" s="883">
        <v>1.0037575348998404</v>
      </c>
      <c r="F621" s="883">
        <v>1.0070649150172926</v>
      </c>
      <c r="G621" s="883">
        <v>0.98160621906719814</v>
      </c>
      <c r="H621" s="883">
        <v>0.9799709624427837</v>
      </c>
      <c r="I621" s="883">
        <v>0.97869676895551316</v>
      </c>
      <c r="K621">
        <v>1.6185522404188781</v>
      </c>
      <c r="L621">
        <v>0</v>
      </c>
      <c r="M621">
        <v>6.3590442734486989E-3</v>
      </c>
      <c r="N621">
        <v>0.11921865239785009</v>
      </c>
      <c r="O621">
        <v>3.1311304781954E-2</v>
      </c>
      <c r="P621">
        <v>1.8457700397470869E-2</v>
      </c>
      <c r="Q621">
        <v>0</v>
      </c>
      <c r="R621">
        <v>6.3590442734486989E-3</v>
      </c>
      <c r="S621">
        <v>0.16587001824115177</v>
      </c>
      <c r="T621">
        <v>1.1942628678728469</v>
      </c>
      <c r="U621">
        <v>0</v>
      </c>
      <c r="V621">
        <v>1.5913609932331645E-2</v>
      </c>
      <c r="W621">
        <v>6.2631525663078239E-2</v>
      </c>
      <c r="X621">
        <v>-1.5298851318180252E-2</v>
      </c>
      <c r="Y621">
        <v>2.6185412450375305E-2</v>
      </c>
    </row>
    <row r="622" spans="1:25" x14ac:dyDescent="0.25">
      <c r="A622" s="879"/>
      <c r="B622" s="1133">
        <v>372</v>
      </c>
      <c r="C622" s="883">
        <v>1.0248542633958522</v>
      </c>
      <c r="D622" s="883">
        <v>0.99421917918654457</v>
      </c>
      <c r="E622" s="883">
        <v>0.9911533864787091</v>
      </c>
      <c r="F622" s="883">
        <v>0.96826463272044283</v>
      </c>
      <c r="G622" s="883">
        <v>0.99944718304268354</v>
      </c>
      <c r="H622" s="883">
        <v>1.0419885400777229</v>
      </c>
      <c r="I622" s="883">
        <v>1.0092099537900527</v>
      </c>
      <c r="K622">
        <v>1.5768979086687243</v>
      </c>
      <c r="L622">
        <v>0</v>
      </c>
      <c r="M622">
        <v>6.5849428090376857E-3</v>
      </c>
      <c r="N622">
        <v>0.12116950629328174</v>
      </c>
      <c r="O622">
        <v>3.0176704312722413E-2</v>
      </c>
      <c r="P622">
        <v>1.7707183944776727E-2</v>
      </c>
      <c r="Q622">
        <v>0</v>
      </c>
      <c r="R622">
        <v>6.5849428090376857E-3</v>
      </c>
      <c r="S622">
        <v>0.16857837343232374</v>
      </c>
      <c r="T622">
        <v>1.1484771600785391</v>
      </c>
      <c r="U622">
        <v>0</v>
      </c>
      <c r="V622">
        <v>1.5721701470884156E-2</v>
      </c>
      <c r="W622">
        <v>6.4056540748408844E-2</v>
      </c>
      <c r="X622">
        <v>-1.6104884023703504E-2</v>
      </c>
      <c r="Y622">
        <v>2.7115622411490323E-2</v>
      </c>
    </row>
    <row r="623" spans="1:25" x14ac:dyDescent="0.25">
      <c r="A623" s="879"/>
      <c r="B623" s="1133">
        <v>373</v>
      </c>
      <c r="C623" s="883">
        <v>1.0376942232160484</v>
      </c>
      <c r="D623" s="883">
        <v>0.99590221558222025</v>
      </c>
      <c r="E623" s="883">
        <v>0.98976538251778967</v>
      </c>
      <c r="F623" s="883">
        <v>1.0138502215056728</v>
      </c>
      <c r="G623" s="883">
        <v>0.99536149804786211</v>
      </c>
      <c r="H623" s="883">
        <v>0.98888659937046364</v>
      </c>
      <c r="I623" s="883">
        <v>0.96656669304506315</v>
      </c>
      <c r="K623">
        <v>1.6072393715092665</v>
      </c>
      <c r="L623">
        <v>0</v>
      </c>
      <c r="M623">
        <v>6.1748522712785628E-3</v>
      </c>
      <c r="N623">
        <v>0.11338986299934109</v>
      </c>
      <c r="O623">
        <v>2.9784257641398259E-2</v>
      </c>
      <c r="P623">
        <v>1.82456017872028E-2</v>
      </c>
      <c r="Q623">
        <v>0</v>
      </c>
      <c r="R623">
        <v>6.1748522712785628E-3</v>
      </c>
      <c r="S623">
        <v>0.15656544259020533</v>
      </c>
      <c r="T623">
        <v>1.2025733093682114</v>
      </c>
      <c r="U623">
        <v>0</v>
      </c>
      <c r="V623">
        <v>1.565588142290553E-2</v>
      </c>
      <c r="W623">
        <v>5.998531108111646E-2</v>
      </c>
      <c r="X623">
        <v>-1.4387237951506657E-2</v>
      </c>
      <c r="Y623">
        <v>2.5426942570392904E-2</v>
      </c>
    </row>
    <row r="624" spans="1:25" x14ac:dyDescent="0.25">
      <c r="A624" s="879"/>
      <c r="B624" s="1133">
        <v>374</v>
      </c>
      <c r="C624" s="883">
        <v>1.0059637348637596</v>
      </c>
      <c r="D624" s="883">
        <v>1.0254441474491878</v>
      </c>
      <c r="E624" s="883">
        <v>0.97847498704573077</v>
      </c>
      <c r="F624" s="883">
        <v>0.98783608330554351</v>
      </c>
      <c r="G624" s="883">
        <v>0.96690896681053862</v>
      </c>
      <c r="H624" s="883">
        <v>0.98618675714777293</v>
      </c>
      <c r="I624" s="883">
        <v>0.99616688888135319</v>
      </c>
      <c r="K624">
        <v>1.5884421280600838</v>
      </c>
      <c r="L624">
        <v>0</v>
      </c>
      <c r="M624">
        <v>6.3320313424485219E-3</v>
      </c>
      <c r="N624">
        <v>0.11434519711870152</v>
      </c>
      <c r="O624">
        <v>3.0375509904919013E-2</v>
      </c>
      <c r="P624">
        <v>1.7811396920702872E-2</v>
      </c>
      <c r="Q624">
        <v>0</v>
      </c>
      <c r="R624">
        <v>6.3320313424485219E-3</v>
      </c>
      <c r="S624">
        <v>0.16600440989152637</v>
      </c>
      <c r="T624">
        <v>1.1719248271782958</v>
      </c>
      <c r="U624">
        <v>0</v>
      </c>
      <c r="V624">
        <v>1.5821592321952946E-2</v>
      </c>
      <c r="W624">
        <v>6.0833057098547756E-2</v>
      </c>
      <c r="X624">
        <v>-1.4748040383201853E-2</v>
      </c>
      <c r="Y624">
        <v>2.6074178008639062E-2</v>
      </c>
    </row>
    <row r="625" spans="1:25" x14ac:dyDescent="0.25">
      <c r="A625" s="879"/>
      <c r="B625" s="1133">
        <v>375</v>
      </c>
      <c r="C625" s="883">
        <v>1.0016483091932862</v>
      </c>
      <c r="D625" s="883">
        <v>1.0283021877202194</v>
      </c>
      <c r="E625" s="883">
        <v>1.0208783540266402</v>
      </c>
      <c r="F625" s="883">
        <v>0.97416029732744458</v>
      </c>
      <c r="G625" s="883">
        <v>1.0294897515308317</v>
      </c>
      <c r="H625" s="883">
        <v>1.0389161904786006</v>
      </c>
      <c r="I625" s="883">
        <v>1.0407518813559529</v>
      </c>
      <c r="K625">
        <v>1.5957267287158021</v>
      </c>
      <c r="L625">
        <v>0</v>
      </c>
      <c r="M625">
        <v>6.4477261755404823E-3</v>
      </c>
      <c r="N625">
        <v>0.12398365260109194</v>
      </c>
      <c r="O625">
        <v>3.0436843105475044E-2</v>
      </c>
      <c r="P625">
        <v>1.831705128616095E-2</v>
      </c>
      <c r="Q625">
        <v>0</v>
      </c>
      <c r="R625">
        <v>6.4477261755404823E-3</v>
      </c>
      <c r="S625">
        <v>0.17733910677359091</v>
      </c>
      <c r="T625">
        <v>1.1549327170586476</v>
      </c>
      <c r="U625">
        <v>0</v>
      </c>
      <c r="V625">
        <v>1.5844940451523591E-2</v>
      </c>
      <c r="W625">
        <v>6.4586094956395709E-2</v>
      </c>
      <c r="X625">
        <v>-1.6264266255483491E-2</v>
      </c>
      <c r="Y625">
        <v>2.6550588738399127E-2</v>
      </c>
    </row>
    <row r="626" spans="1:25" x14ac:dyDescent="0.25">
      <c r="A626" s="879"/>
      <c r="B626" s="1133">
        <v>376</v>
      </c>
      <c r="C626" s="883">
        <v>0.98993142273276791</v>
      </c>
      <c r="D626" s="883">
        <v>1.0260603162592503</v>
      </c>
      <c r="E626" s="883">
        <v>1.027620488912778</v>
      </c>
      <c r="F626" s="883">
        <v>0.99981416802206835</v>
      </c>
      <c r="G626" s="883">
        <v>0.97053933176657958</v>
      </c>
      <c r="H626" s="883">
        <v>0.9825148603809134</v>
      </c>
      <c r="I626" s="883">
        <v>0.99133136582658765</v>
      </c>
      <c r="K626">
        <v>1.6096658675424051</v>
      </c>
      <c r="L626">
        <v>0</v>
      </c>
      <c r="M626">
        <v>6.139498891381324E-3</v>
      </c>
      <c r="N626">
        <v>0.11923969955258903</v>
      </c>
      <c r="O626">
        <v>3.0817782390546021E-2</v>
      </c>
      <c r="P626">
        <v>1.8691594504649731E-2</v>
      </c>
      <c r="Q626">
        <v>0</v>
      </c>
      <c r="R626">
        <v>6.139498891381324E-3</v>
      </c>
      <c r="S626">
        <v>0.16771021670097735</v>
      </c>
      <c r="T626">
        <v>1.1852225506518757</v>
      </c>
      <c r="U626">
        <v>0</v>
      </c>
      <c r="V626">
        <v>1.5909360031711259E-2</v>
      </c>
      <c r="W626">
        <v>6.1909261663277822E-2</v>
      </c>
      <c r="X626">
        <v>-1.5115961597864314E-2</v>
      </c>
      <c r="Y626">
        <v>2.5281363644643121E-2</v>
      </c>
    </row>
    <row r="627" spans="1:25" x14ac:dyDescent="0.25">
      <c r="A627" s="879"/>
      <c r="B627" s="1133">
        <v>377</v>
      </c>
      <c r="C627" s="883">
        <v>1.0301465450429812</v>
      </c>
      <c r="D627" s="883">
        <v>1.0067306537897469</v>
      </c>
      <c r="E627" s="883">
        <v>1.0007493799879887</v>
      </c>
      <c r="F627" s="883">
        <v>0.95551821375098667</v>
      </c>
      <c r="G627" s="883">
        <v>1.0133573636311766</v>
      </c>
      <c r="H627" s="883">
        <v>1.0179206290254728</v>
      </c>
      <c r="I627" s="883">
        <v>1.0068927920261588</v>
      </c>
      <c r="K627">
        <v>1.5525059747321619</v>
      </c>
      <c r="L627">
        <v>0</v>
      </c>
      <c r="M627">
        <v>6.3110943115523939E-3</v>
      </c>
      <c r="N627">
        <v>0.11779365792158514</v>
      </c>
      <c r="O627">
        <v>2.9864074004973779E-2</v>
      </c>
      <c r="P627">
        <v>1.7595248306748402E-2</v>
      </c>
      <c r="Q627">
        <v>0</v>
      </c>
      <c r="R627">
        <v>6.3110943115523939E-3</v>
      </c>
      <c r="S627">
        <v>0.16584025270647773</v>
      </c>
      <c r="T627">
        <v>1.1331878158533091</v>
      </c>
      <c r="U627">
        <v>0</v>
      </c>
      <c r="V627">
        <v>1.5694373469740872E-2</v>
      </c>
      <c r="W627">
        <v>6.1975338679030767E-2</v>
      </c>
      <c r="X627">
        <v>-1.5432749251765123E-2</v>
      </c>
      <c r="Y627">
        <v>2.5987963042061381E-2</v>
      </c>
    </row>
    <row r="628" spans="1:25" x14ac:dyDescent="0.25">
      <c r="A628" s="879"/>
      <c r="B628" s="1133">
        <v>378</v>
      </c>
      <c r="C628" s="883">
        <v>0.98025355111224899</v>
      </c>
      <c r="D628" s="883">
        <v>0.96463547928843152</v>
      </c>
      <c r="E628" s="883">
        <v>1.0144840697877768</v>
      </c>
      <c r="F628" s="883">
        <v>0.96967108735061258</v>
      </c>
      <c r="G628" s="883">
        <v>0.99214820631885536</v>
      </c>
      <c r="H628" s="883">
        <v>1.0405494914056861</v>
      </c>
      <c r="I628" s="883">
        <v>0.97636574677460486</v>
      </c>
      <c r="K628">
        <v>1.5951138785694214</v>
      </c>
      <c r="L628">
        <v>0</v>
      </c>
      <c r="M628">
        <v>6.8277887038619822E-3</v>
      </c>
      <c r="N628">
        <v>0.13005564809527551</v>
      </c>
      <c r="O628">
        <v>3.1912495356507489E-2</v>
      </c>
      <c r="P628">
        <v>1.8072560396538716E-2</v>
      </c>
      <c r="Q628">
        <v>0</v>
      </c>
      <c r="R628">
        <v>6.8277887038619822E-3</v>
      </c>
      <c r="S628">
        <v>0.170804179282492</v>
      </c>
      <c r="T628">
        <v>1.1497252081167508</v>
      </c>
      <c r="U628">
        <v>0</v>
      </c>
      <c r="V628">
        <v>1.5963730411107088E-2</v>
      </c>
      <c r="W628">
        <v>6.7963079101699617E-2</v>
      </c>
      <c r="X628">
        <v>-1.7498640772368901E-2</v>
      </c>
      <c r="Y628">
        <v>2.8115618581418859E-2</v>
      </c>
    </row>
    <row r="629" spans="1:25" x14ac:dyDescent="0.25">
      <c r="A629" s="879"/>
      <c r="B629" s="1133">
        <v>379</v>
      </c>
      <c r="C629" s="883">
        <v>0.98078520411521164</v>
      </c>
      <c r="D629" s="883">
        <v>0.97353609514298567</v>
      </c>
      <c r="E629" s="883">
        <v>0.99551358417554148</v>
      </c>
      <c r="F629" s="883">
        <v>0.99383582867062159</v>
      </c>
      <c r="G629" s="883">
        <v>0.96718558546221889</v>
      </c>
      <c r="H629" s="883">
        <v>0.99881925715821862</v>
      </c>
      <c r="I629" s="883">
        <v>1.0014182963773481</v>
      </c>
      <c r="K629">
        <v>1.6159952033251215</v>
      </c>
      <c r="L629">
        <v>0</v>
      </c>
      <c r="M629">
        <v>6.6326545766268391E-3</v>
      </c>
      <c r="N629">
        <v>0.12283876599794546</v>
      </c>
      <c r="O629">
        <v>3.1795159269247773E-2</v>
      </c>
      <c r="P629">
        <v>1.8224284047430213E-2</v>
      </c>
      <c r="Q629">
        <v>0</v>
      </c>
      <c r="R629">
        <v>6.6326545766268391E-3</v>
      </c>
      <c r="S629">
        <v>0.17245987974211358</v>
      </c>
      <c r="T629">
        <v>1.1787269812896404</v>
      </c>
      <c r="U629">
        <v>0</v>
      </c>
      <c r="V629">
        <v>1.5960715725812962E-2</v>
      </c>
      <c r="W629">
        <v>6.4798147831865688E-2</v>
      </c>
      <c r="X629">
        <v>-1.6120821556978832E-2</v>
      </c>
      <c r="Y629">
        <v>2.7312090978044413E-2</v>
      </c>
    </row>
    <row r="630" spans="1:25" x14ac:dyDescent="0.25">
      <c r="A630" s="879"/>
      <c r="B630" s="1133">
        <v>380</v>
      </c>
      <c r="C630" s="883">
        <v>0.98326429754529632</v>
      </c>
      <c r="D630" s="883">
        <v>0.9744829020396889</v>
      </c>
      <c r="E630" s="883">
        <v>1.0136122878336244</v>
      </c>
      <c r="F630" s="883">
        <v>0.99577141011622639</v>
      </c>
      <c r="G630" s="883">
        <v>0.99265588565871477</v>
      </c>
      <c r="H630" s="883">
        <v>1.0053517353780095</v>
      </c>
      <c r="I630" s="883">
        <v>1.0188091790222089</v>
      </c>
      <c r="K630">
        <v>1.6227881768380965</v>
      </c>
      <c r="L630">
        <v>0</v>
      </c>
      <c r="M630">
        <v>6.5518474779880957E-3</v>
      </c>
      <c r="N630">
        <v>0.12463861169707306</v>
      </c>
      <c r="O630">
        <v>3.1686587519963935E-2</v>
      </c>
      <c r="P630">
        <v>1.8541313291430033E-2</v>
      </c>
      <c r="Q630">
        <v>0</v>
      </c>
      <c r="R630">
        <v>6.5518474779880957E-3</v>
      </c>
      <c r="S630">
        <v>0.1754189855223402</v>
      </c>
      <c r="T630">
        <v>1.1806880694634971</v>
      </c>
      <c r="U630">
        <v>0</v>
      </c>
      <c r="V630">
        <v>1.5946701317723352E-2</v>
      </c>
      <c r="W630">
        <v>6.5160346714123588E-2</v>
      </c>
      <c r="X630">
        <v>-1.6271780417033074E-2</v>
      </c>
      <c r="Y630">
        <v>2.6979341728977445E-2</v>
      </c>
    </row>
    <row r="631" spans="1:25" x14ac:dyDescent="0.25">
      <c r="A631" s="879"/>
      <c r="B631" s="1133">
        <v>381</v>
      </c>
      <c r="C631" s="883">
        <v>1.0053500683617553</v>
      </c>
      <c r="D631" s="883">
        <v>1.0122235081459319</v>
      </c>
      <c r="E631" s="883">
        <v>1.0096665271697409</v>
      </c>
      <c r="F631" s="883">
        <v>1.0030598816478349</v>
      </c>
      <c r="G631" s="883">
        <v>1.0144177645525168</v>
      </c>
      <c r="H631" s="883">
        <v>0.99860878479287352</v>
      </c>
      <c r="I631" s="883">
        <v>1.023013144559267</v>
      </c>
      <c r="K631">
        <v>1.6174068181949657</v>
      </c>
      <c r="L631">
        <v>0</v>
      </c>
      <c r="M631">
        <v>6.2795628189755018E-3</v>
      </c>
      <c r="N631">
        <v>0.11876315353673195</v>
      </c>
      <c r="O631">
        <v>3.0526479198817791E-2</v>
      </c>
      <c r="P631">
        <v>1.8548972630606418E-2</v>
      </c>
      <c r="Q631">
        <v>0</v>
      </c>
      <c r="R631">
        <v>6.2795628189755018E-3</v>
      </c>
      <c r="S631">
        <v>0.1714699396572458</v>
      </c>
      <c r="T631">
        <v>1.189403378812268</v>
      </c>
      <c r="U631">
        <v>0</v>
      </c>
      <c r="V631">
        <v>1.5824900271079335E-2</v>
      </c>
      <c r="W631">
        <v>6.2209901017585237E-2</v>
      </c>
      <c r="X631">
        <v>-1.5198028897394746E-2</v>
      </c>
      <c r="Y631">
        <v>2.5858121968026188E-2</v>
      </c>
    </row>
    <row r="632" spans="1:25" x14ac:dyDescent="0.25">
      <c r="A632" s="879"/>
      <c r="B632" s="1133">
        <v>382</v>
      </c>
      <c r="C632" s="883">
        <v>1.001507944958806</v>
      </c>
      <c r="D632" s="883">
        <v>0.98856142965485083</v>
      </c>
      <c r="E632" s="883">
        <v>1.0181410434616152</v>
      </c>
      <c r="F632" s="883">
        <v>0.97130055540946258</v>
      </c>
      <c r="G632" s="883">
        <v>1.0063044007064408</v>
      </c>
      <c r="H632" s="883">
        <v>1.0201263911102068</v>
      </c>
      <c r="I632" s="883">
        <v>1.008654667458039</v>
      </c>
      <c r="K632">
        <v>1.5863363122209069</v>
      </c>
      <c r="L632">
        <v>0</v>
      </c>
      <c r="M632">
        <v>6.4597088886363041E-3</v>
      </c>
      <c r="N632">
        <v>0.12371209055562553</v>
      </c>
      <c r="O632">
        <v>3.0927322662989875E-2</v>
      </c>
      <c r="P632">
        <v>1.8151417095834264E-2</v>
      </c>
      <c r="Q632">
        <v>0</v>
      </c>
      <c r="R632">
        <v>6.4597088886363041E-3</v>
      </c>
      <c r="S632">
        <v>0.17122521868475454</v>
      </c>
      <c r="T632">
        <v>1.1515914851685447</v>
      </c>
      <c r="U632">
        <v>0</v>
      </c>
      <c r="V632">
        <v>1.5845703255312031E-2</v>
      </c>
      <c r="W632">
        <v>6.4531603627446546E-2</v>
      </c>
      <c r="X632">
        <v>-1.624846024768558E-2</v>
      </c>
      <c r="Y632">
        <v>2.65999314180843E-2</v>
      </c>
    </row>
    <row r="633" spans="1:25" x14ac:dyDescent="0.25">
      <c r="A633" s="879"/>
      <c r="B633" s="1133">
        <v>383</v>
      </c>
      <c r="C633" s="883">
        <v>1.0180112853914542</v>
      </c>
      <c r="D633" s="883">
        <v>0.98796532566698569</v>
      </c>
      <c r="E633" s="883">
        <v>1.0264606307979098</v>
      </c>
      <c r="F633" s="883">
        <v>0.95278808372150681</v>
      </c>
      <c r="G633" s="883">
        <v>1.0020915073345009</v>
      </c>
      <c r="H633" s="883">
        <v>1.0200283368168668</v>
      </c>
      <c r="I633" s="883">
        <v>1.0193800428260225</v>
      </c>
      <c r="K633">
        <v>1.5597271805388127</v>
      </c>
      <c r="L633">
        <v>0</v>
      </c>
      <c r="M633">
        <v>6.309951071366302E-3</v>
      </c>
      <c r="N633">
        <v>0.12234019809553853</v>
      </c>
      <c r="O633">
        <v>3.0425770119658288E-2</v>
      </c>
      <c r="P633">
        <v>1.7948092974126303E-2</v>
      </c>
      <c r="Q633">
        <v>0</v>
      </c>
      <c r="R633">
        <v>6.309951071366302E-3</v>
      </c>
      <c r="S633">
        <v>0.17025052282486999</v>
      </c>
      <c r="T633">
        <v>1.1294962221836744</v>
      </c>
      <c r="U633">
        <v>0</v>
      </c>
      <c r="V633">
        <v>1.5757458092638881E-2</v>
      </c>
      <c r="W633">
        <v>6.3555237756104457E-2</v>
      </c>
      <c r="X633">
        <v>-1.6029576890263745E-2</v>
      </c>
      <c r="Y633">
        <v>2.5983255382464224E-2</v>
      </c>
    </row>
    <row r="634" spans="1:25" x14ac:dyDescent="0.25">
      <c r="A634" s="879"/>
      <c r="B634" s="1133">
        <v>384</v>
      </c>
      <c r="C634" s="883">
        <v>1.0138598415537603</v>
      </c>
      <c r="D634" s="883">
        <v>1.0143053732183991</v>
      </c>
      <c r="E634" s="883">
        <v>1.005377974183542</v>
      </c>
      <c r="F634" s="883">
        <v>1.0054572407528954</v>
      </c>
      <c r="G634" s="883">
        <v>1.0112968493150685</v>
      </c>
      <c r="H634" s="883">
        <v>0.97401388515716092</v>
      </c>
      <c r="I634" s="883">
        <v>1.0072218039065488</v>
      </c>
      <c r="K634">
        <v>1.6079978080202508</v>
      </c>
      <c r="L634">
        <v>0</v>
      </c>
      <c r="M634">
        <v>6.0907279571151543E-3</v>
      </c>
      <c r="N634">
        <v>0.11446265060788618</v>
      </c>
      <c r="O634">
        <v>3.0249061907374197E-2</v>
      </c>
      <c r="P634">
        <v>1.8453874504062915E-2</v>
      </c>
      <c r="Q634">
        <v>0</v>
      </c>
      <c r="R634">
        <v>6.0907279571151543E-3</v>
      </c>
      <c r="S634">
        <v>0.16597364384126659</v>
      </c>
      <c r="T634">
        <v>1.1923261036429527</v>
      </c>
      <c r="U634">
        <v>0</v>
      </c>
      <c r="V634">
        <v>1.5779385874101499E-2</v>
      </c>
      <c r="W634">
        <v>6.0084676581858079E-2</v>
      </c>
      <c r="X634">
        <v>-1.4412122557489805E-2</v>
      </c>
      <c r="Y634">
        <v>2.5080533618237713E-2</v>
      </c>
    </row>
    <row r="635" spans="1:25" x14ac:dyDescent="0.25">
      <c r="A635" s="879"/>
      <c r="B635" s="1133">
        <v>385</v>
      </c>
      <c r="C635" s="883">
        <v>1.0430829312458603</v>
      </c>
      <c r="D635" s="883">
        <v>0.99308803917948285</v>
      </c>
      <c r="E635" s="883">
        <v>1.0275104319489381</v>
      </c>
      <c r="F635" s="883">
        <v>1.0261675031725903</v>
      </c>
      <c r="G635" s="883">
        <v>0.99501612201844003</v>
      </c>
      <c r="H635" s="883">
        <v>1.0079667443202234</v>
      </c>
      <c r="I635" s="883">
        <v>0.97197748183079113</v>
      </c>
      <c r="K635">
        <v>1.6275423525164021</v>
      </c>
      <c r="L635">
        <v>0</v>
      </c>
      <c r="M635">
        <v>6.0658532558507594E-3</v>
      </c>
      <c r="N635">
        <v>0.11779020598118649</v>
      </c>
      <c r="O635">
        <v>2.9632150229102865E-2</v>
      </c>
      <c r="P635">
        <v>1.8976174250665313E-2</v>
      </c>
      <c r="Q635">
        <v>0</v>
      </c>
      <c r="R635">
        <v>6.0658532558507594E-3</v>
      </c>
      <c r="S635">
        <v>0.15772672113247746</v>
      </c>
      <c r="T635">
        <v>1.2164650084344764</v>
      </c>
      <c r="U635">
        <v>0</v>
      </c>
      <c r="V635">
        <v>1.5628740634667796E-2</v>
      </c>
      <c r="W635">
        <v>6.1159989854358096E-2</v>
      </c>
      <c r="X635">
        <v>-1.4814742026495065E-2</v>
      </c>
      <c r="Y635">
        <v>2.4978104025962705E-2</v>
      </c>
    </row>
    <row r="636" spans="1:25" x14ac:dyDescent="0.25">
      <c r="A636" s="879"/>
      <c r="B636" s="1133">
        <v>386</v>
      </c>
      <c r="C636" s="883">
        <v>1.0161302297125701</v>
      </c>
      <c r="D636" s="883">
        <v>1.0115223606495967</v>
      </c>
      <c r="E636" s="883">
        <v>0.98322017746936929</v>
      </c>
      <c r="F636" s="883">
        <v>0.99486952946427942</v>
      </c>
      <c r="G636" s="883">
        <v>0.97498762946555328</v>
      </c>
      <c r="H636" s="883">
        <v>0.96574890596560536</v>
      </c>
      <c r="I636" s="883">
        <v>0.96694643349344189</v>
      </c>
      <c r="K636">
        <v>1.584943124318456</v>
      </c>
      <c r="L636">
        <v>0</v>
      </c>
      <c r="M636">
        <v>6.1507738576727575E-3</v>
      </c>
      <c r="N636">
        <v>0.11185670470545589</v>
      </c>
      <c r="O636">
        <v>3.0232777967108423E-2</v>
      </c>
      <c r="P636">
        <v>1.788606421160726E-2</v>
      </c>
      <c r="Q636">
        <v>0</v>
      </c>
      <c r="R636">
        <v>6.1507738576727575E-3</v>
      </c>
      <c r="S636">
        <v>0.15852907734016805</v>
      </c>
      <c r="T636">
        <v>1.1801808622524488</v>
      </c>
      <c r="U636">
        <v>0</v>
      </c>
      <c r="V636">
        <v>1.5767371563343076E-2</v>
      </c>
      <c r="W636">
        <v>5.9367973503594691E-2</v>
      </c>
      <c r="X636">
        <v>-1.4205499174233074E-2</v>
      </c>
      <c r="Y636">
        <v>2.5327791948962047E-2</v>
      </c>
    </row>
    <row r="637" spans="1:25" x14ac:dyDescent="0.25">
      <c r="A637" s="879"/>
      <c r="B637" s="1133">
        <v>387</v>
      </c>
      <c r="C637" s="883">
        <v>0.97444131987509131</v>
      </c>
      <c r="D637" s="883">
        <v>1.0368011704052951</v>
      </c>
      <c r="E637" s="883">
        <v>1.0396222504954951</v>
      </c>
      <c r="F637" s="883">
        <v>1.0255647015063076</v>
      </c>
      <c r="G637" s="883">
        <v>1.0070094715026126</v>
      </c>
      <c r="H637" s="883">
        <v>1.0055534978440148</v>
      </c>
      <c r="I637" s="883">
        <v>0.95234694175414292</v>
      </c>
      <c r="K637">
        <v>1.6453071995702457</v>
      </c>
      <c r="L637">
        <v>0</v>
      </c>
      <c r="M637">
        <v>6.287310362787301E-3</v>
      </c>
      <c r="N637">
        <v>0.12429555221359978</v>
      </c>
      <c r="O637">
        <v>3.1166022348017193E-2</v>
      </c>
      <c r="P637">
        <v>1.9236887289465023E-2</v>
      </c>
      <c r="Q637">
        <v>0</v>
      </c>
      <c r="R637">
        <v>6.287310362787301E-3</v>
      </c>
      <c r="S637">
        <v>0.16488051914749555</v>
      </c>
      <c r="T637">
        <v>1.2155214076484409</v>
      </c>
      <c r="U637">
        <v>0</v>
      </c>
      <c r="V637">
        <v>1.5996902651927006E-2</v>
      </c>
      <c r="W637">
        <v>6.4155963516520101E-2</v>
      </c>
      <c r="X637">
        <v>-1.5836080219651757E-2</v>
      </c>
      <c r="Y637">
        <v>2.5890024974431793E-2</v>
      </c>
    </row>
    <row r="638" spans="1:25" x14ac:dyDescent="0.25">
      <c r="A638" s="879"/>
      <c r="B638" s="1133">
        <v>388</v>
      </c>
      <c r="C638" s="883">
        <v>0.96777906160250027</v>
      </c>
      <c r="D638" s="883">
        <v>1.0298384402297758</v>
      </c>
      <c r="E638" s="883">
        <v>0.99137800863919601</v>
      </c>
      <c r="F638" s="883">
        <v>1.0284949916408326</v>
      </c>
      <c r="G638" s="883">
        <v>0.98461050280559081</v>
      </c>
      <c r="H638" s="883">
        <v>1.0007277425233048</v>
      </c>
      <c r="I638" s="883">
        <v>1.0024334353000064</v>
      </c>
      <c r="K638">
        <v>1.657603306961378</v>
      </c>
      <c r="L638">
        <v>0</v>
      </c>
      <c r="M638">
        <v>6.5916137006609378E-3</v>
      </c>
      <c r="N638">
        <v>0.12133265305736007</v>
      </c>
      <c r="O638">
        <v>3.1509411355945302E-2</v>
      </c>
      <c r="P638">
        <v>1.8741884460096666E-2</v>
      </c>
      <c r="Q638">
        <v>0</v>
      </c>
      <c r="R638">
        <v>6.5916137006609378E-3</v>
      </c>
      <c r="S638">
        <v>0.17447461161509786</v>
      </c>
      <c r="T638">
        <v>1.2199132358356448</v>
      </c>
      <c r="U638">
        <v>0</v>
      </c>
      <c r="V638">
        <v>1.6035416382925233E-2</v>
      </c>
      <c r="W638">
        <v>6.4135608035746861E-2</v>
      </c>
      <c r="X638">
        <v>-1.5682605737259592E-2</v>
      </c>
      <c r="Y638">
        <v>2.7143091955820427E-2</v>
      </c>
    </row>
    <row r="639" spans="1:25" x14ac:dyDescent="0.25">
      <c r="A639" s="879"/>
      <c r="B639" s="1133">
        <v>389</v>
      </c>
      <c r="C639" s="883">
        <v>1.0063940394614068</v>
      </c>
      <c r="D639" s="883">
        <v>0.99753917924820934</v>
      </c>
      <c r="E639" s="883">
        <v>0.99308555930964226</v>
      </c>
      <c r="F639" s="883">
        <v>0.99096162164353341</v>
      </c>
      <c r="G639" s="883">
        <v>0.95830864129373872</v>
      </c>
      <c r="H639" s="883">
        <v>1.018469532578711</v>
      </c>
      <c r="I639" s="883">
        <v>0.96730178833559</v>
      </c>
      <c r="K639">
        <v>1.5984098240605118</v>
      </c>
      <c r="L639">
        <v>0</v>
      </c>
      <c r="M639">
        <v>6.5336041241400673E-3</v>
      </c>
      <c r="N639">
        <v>0.12056965890431744</v>
      </c>
      <c r="O639">
        <v>3.0687690693778417E-2</v>
      </c>
      <c r="P639">
        <v>1.8020506539798309E-2</v>
      </c>
      <c r="Q639">
        <v>0</v>
      </c>
      <c r="R639">
        <v>6.5336041241400673E-3</v>
      </c>
      <c r="S639">
        <v>0.16319559211194637</v>
      </c>
      <c r="T639">
        <v>1.1753628404114376</v>
      </c>
      <c r="U639">
        <v>0</v>
      </c>
      <c r="V639">
        <v>1.581927518530106E-2</v>
      </c>
      <c r="W639">
        <v>6.3678099053087411E-2</v>
      </c>
      <c r="X639">
        <v>-1.5828057684181811E-2</v>
      </c>
      <c r="Y639">
        <v>2.6904218845027202E-2</v>
      </c>
    </row>
    <row r="640" spans="1:25" x14ac:dyDescent="0.25">
      <c r="A640" s="879"/>
      <c r="B640" s="1133">
        <v>390</v>
      </c>
      <c r="C640" s="883">
        <v>0.98014429472529141</v>
      </c>
      <c r="D640" s="883">
        <v>1.000156635113405</v>
      </c>
      <c r="E640" s="883">
        <v>0.98780984606730093</v>
      </c>
      <c r="F640" s="883">
        <v>1.0191653078969214</v>
      </c>
      <c r="G640" s="883">
        <v>0.97117171671397318</v>
      </c>
      <c r="H640" s="883">
        <v>1.0151885436283312</v>
      </c>
      <c r="I640" s="883">
        <v>0.99388208077910645</v>
      </c>
      <c r="K640">
        <v>1.6462705651006739</v>
      </c>
      <c r="L640">
        <v>0</v>
      </c>
      <c r="M640">
        <v>6.709981250426429E-3</v>
      </c>
      <c r="N640">
        <v>0.122859778725246</v>
      </c>
      <c r="O640">
        <v>3.1480973816901181E-2</v>
      </c>
      <c r="P640">
        <v>1.851055668839879E-2</v>
      </c>
      <c r="Q640">
        <v>0</v>
      </c>
      <c r="R640">
        <v>6.709981250426429E-3</v>
      </c>
      <c r="S640">
        <v>0.17194376955595309</v>
      </c>
      <c r="T640">
        <v>1.208914910622209</v>
      </c>
      <c r="U640">
        <v>0</v>
      </c>
      <c r="V640">
        <v>1.5964350343650083E-2</v>
      </c>
      <c r="W640">
        <v>6.5058512773136137E-2</v>
      </c>
      <c r="X640">
        <v>-1.6092795881935604E-2</v>
      </c>
      <c r="Y640">
        <v>2.7630508457116273E-2</v>
      </c>
    </row>
    <row r="641" spans="1:25" x14ac:dyDescent="0.25">
      <c r="A641" s="879"/>
      <c r="B641" s="1133">
        <v>391</v>
      </c>
      <c r="C641" s="883">
        <v>0.98804935756033641</v>
      </c>
      <c r="D641" s="883">
        <v>1.0081189497485117</v>
      </c>
      <c r="E641" s="883">
        <v>0.97590267679312481</v>
      </c>
      <c r="F641" s="883">
        <v>0.97142672542790243</v>
      </c>
      <c r="G641" s="883">
        <v>0.97740248192298262</v>
      </c>
      <c r="H641" s="883">
        <v>1.0232838185024695</v>
      </c>
      <c r="I641" s="883">
        <v>1.0150116154714446</v>
      </c>
      <c r="K641">
        <v>1.5896383932222657</v>
      </c>
      <c r="L641">
        <v>0</v>
      </c>
      <c r="M641">
        <v>6.7554581751469271E-3</v>
      </c>
      <c r="N641">
        <v>0.12152674265024974</v>
      </c>
      <c r="O641">
        <v>3.1139794812957838E-2</v>
      </c>
      <c r="P641">
        <v>1.7635091469759147E-2</v>
      </c>
      <c r="Q641">
        <v>0</v>
      </c>
      <c r="R641">
        <v>6.7554581751469271E-3</v>
      </c>
      <c r="S641">
        <v>0.1745761467571546</v>
      </c>
      <c r="T641">
        <v>1.1525041839592727</v>
      </c>
      <c r="U641">
        <v>0</v>
      </c>
      <c r="V641">
        <v>1.5919850066997105E-2</v>
      </c>
      <c r="W641">
        <v>6.4737150337052754E-2</v>
      </c>
      <c r="X641">
        <v>-1.6218341169703127E-2</v>
      </c>
      <c r="Y641">
        <v>2.7817774338524434E-2</v>
      </c>
    </row>
    <row r="642" spans="1:25" x14ac:dyDescent="0.25">
      <c r="A642" s="879"/>
      <c r="B642" s="1133">
        <v>392</v>
      </c>
      <c r="C642" s="883">
        <v>1.0151703517842485</v>
      </c>
      <c r="D642" s="883">
        <v>1.0268344992827163</v>
      </c>
      <c r="E642" s="883">
        <v>0.98871150170823108</v>
      </c>
      <c r="F642" s="883">
        <v>1.037597021289028</v>
      </c>
      <c r="G642" s="883">
        <v>0.9929179546079806</v>
      </c>
      <c r="H642" s="883">
        <v>0.96076658851649299</v>
      </c>
      <c r="I642" s="883">
        <v>1.0363579119637385</v>
      </c>
      <c r="K642">
        <v>1.6460333330276411</v>
      </c>
      <c r="L642">
        <v>0</v>
      </c>
      <c r="M642">
        <v>6.0548933289929505E-3</v>
      </c>
      <c r="N642">
        <v>0.1110134368348972</v>
      </c>
      <c r="O642">
        <v>3.0075710830045396E-2</v>
      </c>
      <c r="P642">
        <v>1.8779912104318539E-2</v>
      </c>
      <c r="Q642">
        <v>0</v>
      </c>
      <c r="R642">
        <v>6.0548933289929505E-3</v>
      </c>
      <c r="S642">
        <v>0.16964716188040654</v>
      </c>
      <c r="T642">
        <v>1.2307608302723441</v>
      </c>
      <c r="U642">
        <v>0</v>
      </c>
      <c r="V642">
        <v>1.5772444433531378E-2</v>
      </c>
      <c r="W642">
        <v>5.8759019657077097E-2</v>
      </c>
      <c r="X642">
        <v>-1.3708155982935183E-2</v>
      </c>
      <c r="Y642">
        <v>2.493297299795651E-2</v>
      </c>
    </row>
    <row r="643" spans="1:25" x14ac:dyDescent="0.25">
      <c r="A643" s="879"/>
      <c r="B643" s="1133">
        <v>393</v>
      </c>
      <c r="C643" s="883">
        <v>0.99864846037236377</v>
      </c>
      <c r="D643" s="883">
        <v>1.0141706908823289</v>
      </c>
      <c r="E643" s="883">
        <v>0.98912199555830937</v>
      </c>
      <c r="F643" s="883">
        <v>1.0188571607485732</v>
      </c>
      <c r="G643" s="883">
        <v>1.0341579909713485</v>
      </c>
      <c r="H643" s="883">
        <v>1.0282276904318588</v>
      </c>
      <c r="I643" s="883">
        <v>1.0123321285607276</v>
      </c>
      <c r="K643">
        <v>1.6433163982434515</v>
      </c>
      <c r="L643">
        <v>0</v>
      </c>
      <c r="M643">
        <v>6.6213989168448671E-3</v>
      </c>
      <c r="N643">
        <v>0.12147394432728478</v>
      </c>
      <c r="O643">
        <v>3.0725094096970815E-2</v>
      </c>
      <c r="P643">
        <v>1.8530091919043375E-2</v>
      </c>
      <c r="Q643">
        <v>0</v>
      </c>
      <c r="R643">
        <v>6.6213989168448671E-3</v>
      </c>
      <c r="S643">
        <v>0.17250648335823759</v>
      </c>
      <c r="T643">
        <v>1.2085244782781768</v>
      </c>
      <c r="U643">
        <v>0</v>
      </c>
      <c r="V643">
        <v>1.5861289689323689E-2</v>
      </c>
      <c r="W643">
        <v>6.4282563483336816E-2</v>
      </c>
      <c r="X643">
        <v>-1.5853289083417592E-2</v>
      </c>
      <c r="Y643">
        <v>2.7265742174495008E-2</v>
      </c>
    </row>
    <row r="644" spans="1:25" x14ac:dyDescent="0.25">
      <c r="A644" s="879"/>
      <c r="B644" s="1133">
        <v>394</v>
      </c>
      <c r="C644" s="883">
        <v>0.99580180043671895</v>
      </c>
      <c r="D644" s="883">
        <v>1.0046776237364243</v>
      </c>
      <c r="E644" s="883">
        <v>1.028509047501958</v>
      </c>
      <c r="F644" s="883">
        <v>1.0099500261111296</v>
      </c>
      <c r="G644" s="883">
        <v>1.0043144173923053</v>
      </c>
      <c r="H644" s="883">
        <v>1.0361504841617224</v>
      </c>
      <c r="I644" s="883">
        <v>0.98883346419077933</v>
      </c>
      <c r="K644">
        <v>1.6345396336157423</v>
      </c>
      <c r="L644">
        <v>0</v>
      </c>
      <c r="M644">
        <v>6.492122816853246E-3</v>
      </c>
      <c r="N644">
        <v>0.12625401175304235</v>
      </c>
      <c r="O644">
        <v>3.0894444163402587E-2</v>
      </c>
      <c r="P644">
        <v>1.8892962023404663E-2</v>
      </c>
      <c r="Q644">
        <v>0</v>
      </c>
      <c r="R644">
        <v>6.492122816853246E-3</v>
      </c>
      <c r="S644">
        <v>0.16958166649998496</v>
      </c>
      <c r="T644">
        <v>1.1972214638837482</v>
      </c>
      <c r="U644">
        <v>0</v>
      </c>
      <c r="V644">
        <v>1.5876895131762915E-2</v>
      </c>
      <c r="W644">
        <v>6.5522502099890328E-2</v>
      </c>
      <c r="X644">
        <v>-1.6437718144512139E-2</v>
      </c>
      <c r="Y644">
        <v>2.6733406205017522E-2</v>
      </c>
    </row>
    <row r="645" spans="1:25" x14ac:dyDescent="0.25">
      <c r="A645" s="879"/>
      <c r="B645" s="1133">
        <v>395</v>
      </c>
      <c r="C645" s="883">
        <v>1.0099661155090764</v>
      </c>
      <c r="D645" s="883">
        <v>1.0322883905466502</v>
      </c>
      <c r="E645" s="883">
        <v>0.97072684519302821</v>
      </c>
      <c r="F645" s="883">
        <v>0.99639269182661616</v>
      </c>
      <c r="G645" s="883">
        <v>1.0052821267399046</v>
      </c>
      <c r="H645" s="883">
        <v>1.007518956884816</v>
      </c>
      <c r="I645" s="883">
        <v>0.98414562656350812</v>
      </c>
      <c r="K645">
        <v>1.5992274175615941</v>
      </c>
      <c r="L645">
        <v>0</v>
      </c>
      <c r="M645">
        <v>6.4678125647757313E-3</v>
      </c>
      <c r="N645">
        <v>0.11546164797483743</v>
      </c>
      <c r="O645">
        <v>3.0180619198659421E-2</v>
      </c>
      <c r="P645">
        <v>1.7818984470040673E-2</v>
      </c>
      <c r="Q645">
        <v>0</v>
      </c>
      <c r="R645">
        <v>6.4678125647757313E-3</v>
      </c>
      <c r="S645">
        <v>0.16447105147623894</v>
      </c>
      <c r="T645">
        <v>1.1822203438057373</v>
      </c>
      <c r="U645">
        <v>0</v>
      </c>
      <c r="V645">
        <v>1.5800116227630778E-2</v>
      </c>
      <c r="W645">
        <v>6.1666324892845487E-2</v>
      </c>
      <c r="X645">
        <v>-1.5024971398421072E-2</v>
      </c>
      <c r="Y645">
        <v>2.6633300914025881E-2</v>
      </c>
    </row>
    <row r="646" spans="1:25" x14ac:dyDescent="0.25">
      <c r="A646" s="879"/>
      <c r="B646" s="1133">
        <v>396</v>
      </c>
      <c r="C646" s="883">
        <v>1.0183044604635283</v>
      </c>
      <c r="D646" s="883">
        <v>1.0216737467444081</v>
      </c>
      <c r="E646" s="883">
        <v>1.0057332298349906</v>
      </c>
      <c r="F646" s="883">
        <v>0.99666429135254653</v>
      </c>
      <c r="G646" s="883">
        <v>1.0275595774390869</v>
      </c>
      <c r="H646" s="883">
        <v>1.0135800708246385</v>
      </c>
      <c r="I646" s="883">
        <v>1.0006972553908984</v>
      </c>
      <c r="K646">
        <v>1.6033035083830018</v>
      </c>
      <c r="L646">
        <v>0</v>
      </c>
      <c r="M646">
        <v>6.2882069466766435E-3</v>
      </c>
      <c r="N646">
        <v>0.1182360465192908</v>
      </c>
      <c r="O646">
        <v>3.0029661810831988E-2</v>
      </c>
      <c r="P646">
        <v>1.8323398103552161E-2</v>
      </c>
      <c r="Q646">
        <v>0</v>
      </c>
      <c r="R646">
        <v>6.2882069466766435E-3</v>
      </c>
      <c r="S646">
        <v>0.16634686757419928</v>
      </c>
      <c r="T646">
        <v>1.1818923722165939</v>
      </c>
      <c r="U646">
        <v>0</v>
      </c>
      <c r="V646">
        <v>1.5755916311093545E-2</v>
      </c>
      <c r="W646">
        <v>6.2054514079233229E-2</v>
      </c>
      <c r="X646">
        <v>-1.5228985179095079E-2</v>
      </c>
      <c r="Y646">
        <v>2.5893716947302126E-2</v>
      </c>
    </row>
    <row r="647" spans="1:25" x14ac:dyDescent="0.25">
      <c r="A647" s="879"/>
      <c r="B647" s="1133">
        <v>397</v>
      </c>
      <c r="C647" s="883">
        <v>0.98975021504276395</v>
      </c>
      <c r="D647" s="883">
        <v>0.9826070621433759</v>
      </c>
      <c r="E647" s="883">
        <v>0.9673993357920565</v>
      </c>
      <c r="F647" s="883">
        <v>1.0187730425355008</v>
      </c>
      <c r="G647" s="883">
        <v>0.97747324340221642</v>
      </c>
      <c r="H647" s="883">
        <v>0.97594303056974474</v>
      </c>
      <c r="I647" s="883">
        <v>1.006478633187623</v>
      </c>
      <c r="K647">
        <v>1.6353135942954236</v>
      </c>
      <c r="L647">
        <v>0</v>
      </c>
      <c r="M647">
        <v>6.5541866742136875E-3</v>
      </c>
      <c r="N647">
        <v>0.11642689044155292</v>
      </c>
      <c r="O647">
        <v>3.1413289274193359E-2</v>
      </c>
      <c r="P647">
        <v>1.8197217045790963E-2</v>
      </c>
      <c r="Q647">
        <v>0</v>
      </c>
      <c r="R647">
        <v>6.5541866742136875E-3</v>
      </c>
      <c r="S647">
        <v>0.17027216953565411</v>
      </c>
      <c r="T647">
        <v>1.2088380994362196</v>
      </c>
      <c r="U647">
        <v>0</v>
      </c>
      <c r="V647">
        <v>1.5910368290346772E-2</v>
      </c>
      <c r="W647">
        <v>6.2286000019528345E-2</v>
      </c>
      <c r="X647">
        <v>-1.5019413870535516E-2</v>
      </c>
      <c r="Y647">
        <v>2.698897412267303E-2</v>
      </c>
    </row>
    <row r="648" spans="1:25" x14ac:dyDescent="0.25">
      <c r="A648" s="879"/>
      <c r="B648" s="1133">
        <v>398</v>
      </c>
      <c r="C648" s="883">
        <v>1.0298770208077228</v>
      </c>
      <c r="D648" s="883">
        <v>1.014793056137685</v>
      </c>
      <c r="E648" s="883">
        <v>1.0168364448210292</v>
      </c>
      <c r="F648" s="883">
        <v>0.96879972298084271</v>
      </c>
      <c r="G648" s="883">
        <v>1.0305945479007548</v>
      </c>
      <c r="H648" s="883">
        <v>1.000252833598773</v>
      </c>
      <c r="I648" s="883">
        <v>1.0149883791263521</v>
      </c>
      <c r="K648">
        <v>1.5657458118408638</v>
      </c>
      <c r="L648">
        <v>0</v>
      </c>
      <c r="M648">
        <v>6.0948209231243972E-3</v>
      </c>
      <c r="N648">
        <v>0.11649890873139866</v>
      </c>
      <c r="O648">
        <v>2.9763115585269947E-2</v>
      </c>
      <c r="P648">
        <v>1.8023012960695299E-2</v>
      </c>
      <c r="Q648">
        <v>0</v>
      </c>
      <c r="R648">
        <v>6.0948209231243972E-3</v>
      </c>
      <c r="S648">
        <v>0.16614954702837714</v>
      </c>
      <c r="T648">
        <v>1.1486498455036662</v>
      </c>
      <c r="U648">
        <v>0</v>
      </c>
      <c r="V648">
        <v>1.5695758436931072E-2</v>
      </c>
      <c r="W648">
        <v>6.0808116103931643E-2</v>
      </c>
      <c r="X648">
        <v>-1.4939880233149756E-2</v>
      </c>
      <c r="Y648">
        <v>2.5097387723742988E-2</v>
      </c>
    </row>
    <row r="649" spans="1:25" x14ac:dyDescent="0.25">
      <c r="A649" s="879"/>
      <c r="B649" s="1133">
        <v>399</v>
      </c>
      <c r="C649" s="883">
        <v>1.0373067204520048</v>
      </c>
      <c r="D649" s="883">
        <v>0.96684862998162435</v>
      </c>
      <c r="E649" s="883">
        <v>1.0028670165878943</v>
      </c>
      <c r="F649" s="883">
        <v>0.99971616400656083</v>
      </c>
      <c r="G649" s="883">
        <v>0.98607285353816776</v>
      </c>
      <c r="H649" s="883">
        <v>1.0001272005411943</v>
      </c>
      <c r="I649" s="883">
        <v>1.0119094975845822</v>
      </c>
      <c r="K649">
        <v>1.6041093885123932</v>
      </c>
      <c r="L649">
        <v>0</v>
      </c>
      <c r="M649">
        <v>6.2585031114630804E-3</v>
      </c>
      <c r="N649">
        <v>0.11717906112227594</v>
      </c>
      <c r="O649">
        <v>3.0139585340811341E-2</v>
      </c>
      <c r="P649">
        <v>1.8312606942897151E-2</v>
      </c>
      <c r="Q649">
        <v>0</v>
      </c>
      <c r="R649">
        <v>6.2585031114630804E-3</v>
      </c>
      <c r="S649">
        <v>0.16492584025340631</v>
      </c>
      <c r="T649">
        <v>1.1855646293902327</v>
      </c>
      <c r="U649">
        <v>0</v>
      </c>
      <c r="V649">
        <v>1.5657843988834467E-2</v>
      </c>
      <c r="W649">
        <v>6.1587221088225126E-2</v>
      </c>
      <c r="X649">
        <v>-1.5028801455269121E-2</v>
      </c>
      <c r="Y649">
        <v>2.5771401840978245E-2</v>
      </c>
    </row>
    <row r="650" spans="1:25" x14ac:dyDescent="0.25">
      <c r="A650" s="879"/>
      <c r="B650" s="1133">
        <v>400</v>
      </c>
      <c r="C650" s="883">
        <v>0.97379098230058292</v>
      </c>
      <c r="D650" s="883">
        <v>0.98554978878866217</v>
      </c>
      <c r="E650" s="883">
        <v>1.0158232902937043</v>
      </c>
      <c r="F650" s="883">
        <v>0.95637568665999895</v>
      </c>
      <c r="G650" s="883">
        <v>0.99928669366917189</v>
      </c>
      <c r="H650" s="883">
        <v>0.98057877643844826</v>
      </c>
      <c r="I650" s="883">
        <v>1.004541973977918</v>
      </c>
      <c r="K650">
        <v>1.5692772436223199</v>
      </c>
      <c r="L650">
        <v>0</v>
      </c>
      <c r="M650">
        <v>6.4077052565671344E-3</v>
      </c>
      <c r="N650">
        <v>0.1222960299474837</v>
      </c>
      <c r="O650">
        <v>3.1848604780199422E-2</v>
      </c>
      <c r="P650">
        <v>1.7907722345309296E-2</v>
      </c>
      <c r="Q650">
        <v>0</v>
      </c>
      <c r="R650">
        <v>6.4077052565671344E-3</v>
      </c>
      <c r="S650">
        <v>0.17303165977593277</v>
      </c>
      <c r="T650">
        <v>1.1339373222308102</v>
      </c>
      <c r="U650">
        <v>0</v>
      </c>
      <c r="V650">
        <v>1.6000638966622748E-2</v>
      </c>
      <c r="W650">
        <v>6.3865912282918921E-2</v>
      </c>
      <c r="X650">
        <v>-1.5996436424483122E-2</v>
      </c>
      <c r="Y650">
        <v>2.6385789717524911E-2</v>
      </c>
    </row>
    <row r="651" spans="1:25" x14ac:dyDescent="0.25">
      <c r="A651" s="879"/>
      <c r="B651" s="1133">
        <v>401</v>
      </c>
      <c r="C651" s="883">
        <v>1.0191983885000442</v>
      </c>
      <c r="D651" s="883">
        <v>0.99791419297694239</v>
      </c>
      <c r="E651" s="883">
        <v>0.99074784796859483</v>
      </c>
      <c r="F651" s="883">
        <v>0.9658820418545937</v>
      </c>
      <c r="G651" s="883">
        <v>0.96255087642896464</v>
      </c>
      <c r="H651" s="883">
        <v>1.0027880464474015</v>
      </c>
      <c r="I651" s="883">
        <v>1.0094659746379369</v>
      </c>
      <c r="K651">
        <v>1.5664563695305431</v>
      </c>
      <c r="L651">
        <v>0</v>
      </c>
      <c r="M651">
        <v>6.3640933361315639E-3</v>
      </c>
      <c r="N651">
        <v>0.11703527317162442</v>
      </c>
      <c r="O651">
        <v>3.0299500751867534E-2</v>
      </c>
      <c r="P651">
        <v>1.7647148377363399E-2</v>
      </c>
      <c r="Q651">
        <v>0</v>
      </c>
      <c r="R651">
        <v>6.3640933361315639E-3</v>
      </c>
      <c r="S651">
        <v>0.16726183101710695</v>
      </c>
      <c r="T651">
        <v>1.1456584189802042</v>
      </c>
      <c r="U651">
        <v>0</v>
      </c>
      <c r="V651">
        <v>1.5751220698864907E-2</v>
      </c>
      <c r="W651">
        <v>6.1883477310297356E-2</v>
      </c>
      <c r="X651">
        <v>-1.5286704368589334E-2</v>
      </c>
      <c r="Y651">
        <v>2.620620359180369E-2</v>
      </c>
    </row>
    <row r="652" spans="1:25" x14ac:dyDescent="0.25">
      <c r="A652" s="879"/>
      <c r="B652" s="1133">
        <v>402</v>
      </c>
      <c r="C652" s="883">
        <v>1.0145731320664189</v>
      </c>
      <c r="D652" s="883">
        <v>0.97842421505316157</v>
      </c>
      <c r="E652" s="883">
        <v>0.98840276882616096</v>
      </c>
      <c r="F652" s="883">
        <v>1.0102720190215955</v>
      </c>
      <c r="G652" s="883">
        <v>1.0445830644844025</v>
      </c>
      <c r="H652" s="883">
        <v>1.0003858866767239</v>
      </c>
      <c r="I652" s="883">
        <v>1.014775290267059</v>
      </c>
      <c r="K652">
        <v>1.6241133042201454</v>
      </c>
      <c r="L652">
        <v>0</v>
      </c>
      <c r="M652">
        <v>6.4473669747116833E-3</v>
      </c>
      <c r="N652">
        <v>0.11815514430477479</v>
      </c>
      <c r="O652">
        <v>3.068063495957446E-2</v>
      </c>
      <c r="P652">
        <v>1.833701212740152E-2</v>
      </c>
      <c r="Q652">
        <v>0</v>
      </c>
      <c r="R652">
        <v>6.4473669747116833E-3</v>
      </c>
      <c r="S652">
        <v>0.16897123927229754</v>
      </c>
      <c r="T652">
        <v>1.1983546929866724</v>
      </c>
      <c r="U652">
        <v>0</v>
      </c>
      <c r="V652">
        <v>1.5775605531066984E-2</v>
      </c>
      <c r="W652">
        <v>6.2548734803088799E-2</v>
      </c>
      <c r="X652">
        <v>-1.5258869378052986E-2</v>
      </c>
      <c r="Y652">
        <v>2.6549109613321499E-2</v>
      </c>
    </row>
    <row r="653" spans="1:25" x14ac:dyDescent="0.25">
      <c r="A653" s="879"/>
      <c r="B653" s="1133">
        <v>403</v>
      </c>
      <c r="C653" s="883">
        <v>1.0103896028261017</v>
      </c>
      <c r="D653" s="883">
        <v>0.99887748438216306</v>
      </c>
      <c r="E653" s="883">
        <v>0.97193374327668647</v>
      </c>
      <c r="F653" s="883">
        <v>1.0022980190152118</v>
      </c>
      <c r="G653" s="883">
        <v>1.0238274522339537</v>
      </c>
      <c r="H653" s="883">
        <v>0.96546366238195358</v>
      </c>
      <c r="I653" s="883">
        <v>1.0116060472579478</v>
      </c>
      <c r="K653">
        <v>1.6042220719044165</v>
      </c>
      <c r="L653">
        <v>0</v>
      </c>
      <c r="M653">
        <v>6.2801418298630259E-3</v>
      </c>
      <c r="N653">
        <v>0.1123124621111363</v>
      </c>
      <c r="O653">
        <v>3.0566703046280019E-2</v>
      </c>
      <c r="P653">
        <v>1.7958676203521453E-2</v>
      </c>
      <c r="Q653">
        <v>0</v>
      </c>
      <c r="R653">
        <v>6.2801418298630259E-3</v>
      </c>
      <c r="S653">
        <v>0.16688035915381799</v>
      </c>
      <c r="T653">
        <v>1.1892043838419228</v>
      </c>
      <c r="U653">
        <v>0</v>
      </c>
      <c r="V653">
        <v>1.5797853820415039E-2</v>
      </c>
      <c r="W653">
        <v>5.9948025610077636E-2</v>
      </c>
      <c r="X653">
        <v>-1.4306898114555265E-2</v>
      </c>
      <c r="Y653">
        <v>2.5860506231800924E-2</v>
      </c>
    </row>
    <row r="654" spans="1:25" x14ac:dyDescent="0.25">
      <c r="A654" s="879"/>
      <c r="B654" s="1133">
        <v>404</v>
      </c>
      <c r="C654" s="883">
        <v>1.0156510127152942</v>
      </c>
      <c r="D654" s="883">
        <v>0.97007276445922797</v>
      </c>
      <c r="E654" s="883">
        <v>1.0001415881101354</v>
      </c>
      <c r="F654" s="883">
        <v>0.9838282374052133</v>
      </c>
      <c r="G654" s="883">
        <v>1.0167446104609128</v>
      </c>
      <c r="H654" s="883">
        <v>1.0398929402420747</v>
      </c>
      <c r="I654" s="883">
        <v>0.98848416393699245</v>
      </c>
      <c r="K654">
        <v>1.5983655092729243</v>
      </c>
      <c r="L654">
        <v>0</v>
      </c>
      <c r="M654">
        <v>6.6520364114959251E-3</v>
      </c>
      <c r="N654">
        <v>0.12404544346050443</v>
      </c>
      <c r="O654">
        <v>3.0743581418899789E-2</v>
      </c>
      <c r="P654">
        <v>1.8049902348015182E-2</v>
      </c>
      <c r="Q654">
        <v>0</v>
      </c>
      <c r="R654">
        <v>6.6520364114959251E-3</v>
      </c>
      <c r="S654">
        <v>0.16677974277986624</v>
      </c>
      <c r="T654">
        <v>1.1667729335810397</v>
      </c>
      <c r="U654">
        <v>0</v>
      </c>
      <c r="V654">
        <v>1.5769902984333537E-2</v>
      </c>
      <c r="W654">
        <v>6.5284319914014011E-2</v>
      </c>
      <c r="X654">
        <v>-1.6472219137947847E-2</v>
      </c>
      <c r="Y654">
        <v>2.7391901924197305E-2</v>
      </c>
    </row>
    <row r="655" spans="1:25" x14ac:dyDescent="0.25">
      <c r="A655" s="879"/>
      <c r="B655" s="1133">
        <v>405</v>
      </c>
      <c r="C655" s="883">
        <v>1.0127619934140075</v>
      </c>
      <c r="D655" s="883">
        <v>1.0098675495006515</v>
      </c>
      <c r="E655" s="883">
        <v>0.99991091742519045</v>
      </c>
      <c r="F655" s="883">
        <v>0.97523817197155171</v>
      </c>
      <c r="G655" s="883">
        <v>1.0241641447090317</v>
      </c>
      <c r="H655" s="883">
        <v>1.0255177675040852</v>
      </c>
      <c r="I655" s="883">
        <v>1.0137048364770291</v>
      </c>
      <c r="K655">
        <v>1.5855978522656882</v>
      </c>
      <c r="L655">
        <v>0</v>
      </c>
      <c r="M655">
        <v>6.4631063105602795E-3</v>
      </c>
      <c r="N655">
        <v>0.12048114461606095</v>
      </c>
      <c r="O655">
        <v>3.03396297957883E-2</v>
      </c>
      <c r="P655">
        <v>1.7957061954619109E-2</v>
      </c>
      <c r="Q655">
        <v>0</v>
      </c>
      <c r="R655">
        <v>6.4631063105602795E-3</v>
      </c>
      <c r="S655">
        <v>0.17023365436005475</v>
      </c>
      <c r="T655">
        <v>1.1565897103432974</v>
      </c>
      <c r="U655">
        <v>0</v>
      </c>
      <c r="V655">
        <v>1.5785214725656645E-2</v>
      </c>
      <c r="W655">
        <v>6.3415716670379027E-2</v>
      </c>
      <c r="X655">
        <v>-1.5818201597017665E-2</v>
      </c>
      <c r="Y655">
        <v>2.6613921396848671E-2</v>
      </c>
    </row>
    <row r="656" spans="1:25" x14ac:dyDescent="0.25">
      <c r="A656" s="879"/>
      <c r="B656" s="1133">
        <v>406</v>
      </c>
      <c r="C656" s="883">
        <v>0.99700839226610394</v>
      </c>
      <c r="D656" s="883">
        <v>0.97806561073710108</v>
      </c>
      <c r="E656" s="883">
        <v>1.0125803756361424</v>
      </c>
      <c r="F656" s="883">
        <v>0.96591773451718976</v>
      </c>
      <c r="G656" s="883">
        <v>0.98110132927519844</v>
      </c>
      <c r="H656" s="883">
        <v>1.0374078602652259</v>
      </c>
      <c r="I656" s="883">
        <v>1.0138033624549019</v>
      </c>
      <c r="K656">
        <v>1.5877408954362275</v>
      </c>
      <c r="L656">
        <v>0</v>
      </c>
      <c r="M656">
        <v>6.6626487921658123E-3</v>
      </c>
      <c r="N656">
        <v>0.12655300354875065</v>
      </c>
      <c r="O656">
        <v>3.1204867498013423E-2</v>
      </c>
      <c r="P656">
        <v>1.8029404334654817E-2</v>
      </c>
      <c r="Q656">
        <v>0</v>
      </c>
      <c r="R656">
        <v>6.6626487921658123E-3</v>
      </c>
      <c r="S656">
        <v>0.17401827250773322</v>
      </c>
      <c r="T656">
        <v>1.1453089763515314</v>
      </c>
      <c r="U656">
        <v>0</v>
      </c>
      <c r="V656">
        <v>1.5870269692150413E-2</v>
      </c>
      <c r="W656">
        <v>6.619491385477233E-2</v>
      </c>
      <c r="X656">
        <v>-1.6874414170242172E-2</v>
      </c>
      <c r="Y656">
        <v>2.7435601818862562E-2</v>
      </c>
    </row>
    <row r="657" spans="1:25" x14ac:dyDescent="0.25">
      <c r="A657" s="879"/>
      <c r="B657" s="1133">
        <v>407</v>
      </c>
      <c r="C657" s="883">
        <v>0.98553535844945228</v>
      </c>
      <c r="D657" s="883">
        <v>1.0153325148147434</v>
      </c>
      <c r="E657" s="883">
        <v>1.0101361699440325</v>
      </c>
      <c r="F657" s="883">
        <v>0.9899735019137994</v>
      </c>
      <c r="G657" s="883">
        <v>1.0134408631848093</v>
      </c>
      <c r="H657" s="883">
        <v>1.0278682381861031</v>
      </c>
      <c r="I657" s="883">
        <v>0.99157859816297267</v>
      </c>
      <c r="K657">
        <v>1.6109788198281476</v>
      </c>
      <c r="L657">
        <v>0</v>
      </c>
      <c r="M657">
        <v>6.5817988050437372E-3</v>
      </c>
      <c r="N657">
        <v>0.12456581115702267</v>
      </c>
      <c r="O657">
        <v>3.1101636965619212E-2</v>
      </c>
      <c r="P657">
        <v>1.8344242882927648E-2</v>
      </c>
      <c r="Q657">
        <v>0</v>
      </c>
      <c r="R657">
        <v>6.5817988050437372E-3</v>
      </c>
      <c r="S657">
        <v>0.17120807633436239</v>
      </c>
      <c r="T657">
        <v>1.1738772555918793</v>
      </c>
      <c r="U657">
        <v>0</v>
      </c>
      <c r="V657">
        <v>1.5933924804709811E-2</v>
      </c>
      <c r="W657">
        <v>6.5234263518874666E-2</v>
      </c>
      <c r="X657">
        <v>-1.6389067389903006E-2</v>
      </c>
      <c r="Y657">
        <v>2.7102675962655091E-2</v>
      </c>
    </row>
    <row r="658" spans="1:25" x14ac:dyDescent="0.25">
      <c r="A658" s="879"/>
      <c r="B658" s="1133">
        <v>408</v>
      </c>
      <c r="C658" s="883">
        <v>1.008944032910559</v>
      </c>
      <c r="D658" s="883">
        <v>0.97966287404930974</v>
      </c>
      <c r="E658" s="883">
        <v>0.9989407734497352</v>
      </c>
      <c r="F658" s="883">
        <v>1.0114680874160535</v>
      </c>
      <c r="G658" s="883">
        <v>0.96524749883376426</v>
      </c>
      <c r="H658" s="883">
        <v>0.97739253968284068</v>
      </c>
      <c r="I658" s="883">
        <v>1.0063338000193491</v>
      </c>
      <c r="K658">
        <v>1.6210653848192367</v>
      </c>
      <c r="L658">
        <v>0</v>
      </c>
      <c r="M658">
        <v>6.2727728489059839E-3</v>
      </c>
      <c r="N658">
        <v>0.11676511995802524</v>
      </c>
      <c r="O658">
        <v>3.0827429768175294E-2</v>
      </c>
      <c r="P658">
        <v>1.8477282191722559E-2</v>
      </c>
      <c r="Q658">
        <v>0</v>
      </c>
      <c r="R658">
        <v>6.2727728489059839E-3</v>
      </c>
      <c r="S658">
        <v>0.16715659493638035</v>
      </c>
      <c r="T658">
        <v>1.1995750410799659</v>
      </c>
      <c r="U658">
        <v>0</v>
      </c>
      <c r="V658">
        <v>1.5805584349128189E-2</v>
      </c>
      <c r="W658">
        <v>6.1489398502486012E-2</v>
      </c>
      <c r="X658">
        <v>-1.4861228046495572E-2</v>
      </c>
      <c r="Y658">
        <v>2.583016207984954E-2</v>
      </c>
    </row>
    <row r="659" spans="1:25" x14ac:dyDescent="0.25">
      <c r="A659" s="879"/>
      <c r="B659" s="1133">
        <v>409</v>
      </c>
      <c r="C659" s="883">
        <v>0.97398987149939753</v>
      </c>
      <c r="D659" s="883">
        <v>1.0328843549864035</v>
      </c>
      <c r="E659" s="883">
        <v>0.98143415353188734</v>
      </c>
      <c r="F659" s="883">
        <v>1.0047544518622014</v>
      </c>
      <c r="G659" s="883">
        <v>1.0232519382196616</v>
      </c>
      <c r="H659" s="883">
        <v>1.0401067949813172</v>
      </c>
      <c r="I659" s="883">
        <v>0.99934576830390132</v>
      </c>
      <c r="K659">
        <v>1.6347036893302715</v>
      </c>
      <c r="L659">
        <v>0</v>
      </c>
      <c r="M659">
        <v>6.8575877045934201E-3</v>
      </c>
      <c r="N659">
        <v>0.12438070067749821</v>
      </c>
      <c r="O659">
        <v>3.1279700493931917E-2</v>
      </c>
      <c r="P659">
        <v>1.8238439161219949E-2</v>
      </c>
      <c r="Q659">
        <v>0</v>
      </c>
      <c r="R659">
        <v>6.8575877045934201E-3</v>
      </c>
      <c r="S659">
        <v>0.17509675392744672</v>
      </c>
      <c r="T659">
        <v>1.1919405092343862</v>
      </c>
      <c r="U659">
        <v>0</v>
      </c>
      <c r="V659">
        <v>1.5999495780220321E-2</v>
      </c>
      <c r="W659">
        <v>6.6074093623732552E-2</v>
      </c>
      <c r="X659">
        <v>-1.6544329130572008E-2</v>
      </c>
      <c r="Y659">
        <v>2.8238325562406519E-2</v>
      </c>
    </row>
    <row r="660" spans="1:25" x14ac:dyDescent="0.25">
      <c r="A660" s="879"/>
      <c r="B660" s="1133">
        <v>410</v>
      </c>
      <c r="C660" s="883">
        <v>1.0100937890786534</v>
      </c>
      <c r="D660" s="883">
        <v>0.99232697660621716</v>
      </c>
      <c r="E660" s="883">
        <v>1.0072294429796389</v>
      </c>
      <c r="F660" s="883">
        <v>0.98463586566380501</v>
      </c>
      <c r="G660" s="883">
        <v>1.0004737177477006</v>
      </c>
      <c r="H660" s="883">
        <v>0.99883172570990397</v>
      </c>
      <c r="I660" s="883">
        <v>1.0312828830834808</v>
      </c>
      <c r="K660">
        <v>1.5967349499954497</v>
      </c>
      <c r="L660">
        <v>0</v>
      </c>
      <c r="M660">
        <v>6.3205155479063545E-3</v>
      </c>
      <c r="N660">
        <v>0.11910713496023305</v>
      </c>
      <c r="O660">
        <v>3.062746415911877E-2</v>
      </c>
      <c r="P660">
        <v>1.8232149654403045E-2</v>
      </c>
      <c r="Q660">
        <v>0</v>
      </c>
      <c r="R660">
        <v>6.3205155479063545E-3</v>
      </c>
      <c r="S660">
        <v>0.17225925486670898</v>
      </c>
      <c r="T660">
        <v>1.167601149183809</v>
      </c>
      <c r="U660">
        <v>0</v>
      </c>
      <c r="V660">
        <v>1.5799433954076698E-2</v>
      </c>
      <c r="W660">
        <v>6.2465381939406643E-2</v>
      </c>
      <c r="X660">
        <v>-1.5383776738756525E-2</v>
      </c>
      <c r="Y660">
        <v>2.6026758016449436E-2</v>
      </c>
    </row>
    <row r="661" spans="1:25" x14ac:dyDescent="0.25">
      <c r="A661" s="879"/>
      <c r="B661" s="1133">
        <v>411</v>
      </c>
      <c r="C661" s="883">
        <v>1.0323039598637735</v>
      </c>
      <c r="D661" s="883">
        <v>0.99128115924720672</v>
      </c>
      <c r="E661" s="883">
        <v>0.97856043612584098</v>
      </c>
      <c r="F661" s="883">
        <v>1.0323586859155289</v>
      </c>
      <c r="G661" s="883">
        <v>1.0020468883541824</v>
      </c>
      <c r="H661" s="883">
        <v>0.96627492546949478</v>
      </c>
      <c r="I661" s="883">
        <v>1.0072700152147658</v>
      </c>
      <c r="K661">
        <v>1.6328983595385649</v>
      </c>
      <c r="L661">
        <v>0</v>
      </c>
      <c r="M661">
        <v>6.1374430319030273E-3</v>
      </c>
      <c r="N661">
        <v>0.11084533266836455</v>
      </c>
      <c r="O661">
        <v>3.000429567136385E-2</v>
      </c>
      <c r="P661">
        <v>1.8462788270222807E-2</v>
      </c>
      <c r="Q661">
        <v>0</v>
      </c>
      <c r="R661">
        <v>6.1374430319030273E-3</v>
      </c>
      <c r="S661">
        <v>0.16276022761763465</v>
      </c>
      <c r="T661">
        <v>1.2247428164613712</v>
      </c>
      <c r="U661">
        <v>0</v>
      </c>
      <c r="V661">
        <v>1.5683313521480793E-2</v>
      </c>
      <c r="W661">
        <v>5.8968561420549147E-2</v>
      </c>
      <c r="X661">
        <v>-1.38418740736619E-2</v>
      </c>
      <c r="Y661">
        <v>2.5272897981240831E-2</v>
      </c>
    </row>
    <row r="662" spans="1:25" x14ac:dyDescent="0.25">
      <c r="A662" s="879"/>
      <c r="B662" s="1133">
        <v>412</v>
      </c>
      <c r="C662" s="883">
        <v>1.0232216361227773</v>
      </c>
      <c r="D662" s="883">
        <v>1.017704019320735</v>
      </c>
      <c r="E662" s="883">
        <v>0.97879581918129854</v>
      </c>
      <c r="F662" s="883">
        <v>0.97623561522160118</v>
      </c>
      <c r="G662" s="883">
        <v>1.0417221124231282</v>
      </c>
      <c r="H662" s="883">
        <v>1.0149544554214025</v>
      </c>
      <c r="I662" s="883">
        <v>1.0164648560313501</v>
      </c>
      <c r="K662">
        <v>1.578900405749518</v>
      </c>
      <c r="L662">
        <v>0</v>
      </c>
      <c r="M662">
        <v>6.4266928060883492E-3</v>
      </c>
      <c r="N662">
        <v>0.11610987653011334</v>
      </c>
      <c r="O662">
        <v>2.9953587050657659E-2</v>
      </c>
      <c r="P662">
        <v>1.7662995442140568E-2</v>
      </c>
      <c r="Q662">
        <v>0</v>
      </c>
      <c r="R662">
        <v>6.4266928060883492E-3</v>
      </c>
      <c r="S662">
        <v>0.16824489774504367</v>
      </c>
      <c r="T662">
        <v>1.1581566971525035</v>
      </c>
      <c r="U662">
        <v>0</v>
      </c>
      <c r="V662">
        <v>1.5730188999689698E-2</v>
      </c>
      <c r="W662">
        <v>6.1761960328606133E-2</v>
      </c>
      <c r="X662">
        <v>-1.5183774566031941E-2</v>
      </c>
      <c r="Y662">
        <v>2.6463977066795454E-2</v>
      </c>
    </row>
    <row r="663" spans="1:25" x14ac:dyDescent="0.25">
      <c r="A663" s="879"/>
      <c r="B663" s="1133">
        <v>413</v>
      </c>
      <c r="C663" s="883">
        <v>0.9986650330950908</v>
      </c>
      <c r="D663" s="883">
        <v>0.99734259092892641</v>
      </c>
      <c r="E663" s="883">
        <v>0.97879532982057993</v>
      </c>
      <c r="F663" s="883">
        <v>1.0054137047287257</v>
      </c>
      <c r="G663" s="883">
        <v>1.0080791733207561</v>
      </c>
      <c r="H663" s="883">
        <v>0.9914572392712574</v>
      </c>
      <c r="I663" s="883">
        <v>0.99461876776318092</v>
      </c>
      <c r="K663">
        <v>1.6163847641071314</v>
      </c>
      <c r="L663">
        <v>0</v>
      </c>
      <c r="M663">
        <v>6.4905023762132589E-3</v>
      </c>
      <c r="N663">
        <v>0.11726262714703657</v>
      </c>
      <c r="O663">
        <v>3.0939235012758082E-2</v>
      </c>
      <c r="P663">
        <v>1.8110702005801366E-2</v>
      </c>
      <c r="Q663">
        <v>0</v>
      </c>
      <c r="R663">
        <v>6.4905023762132589E-3</v>
      </c>
      <c r="S663">
        <v>0.16752834062542196</v>
      </c>
      <c r="T663">
        <v>1.1927721201274104</v>
      </c>
      <c r="U663">
        <v>0</v>
      </c>
      <c r="V663">
        <v>1.5861199097829105E-2</v>
      </c>
      <c r="W663">
        <v>6.2375154618830642E-2</v>
      </c>
      <c r="X663">
        <v>-1.519134804684682E-2</v>
      </c>
      <c r="Y663">
        <v>2.6726733518889739E-2</v>
      </c>
    </row>
    <row r="664" spans="1:25" x14ac:dyDescent="0.25">
      <c r="A664" s="879"/>
      <c r="B664" s="1133">
        <v>414</v>
      </c>
      <c r="C664" s="883">
        <v>0.9872253974164783</v>
      </c>
      <c r="D664" s="883">
        <v>1.0095238650959588</v>
      </c>
      <c r="E664" s="883">
        <v>0.99140102525886775</v>
      </c>
      <c r="F664" s="883">
        <v>1.0037990011073963</v>
      </c>
      <c r="G664" s="883">
        <v>1.0352450211210364</v>
      </c>
      <c r="H664" s="883">
        <v>0.98896247405831195</v>
      </c>
      <c r="I664" s="883">
        <v>1.0098218123329477</v>
      </c>
      <c r="K664">
        <v>1.6203060862347252</v>
      </c>
      <c r="L664">
        <v>0</v>
      </c>
      <c r="M664">
        <v>6.4426107358644402E-3</v>
      </c>
      <c r="N664">
        <v>0.11859398336781496</v>
      </c>
      <c r="O664">
        <v>3.1135864959891502E-2</v>
      </c>
      <c r="P664">
        <v>1.8316035390340352E-2</v>
      </c>
      <c r="Q664">
        <v>0</v>
      </c>
      <c r="R664">
        <v>6.4426107358644402E-3</v>
      </c>
      <c r="S664">
        <v>0.17180380055475669</v>
      </c>
      <c r="T664">
        <v>1.1906205231880258</v>
      </c>
      <c r="U664">
        <v>0</v>
      </c>
      <c r="V664">
        <v>1.5924455148130651E-2</v>
      </c>
      <c r="W664">
        <v>6.2687246928623361E-2</v>
      </c>
      <c r="X664">
        <v>-1.5305347571186682E-2</v>
      </c>
      <c r="Y664">
        <v>2.6529524268327508E-2</v>
      </c>
    </row>
    <row r="665" spans="1:25" x14ac:dyDescent="0.25">
      <c r="A665" s="879"/>
      <c r="B665" s="1133">
        <v>415</v>
      </c>
      <c r="C665" s="883">
        <v>1.0071484517675222</v>
      </c>
      <c r="D665" s="883">
        <v>0.96683621330740432</v>
      </c>
      <c r="E665" s="883">
        <v>1.0238226015009697</v>
      </c>
      <c r="F665" s="883">
        <v>1.0048570445849443</v>
      </c>
      <c r="G665" s="883">
        <v>1.0040741833102367</v>
      </c>
      <c r="H665" s="883">
        <v>0.98206775362023291</v>
      </c>
      <c r="I665" s="883">
        <v>0.99556684195960887</v>
      </c>
      <c r="K665">
        <v>1.6156663111911682</v>
      </c>
      <c r="L665">
        <v>0</v>
      </c>
      <c r="M665">
        <v>6.2145709532252409E-3</v>
      </c>
      <c r="N665">
        <v>0.12002181434315984</v>
      </c>
      <c r="O665">
        <v>3.1023482658350043E-2</v>
      </c>
      <c r="P665">
        <v>1.8698061180763392E-2</v>
      </c>
      <c r="Q665">
        <v>0</v>
      </c>
      <c r="R665">
        <v>6.2145709532252409E-3</v>
      </c>
      <c r="S665">
        <v>0.16609267796642291</v>
      </c>
      <c r="T665">
        <v>1.1912710869412111</v>
      </c>
      <c r="U665">
        <v>0</v>
      </c>
      <c r="V665">
        <v>1.5815217547669003E-2</v>
      </c>
      <c r="W665">
        <v>6.2431752706740271E-2</v>
      </c>
      <c r="X665">
        <v>-1.5278279186135989E-2</v>
      </c>
      <c r="Y665">
        <v>2.5590497032987478E-2</v>
      </c>
    </row>
    <row r="666" spans="1:25" x14ac:dyDescent="0.25">
      <c r="A666" s="879"/>
      <c r="B666" s="1133">
        <v>416</v>
      </c>
      <c r="C666" s="883">
        <v>0.98606052020987067</v>
      </c>
      <c r="D666" s="883">
        <v>0.9621329395478202</v>
      </c>
      <c r="E666" s="883">
        <v>0.97990113545997981</v>
      </c>
      <c r="F666" s="883">
        <v>0.99827649454803535</v>
      </c>
      <c r="G666" s="883">
        <v>1.0186709491573811</v>
      </c>
      <c r="H666" s="883">
        <v>0.96156922121667021</v>
      </c>
      <c r="I666" s="883">
        <v>0.97436925291740706</v>
      </c>
      <c r="K666">
        <v>1.6057244384515406</v>
      </c>
      <c r="L666">
        <v>0</v>
      </c>
      <c r="M666">
        <v>6.4722189198416994E-3</v>
      </c>
      <c r="N666">
        <v>0.11712431659145402</v>
      </c>
      <c r="O666">
        <v>3.1787565486021838E-2</v>
      </c>
      <c r="P666">
        <v>1.7979869306303638E-2</v>
      </c>
      <c r="Q666">
        <v>0</v>
      </c>
      <c r="R666">
        <v>6.4722189198416994E-3</v>
      </c>
      <c r="S666">
        <v>0.1648415776230073</v>
      </c>
      <c r="T666">
        <v>1.1842842781125174</v>
      </c>
      <c r="U666">
        <v>0</v>
      </c>
      <c r="V666">
        <v>1.5930978732717902E-2</v>
      </c>
      <c r="W666">
        <v>6.2267088236375959E-2</v>
      </c>
      <c r="X666">
        <v>-1.5142681136742523E-2</v>
      </c>
      <c r="Y666">
        <v>2.6651445499885573E-2</v>
      </c>
    </row>
    <row r="667" spans="1:25" x14ac:dyDescent="0.25">
      <c r="A667" s="879"/>
      <c r="B667" s="1133">
        <v>417</v>
      </c>
      <c r="C667" s="883">
        <v>0.99682252980677255</v>
      </c>
      <c r="D667" s="883">
        <v>0.98607570776538334</v>
      </c>
      <c r="E667" s="883">
        <v>1.0128681626128822</v>
      </c>
      <c r="F667" s="883">
        <v>0.97996126291160701</v>
      </c>
      <c r="G667" s="883">
        <v>0.96587927684133501</v>
      </c>
      <c r="H667" s="883">
        <v>1.0010137333554243</v>
      </c>
      <c r="I667" s="883">
        <v>1.0064781616422365</v>
      </c>
      <c r="K667">
        <v>1.593598529587714</v>
      </c>
      <c r="L667">
        <v>0</v>
      </c>
      <c r="M667">
        <v>6.4051222497975664E-3</v>
      </c>
      <c r="N667">
        <v>0.12171327456319887</v>
      </c>
      <c r="O667">
        <v>3.1108767164558758E-2</v>
      </c>
      <c r="P667">
        <v>1.8211222042853817E-2</v>
      </c>
      <c r="Q667">
        <v>0</v>
      </c>
      <c r="R667">
        <v>6.4051222497975664E-3</v>
      </c>
      <c r="S667">
        <v>0.17055487658879398</v>
      </c>
      <c r="T667">
        <v>1.1619554577567373</v>
      </c>
      <c r="U667">
        <v>0</v>
      </c>
      <c r="V667">
        <v>1.5871289224619337E-2</v>
      </c>
      <c r="W667">
        <v>6.3654390130576124E-2</v>
      </c>
      <c r="X667">
        <v>-1.584590123902915E-2</v>
      </c>
      <c r="Y667">
        <v>2.6375153355405894E-2</v>
      </c>
    </row>
    <row r="668" spans="1:25" x14ac:dyDescent="0.25">
      <c r="A668" s="879"/>
      <c r="B668" s="1133">
        <v>418</v>
      </c>
      <c r="C668" s="883">
        <v>1.0075251616594763</v>
      </c>
      <c r="D668" s="883">
        <v>1.0348310456550438</v>
      </c>
      <c r="E668" s="883">
        <v>0.97035355602592444</v>
      </c>
      <c r="F668" s="883">
        <v>1.0213867693855812</v>
      </c>
      <c r="G668" s="883">
        <v>0.99944236323020641</v>
      </c>
      <c r="H668" s="883">
        <v>0.96900808286937412</v>
      </c>
      <c r="I668" s="883">
        <v>1.0069103169288369</v>
      </c>
      <c r="K668">
        <v>1.6248078356034839</v>
      </c>
      <c r="L668">
        <v>0</v>
      </c>
      <c r="M668">
        <v>6.2308601505781346E-3</v>
      </c>
      <c r="N668">
        <v>0.11117000641516041</v>
      </c>
      <c r="O668">
        <v>3.0224261644959265E-2</v>
      </c>
      <c r="P668">
        <v>1.8227774614812533E-2</v>
      </c>
      <c r="Q668">
        <v>0</v>
      </c>
      <c r="R668">
        <v>6.2308601505781346E-3</v>
      </c>
      <c r="S668">
        <v>0.16646165131162458</v>
      </c>
      <c r="T668">
        <v>1.2118829622080298</v>
      </c>
      <c r="U668">
        <v>0</v>
      </c>
      <c r="V668">
        <v>1.5813193672719068E-2</v>
      </c>
      <c r="W668">
        <v>5.9385365520552971E-2</v>
      </c>
      <c r="X668">
        <v>-1.4014952832692927E-2</v>
      </c>
      <c r="Y668">
        <v>2.5657573048317651E-2</v>
      </c>
    </row>
    <row r="669" spans="1:25" x14ac:dyDescent="0.25">
      <c r="A669" s="879"/>
      <c r="B669" s="1133">
        <v>419</v>
      </c>
      <c r="C669" s="883">
        <v>1.014895213070272</v>
      </c>
      <c r="D669" s="883">
        <v>1.0052036386265304</v>
      </c>
      <c r="E669" s="883">
        <v>1.024705570066458</v>
      </c>
      <c r="F669" s="883">
        <v>1.0031373066213749</v>
      </c>
      <c r="G669" s="883">
        <v>1.0068713724597951</v>
      </c>
      <c r="H669" s="883">
        <v>0.99540549778863163</v>
      </c>
      <c r="I669" s="883">
        <v>0.97875056324423781</v>
      </c>
      <c r="K669">
        <v>1.6069643065064434</v>
      </c>
      <c r="L669">
        <v>0</v>
      </c>
      <c r="M669">
        <v>6.1384877557664223E-3</v>
      </c>
      <c r="N669">
        <v>0.11870732342267248</v>
      </c>
      <c r="O669">
        <v>3.0310346474073078E-2</v>
      </c>
      <c r="P669">
        <v>1.8631519252094123E-2</v>
      </c>
      <c r="Q669">
        <v>0</v>
      </c>
      <c r="R669">
        <v>6.1384877557664223E-3</v>
      </c>
      <c r="S669">
        <v>0.16241183811820503</v>
      </c>
      <c r="T669">
        <v>1.1892159483635572</v>
      </c>
      <c r="U669">
        <v>0</v>
      </c>
      <c r="V669">
        <v>1.5773900286828291E-2</v>
      </c>
      <c r="W669">
        <v>6.1721189500876898E-2</v>
      </c>
      <c r="X669">
        <v>-1.5084958880020653E-2</v>
      </c>
      <c r="Y669">
        <v>2.5277199968156375E-2</v>
      </c>
    </row>
    <row r="670" spans="1:25" x14ac:dyDescent="0.25">
      <c r="A670" s="879"/>
      <c r="B670" s="1133">
        <v>420</v>
      </c>
      <c r="C670" s="883">
        <v>0.98388711380803417</v>
      </c>
      <c r="D670" s="883">
        <v>1.014453937036957</v>
      </c>
      <c r="E670" s="883">
        <v>1.0231852056551636</v>
      </c>
      <c r="F670" s="883">
        <v>1.0184898256321393</v>
      </c>
      <c r="G670" s="883">
        <v>0.97435455630724477</v>
      </c>
      <c r="H670" s="883">
        <v>1.005477416758749</v>
      </c>
      <c r="I670" s="883">
        <v>0.98675601973687144</v>
      </c>
      <c r="K670">
        <v>1.6404670863216464</v>
      </c>
      <c r="L670">
        <v>0</v>
      </c>
      <c r="M670">
        <v>6.378439291970424E-3</v>
      </c>
      <c r="N670">
        <v>0.12307053143596264</v>
      </c>
      <c r="O670">
        <v>3.1152667121449099E-2</v>
      </c>
      <c r="P670">
        <v>1.8955990124185505E-2</v>
      </c>
      <c r="Q670">
        <v>0</v>
      </c>
      <c r="R670">
        <v>6.378439291970424E-3</v>
      </c>
      <c r="S670">
        <v>0.16939041129519902</v>
      </c>
      <c r="T670">
        <v>1.2074449239614498</v>
      </c>
      <c r="U670">
        <v>0</v>
      </c>
      <c r="V670">
        <v>1.5943191614112881E-2</v>
      </c>
      <c r="W670">
        <v>6.4037678476252649E-2</v>
      </c>
      <c r="X670">
        <v>-1.5793585391428069E-2</v>
      </c>
      <c r="Y670">
        <v>2.6265277684463167E-2</v>
      </c>
    </row>
    <row r="671" spans="1:25" x14ac:dyDescent="0.25">
      <c r="A671" s="879"/>
      <c r="B671" s="1133">
        <v>421</v>
      </c>
      <c r="C671" s="883">
        <v>0.9750654636550975</v>
      </c>
      <c r="D671" s="883">
        <v>0.9871935663405309</v>
      </c>
      <c r="E671" s="883">
        <v>1.0181984809313371</v>
      </c>
      <c r="F671" s="883">
        <v>1.0021094531733705</v>
      </c>
      <c r="G671" s="883">
        <v>0.99636310285286567</v>
      </c>
      <c r="H671" s="883">
        <v>1.0030287417730122</v>
      </c>
      <c r="I671" s="883">
        <v>0.99558986553745887</v>
      </c>
      <c r="K671">
        <v>1.627991062967465</v>
      </c>
      <c r="L671">
        <v>0</v>
      </c>
      <c r="M671">
        <v>6.5273897287572193E-3</v>
      </c>
      <c r="N671">
        <v>0.12501889285996146</v>
      </c>
      <c r="O671">
        <v>3.17835759173574E-2</v>
      </c>
      <c r="P671">
        <v>1.8667877209406061E-2</v>
      </c>
      <c r="Q671">
        <v>0</v>
      </c>
      <c r="R671">
        <v>6.5273897287572193E-3</v>
      </c>
      <c r="S671">
        <v>0.17258804651655182</v>
      </c>
      <c r="T671">
        <v>1.1881180057899632</v>
      </c>
      <c r="U671">
        <v>0</v>
      </c>
      <c r="V671">
        <v>1.5993321512563941E-2</v>
      </c>
      <c r="W671">
        <v>6.5211420931066882E-2</v>
      </c>
      <c r="X671">
        <v>-1.6268706840366558E-2</v>
      </c>
      <c r="Y671">
        <v>2.6878629070961772E-2</v>
      </c>
    </row>
    <row r="672" spans="1:25" x14ac:dyDescent="0.25">
      <c r="A672" s="879"/>
      <c r="B672" s="1133">
        <v>422</v>
      </c>
      <c r="C672" s="883">
        <v>1.0388928806014124</v>
      </c>
      <c r="D672" s="883">
        <v>0.96196332575510901</v>
      </c>
      <c r="E672" s="883">
        <v>0.98734161720120861</v>
      </c>
      <c r="F672" s="883">
        <v>1.0281488928130238</v>
      </c>
      <c r="G672" s="883">
        <v>1.0049306312437194</v>
      </c>
      <c r="H672" s="883">
        <v>1.0162177545712823</v>
      </c>
      <c r="I672" s="883">
        <v>1.0330851878093978</v>
      </c>
      <c r="K672">
        <v>1.6450282707833956</v>
      </c>
      <c r="L672">
        <v>0</v>
      </c>
      <c r="M672">
        <v>6.4507276996096027E-3</v>
      </c>
      <c r="N672">
        <v>0.11803086672857123</v>
      </c>
      <c r="O672">
        <v>3.0167310310588859E-2</v>
      </c>
      <c r="P672">
        <v>1.8603281102791039E-2</v>
      </c>
      <c r="Q672">
        <v>0</v>
      </c>
      <c r="R672">
        <v>6.4507276996096027E-3</v>
      </c>
      <c r="S672">
        <v>0.16910192185746897</v>
      </c>
      <c r="T672">
        <v>1.2195800450313572</v>
      </c>
      <c r="U672">
        <v>0</v>
      </c>
      <c r="V672">
        <v>1.5649819911350317E-2</v>
      </c>
      <c r="W672">
        <v>6.251604610059143E-2</v>
      </c>
      <c r="X672">
        <v>-1.5183968739588575E-2</v>
      </c>
      <c r="Y672">
        <v>2.6562948480264404E-2</v>
      </c>
    </row>
    <row r="673" spans="1:25" x14ac:dyDescent="0.25">
      <c r="A673" s="879"/>
      <c r="B673" s="1133">
        <v>423</v>
      </c>
      <c r="C673" s="883">
        <v>0.99995439679100129</v>
      </c>
      <c r="D673" s="883">
        <v>0.9980016232002783</v>
      </c>
      <c r="E673" s="883">
        <v>0.97722495632813366</v>
      </c>
      <c r="F673" s="883">
        <v>0.98864527246993184</v>
      </c>
      <c r="G673" s="883">
        <v>1.0276894164045485</v>
      </c>
      <c r="H673" s="883">
        <v>0.97180991121946092</v>
      </c>
      <c r="I673" s="883">
        <v>0.98744592713446722</v>
      </c>
      <c r="K673">
        <v>1.5895049941198547</v>
      </c>
      <c r="L673">
        <v>0</v>
      </c>
      <c r="M673">
        <v>6.3605059016246931E-3</v>
      </c>
      <c r="N673">
        <v>0.11464653698812621</v>
      </c>
      <c r="O673">
        <v>3.089241434870952E-2</v>
      </c>
      <c r="P673">
        <v>1.7793948859915448E-2</v>
      </c>
      <c r="Q673">
        <v>0</v>
      </c>
      <c r="R673">
        <v>6.3605059016246931E-3</v>
      </c>
      <c r="S673">
        <v>0.16497186952283199</v>
      </c>
      <c r="T673">
        <v>1.1729079010168137</v>
      </c>
      <c r="U673">
        <v>0</v>
      </c>
      <c r="V673">
        <v>1.5854160252201981E-2</v>
      </c>
      <c r="W673">
        <v>6.1031595091581882E-2</v>
      </c>
      <c r="X673">
        <v>-1.4784863135370441E-2</v>
      </c>
      <c r="Y673">
        <v>2.6191431175043932E-2</v>
      </c>
    </row>
    <row r="674" spans="1:25" x14ac:dyDescent="0.25">
      <c r="A674" s="879"/>
      <c r="B674" s="1133">
        <v>424</v>
      </c>
      <c r="C674" s="883">
        <v>0.96809991333196954</v>
      </c>
      <c r="D674" s="883">
        <v>1.004843393427612</v>
      </c>
      <c r="E674" s="883">
        <v>1.0373982298580948</v>
      </c>
      <c r="F674" s="883">
        <v>1.0069723896763865</v>
      </c>
      <c r="G674" s="883">
        <v>0.98641836184012777</v>
      </c>
      <c r="H674" s="883">
        <v>0.99217803429445628</v>
      </c>
      <c r="I674" s="883">
        <v>0.99180238253457897</v>
      </c>
      <c r="K674">
        <v>1.6323985558419589</v>
      </c>
      <c r="L674">
        <v>0</v>
      </c>
      <c r="M674">
        <v>6.3443900354587445E-3</v>
      </c>
      <c r="N674">
        <v>0.12501257489969281</v>
      </c>
      <c r="O674">
        <v>3.1767709386207051E-2</v>
      </c>
      <c r="P674">
        <v>1.9006654504330586E-2</v>
      </c>
      <c r="Q674">
        <v>0</v>
      </c>
      <c r="R674">
        <v>6.3443900354587445E-3</v>
      </c>
      <c r="S674">
        <v>0.17235919477023454</v>
      </c>
      <c r="T674">
        <v>1.1935266391247048</v>
      </c>
      <c r="U674">
        <v>0</v>
      </c>
      <c r="V674">
        <v>1.603354942718346E-2</v>
      </c>
      <c r="W674">
        <v>6.4596256221501891E-2</v>
      </c>
      <c r="X674">
        <v>-1.6029091398586756E-2</v>
      </c>
      <c r="Y674">
        <v>2.6125068906689808E-2</v>
      </c>
    </row>
    <row r="675" spans="1:25" x14ac:dyDescent="0.25">
      <c r="A675" s="879"/>
      <c r="B675" s="1133">
        <v>425</v>
      </c>
      <c r="C675" s="883">
        <v>0.9644490577451198</v>
      </c>
      <c r="D675" s="883">
        <v>1.0257822258169302</v>
      </c>
      <c r="E675" s="883">
        <v>1.02739569425996</v>
      </c>
      <c r="F675" s="883">
        <v>0.99832909526124392</v>
      </c>
      <c r="G675" s="883">
        <v>1.0122476137725227</v>
      </c>
      <c r="H675" s="883">
        <v>0.9536575753135581</v>
      </c>
      <c r="I675" s="883">
        <v>0.99672508539436411</v>
      </c>
      <c r="K675">
        <v>1.6119576073659128</v>
      </c>
      <c r="L675">
        <v>0</v>
      </c>
      <c r="M675">
        <v>6.118571599593124E-3</v>
      </c>
      <c r="N675">
        <v>0.11879376741238297</v>
      </c>
      <c r="O675">
        <v>3.1635684659995902E-2</v>
      </c>
      <c r="P675">
        <v>1.871655744043705E-2</v>
      </c>
      <c r="Q675">
        <v>0</v>
      </c>
      <c r="R675">
        <v>6.118571599593124E-3</v>
      </c>
      <c r="S675">
        <v>0.17137049445686389</v>
      </c>
      <c r="T675">
        <v>1.183466225407076</v>
      </c>
      <c r="U675">
        <v>0</v>
      </c>
      <c r="V675">
        <v>1.6054866188428083E-2</v>
      </c>
      <c r="W675">
        <v>6.1684542850823011E-2</v>
      </c>
      <c r="X675">
        <v>-1.4959719832073545E-2</v>
      </c>
      <c r="Y675">
        <v>2.5195188781978389E-2</v>
      </c>
    </row>
    <row r="676" spans="1:25" x14ac:dyDescent="0.25">
      <c r="A676" s="879"/>
      <c r="B676" s="1133">
        <v>426</v>
      </c>
      <c r="C676" s="883">
        <v>1.0130371392798034</v>
      </c>
      <c r="D676" s="883">
        <v>0.96765744304732315</v>
      </c>
      <c r="E676" s="883">
        <v>0.99515897433371825</v>
      </c>
      <c r="F676" s="883">
        <v>0.99906515237175608</v>
      </c>
      <c r="G676" s="883">
        <v>1.0017140814216094</v>
      </c>
      <c r="H676" s="883">
        <v>1.0143883289676348</v>
      </c>
      <c r="I676" s="883">
        <v>1.0224768115411815</v>
      </c>
      <c r="K676">
        <v>1.6174206155027038</v>
      </c>
      <c r="L676">
        <v>0</v>
      </c>
      <c r="M676">
        <v>6.5412840372623491E-3</v>
      </c>
      <c r="N676">
        <v>0.12108290665423641</v>
      </c>
      <c r="O676">
        <v>3.0857866298912653E-2</v>
      </c>
      <c r="P676">
        <v>1.8286510729649357E-2</v>
      </c>
      <c r="Q676">
        <v>0</v>
      </c>
      <c r="R676">
        <v>6.5412840372623491E-3</v>
      </c>
      <c r="S676">
        <v>0.17146993776377092</v>
      </c>
      <c r="T676">
        <v>1.1849357490953218</v>
      </c>
      <c r="U676">
        <v>0</v>
      </c>
      <c r="V676">
        <v>1.5783752695703337E-2</v>
      </c>
      <c r="W676">
        <v>6.3883193052998472E-2</v>
      </c>
      <c r="X676">
        <v>-1.5815144148180856E-2</v>
      </c>
      <c r="Y676">
        <v>2.6935843360291176E-2</v>
      </c>
    </row>
    <row r="677" spans="1:25" x14ac:dyDescent="0.25">
      <c r="A677" s="879"/>
      <c r="B677" s="1133">
        <v>427</v>
      </c>
      <c r="C677" s="883">
        <v>0.97375635250345938</v>
      </c>
      <c r="D677" s="883">
        <v>1.0256966977971382</v>
      </c>
      <c r="E677" s="883">
        <v>0.98615553296912306</v>
      </c>
      <c r="F677" s="883">
        <v>0.99478609081746439</v>
      </c>
      <c r="G677" s="883">
        <v>0.99662081862667484</v>
      </c>
      <c r="H677" s="883">
        <v>1.0027324001434159</v>
      </c>
      <c r="I677" s="883">
        <v>0.98925295142601311</v>
      </c>
      <c r="K677">
        <v>1.6127705237501364</v>
      </c>
      <c r="L677">
        <v>0</v>
      </c>
      <c r="M677">
        <v>6.6060991346774869E-3</v>
      </c>
      <c r="N677">
        <v>0.12066132713383636</v>
      </c>
      <c r="O677">
        <v>3.1370859553337807E-2</v>
      </c>
      <c r="P677">
        <v>1.8096473037512273E-2</v>
      </c>
      <c r="Q677">
        <v>0</v>
      </c>
      <c r="R677">
        <v>6.6060991346774869E-3</v>
      </c>
      <c r="S677">
        <v>0.17127426856866154</v>
      </c>
      <c r="T677">
        <v>1.1800274164674263</v>
      </c>
      <c r="U677">
        <v>0</v>
      </c>
      <c r="V677">
        <v>1.6000838061431315E-2</v>
      </c>
      <c r="W677">
        <v>6.3947153049372193E-2</v>
      </c>
      <c r="X677">
        <v>-1.5810552516230768E-2</v>
      </c>
      <c r="Y677">
        <v>2.7202740394789451E-2</v>
      </c>
    </row>
    <row r="678" spans="1:25" x14ac:dyDescent="0.25">
      <c r="A678" s="879"/>
      <c r="B678" s="1133">
        <v>428</v>
      </c>
      <c r="C678" s="883">
        <v>1.0342057926037895</v>
      </c>
      <c r="D678" s="883">
        <v>0.98904559097513689</v>
      </c>
      <c r="E678" s="883">
        <v>0.99283575782897893</v>
      </c>
      <c r="F678" s="883">
        <v>1.0282258024453419</v>
      </c>
      <c r="G678" s="883">
        <v>1.0092397930334225</v>
      </c>
      <c r="H678" s="883">
        <v>0.99907148188774986</v>
      </c>
      <c r="I678" s="883">
        <v>1.0191494373993424</v>
      </c>
      <c r="K678">
        <v>1.6378143668958416</v>
      </c>
      <c r="L678">
        <v>0</v>
      </c>
      <c r="M678">
        <v>6.2620163855736941E-3</v>
      </c>
      <c r="N678">
        <v>0.11551506034369262</v>
      </c>
      <c r="O678">
        <v>2.9964958623635692E-2</v>
      </c>
      <c r="P678">
        <v>1.8644324934741576E-2</v>
      </c>
      <c r="Q678">
        <v>0</v>
      </c>
      <c r="R678">
        <v>6.2620163855736941E-3</v>
      </c>
      <c r="S678">
        <v>0.1662958374973576</v>
      </c>
      <c r="T678">
        <v>1.2195660373861537</v>
      </c>
      <c r="U678">
        <v>0</v>
      </c>
      <c r="V678">
        <v>1.5673602077680125E-2</v>
      </c>
      <c r="W678">
        <v>6.1016135934219513E-2</v>
      </c>
      <c r="X678">
        <v>-1.4647458780066111E-2</v>
      </c>
      <c r="Y678">
        <v>2.5785868878426269E-2</v>
      </c>
    </row>
    <row r="679" spans="1:25" x14ac:dyDescent="0.25">
      <c r="A679" s="879"/>
      <c r="B679" s="1133">
        <v>429</v>
      </c>
      <c r="C679" s="883">
        <v>0.97138531222735414</v>
      </c>
      <c r="D679" s="883">
        <v>1.0096228322085787</v>
      </c>
      <c r="E679" s="883">
        <v>1.0073682585603563</v>
      </c>
      <c r="F679" s="883">
        <v>0.97615761862823591</v>
      </c>
      <c r="G679" s="883">
        <v>1.0117691029196905</v>
      </c>
      <c r="H679" s="883">
        <v>0.98050624216471327</v>
      </c>
      <c r="I679" s="883">
        <v>0.99817673298422283</v>
      </c>
      <c r="K679">
        <v>1.5900186296100181</v>
      </c>
      <c r="L679">
        <v>0</v>
      </c>
      <c r="M679">
        <v>6.4014879992331398E-3</v>
      </c>
      <c r="N679">
        <v>0.12065782027268883</v>
      </c>
      <c r="O679">
        <v>3.1628438457111427E-2</v>
      </c>
      <c r="P679">
        <v>1.8099673932959335E-2</v>
      </c>
      <c r="Q679">
        <v>0</v>
      </c>
      <c r="R679">
        <v>6.4014879992331398E-3</v>
      </c>
      <c r="S679">
        <v>0.17210673982520164</v>
      </c>
      <c r="T679">
        <v>1.1575449580936756</v>
      </c>
      <c r="U679">
        <v>0</v>
      </c>
      <c r="V679">
        <v>1.6014503486208777E-2</v>
      </c>
      <c r="W679">
        <v>6.3274284906931391E-2</v>
      </c>
      <c r="X679">
        <v>-1.5667977523214024E-2</v>
      </c>
      <c r="Y679">
        <v>2.6360188158454079E-2</v>
      </c>
    </row>
    <row r="680" spans="1:25" x14ac:dyDescent="0.25">
      <c r="A680" s="879"/>
      <c r="B680" s="1133">
        <v>430</v>
      </c>
      <c r="C680" s="883">
        <v>0.99141256913627429</v>
      </c>
      <c r="D680" s="883">
        <v>1.0213036243649019</v>
      </c>
      <c r="E680" s="883">
        <v>0.99270017270159394</v>
      </c>
      <c r="F680" s="883">
        <v>1.0010250326321695</v>
      </c>
      <c r="G680" s="883">
        <v>0.96129158391547598</v>
      </c>
      <c r="H680" s="883">
        <v>1.0334821706706276</v>
      </c>
      <c r="I680" s="883">
        <v>1.0376797902615171</v>
      </c>
      <c r="K680">
        <v>1.6298544772404111</v>
      </c>
      <c r="L680">
        <v>0</v>
      </c>
      <c r="M680">
        <v>6.6620701359007932E-3</v>
      </c>
      <c r="N680">
        <v>0.12287013289029458</v>
      </c>
      <c r="O680">
        <v>3.085974801940328E-2</v>
      </c>
      <c r="P680">
        <v>1.8377156316053335E-2</v>
      </c>
      <c r="Q680">
        <v>0</v>
      </c>
      <c r="R680">
        <v>6.6620701359007932E-3</v>
      </c>
      <c r="S680">
        <v>0.1783588931968019</v>
      </c>
      <c r="T680">
        <v>1.1873060640492343</v>
      </c>
      <c r="U680">
        <v>0</v>
      </c>
      <c r="V680">
        <v>1.5901132595974518E-2</v>
      </c>
      <c r="W680">
        <v>6.4905537362627386E-2</v>
      </c>
      <c r="X680">
        <v>-1.6157406205337854E-2</v>
      </c>
      <c r="Y680">
        <v>2.7433219015360187E-2</v>
      </c>
    </row>
    <row r="681" spans="1:25" x14ac:dyDescent="0.25">
      <c r="A681" s="879"/>
      <c r="B681" s="1133">
        <v>431</v>
      </c>
      <c r="C681" s="883">
        <v>0.97525711024702355</v>
      </c>
      <c r="D681" s="883">
        <v>0.98617569507299208</v>
      </c>
      <c r="E681" s="883">
        <v>0.97634524118842181</v>
      </c>
      <c r="F681" s="883">
        <v>1.0236061492062523</v>
      </c>
      <c r="G681" s="883">
        <v>0.98777641755337386</v>
      </c>
      <c r="H681" s="883">
        <v>0.99274802322041189</v>
      </c>
      <c r="I681" s="883">
        <v>1.0187509530920811</v>
      </c>
      <c r="K681">
        <v>1.653416344954572</v>
      </c>
      <c r="L681">
        <v>0</v>
      </c>
      <c r="M681">
        <v>6.7027576200084102E-3</v>
      </c>
      <c r="N681">
        <v>0.12065791409426688</v>
      </c>
      <c r="O681">
        <v>3.1826831049281926E-2</v>
      </c>
      <c r="P681">
        <v>1.8472425041445244E-2</v>
      </c>
      <c r="Q681">
        <v>0</v>
      </c>
      <c r="R681">
        <v>6.7027576200084102E-3</v>
      </c>
      <c r="S681">
        <v>0.17590623210557677</v>
      </c>
      <c r="T681">
        <v>1.214401574729904</v>
      </c>
      <c r="U681">
        <v>0</v>
      </c>
      <c r="V681">
        <v>1.5992222824915778E-2</v>
      </c>
      <c r="W681">
        <v>6.426006244323669E-2</v>
      </c>
      <c r="X681">
        <v>-1.5701680166867991E-2</v>
      </c>
      <c r="Y681">
        <v>2.7600762832813156E-2</v>
      </c>
    </row>
    <row r="682" spans="1:25" x14ac:dyDescent="0.25">
      <c r="A682" s="879"/>
      <c r="B682" s="1133">
        <v>432</v>
      </c>
      <c r="C682" s="883">
        <v>0.97627875957843346</v>
      </c>
      <c r="D682" s="883">
        <v>1.0055211236209773</v>
      </c>
      <c r="E682" s="883">
        <v>1.0001289260505917</v>
      </c>
      <c r="F682" s="883">
        <v>0.97264271531334434</v>
      </c>
      <c r="G682" s="883">
        <v>1.0174631964039365</v>
      </c>
      <c r="H682" s="883">
        <v>0.96531474777197335</v>
      </c>
      <c r="I682" s="883">
        <v>1.0032089430983033</v>
      </c>
      <c r="K682">
        <v>1.5809404487840555</v>
      </c>
      <c r="L682">
        <v>0</v>
      </c>
      <c r="M682">
        <v>6.3219791715080293E-3</v>
      </c>
      <c r="N682">
        <v>0.11788841054298659</v>
      </c>
      <c r="O682">
        <v>3.1527570654149094E-2</v>
      </c>
      <c r="P682">
        <v>1.7934942430289529E-2</v>
      </c>
      <c r="Q682">
        <v>0</v>
      </c>
      <c r="R682">
        <v>6.3219791715080293E-3</v>
      </c>
      <c r="S682">
        <v>0.17123643582666492</v>
      </c>
      <c r="T682">
        <v>1.1535076716706893</v>
      </c>
      <c r="U682">
        <v>0</v>
      </c>
      <c r="V682">
        <v>1.5986373106918438E-2</v>
      </c>
      <c r="W682">
        <v>6.2044303184847452E-2</v>
      </c>
      <c r="X682">
        <v>-1.5218043590417139E-2</v>
      </c>
      <c r="Y682">
        <v>2.6032784957925829E-2</v>
      </c>
    </row>
    <row r="683" spans="1:25" x14ac:dyDescent="0.25">
      <c r="A683" s="879"/>
      <c r="B683" s="1133">
        <v>433</v>
      </c>
      <c r="C683" s="883">
        <v>1.0073219475195556</v>
      </c>
      <c r="D683" s="883">
        <v>1.0234257409329079</v>
      </c>
      <c r="E683" s="883">
        <v>1.0241926328326811</v>
      </c>
      <c r="F683" s="883">
        <v>1.0022798391130308</v>
      </c>
      <c r="G683" s="883">
        <v>0.95420759894783125</v>
      </c>
      <c r="H683" s="883">
        <v>1.0091455794478679</v>
      </c>
      <c r="I683" s="883">
        <v>1.0320601699085883</v>
      </c>
      <c r="K683">
        <v>1.6193307820810523</v>
      </c>
      <c r="L683">
        <v>0</v>
      </c>
      <c r="M683">
        <v>6.2228006142517143E-3</v>
      </c>
      <c r="N683">
        <v>0.12024653700889712</v>
      </c>
      <c r="O683">
        <v>3.0320024726400236E-2</v>
      </c>
      <c r="P683">
        <v>1.87580784228519E-2</v>
      </c>
      <c r="Q683">
        <v>0</v>
      </c>
      <c r="R683">
        <v>6.2228006142517143E-3</v>
      </c>
      <c r="S683">
        <v>0.17317278715747694</v>
      </c>
      <c r="T683">
        <v>1.1882089228286317</v>
      </c>
      <c r="U683">
        <v>0</v>
      </c>
      <c r="V683">
        <v>1.5814285253214752E-2</v>
      </c>
      <c r="W683">
        <v>6.2537265332050118E-2</v>
      </c>
      <c r="X683">
        <v>-1.535150396074076E-2</v>
      </c>
      <c r="Y683">
        <v>2.5624385312269446E-2</v>
      </c>
    </row>
    <row r="684" spans="1:25" x14ac:dyDescent="0.25">
      <c r="A684" s="879"/>
      <c r="B684" s="1133">
        <v>434</v>
      </c>
      <c r="C684" s="883">
        <v>1.0254113400747022</v>
      </c>
      <c r="D684" s="883">
        <v>0.9989844096031224</v>
      </c>
      <c r="E684" s="883">
        <v>1.00460397012979</v>
      </c>
      <c r="F684" s="883">
        <v>1.0129175120336564</v>
      </c>
      <c r="G684" s="883">
        <v>0.98092716835689031</v>
      </c>
      <c r="H684" s="883">
        <v>0.9865543318611979</v>
      </c>
      <c r="I684" s="883">
        <v>1.0121829552896955</v>
      </c>
      <c r="K684">
        <v>1.6179946740819811</v>
      </c>
      <c r="L684">
        <v>0</v>
      </c>
      <c r="M684">
        <v>6.1453396413112052E-3</v>
      </c>
      <c r="N684">
        <v>0.11535666114544875</v>
      </c>
      <c r="O684">
        <v>3.0091591875995617E-2</v>
      </c>
      <c r="P684">
        <v>1.8558459948031045E-2</v>
      </c>
      <c r="Q684">
        <v>0</v>
      </c>
      <c r="R684">
        <v>6.1453396413112052E-3</v>
      </c>
      <c r="S684">
        <v>0.16577020340881929</v>
      </c>
      <c r="T684">
        <v>1.2011874544174217</v>
      </c>
      <c r="U684">
        <v>0</v>
      </c>
      <c r="V684">
        <v>1.5718811584354779E-2</v>
      </c>
      <c r="W684">
        <v>6.057720173004668E-2</v>
      </c>
      <c r="X684">
        <v>-1.4571124841375396E-2</v>
      </c>
      <c r="Y684">
        <v>2.5305414813239637E-2</v>
      </c>
    </row>
    <row r="685" spans="1:25" x14ac:dyDescent="0.25">
      <c r="A685" s="879"/>
      <c r="B685" s="1133">
        <v>435</v>
      </c>
      <c r="C685" s="883">
        <v>0.98952240533111646</v>
      </c>
      <c r="D685" s="883">
        <v>0.98724757504522986</v>
      </c>
      <c r="E685" s="883">
        <v>0.9740757297762509</v>
      </c>
      <c r="F685" s="883">
        <v>0.96186526252027538</v>
      </c>
      <c r="G685" s="883">
        <v>1.0105881384474842</v>
      </c>
      <c r="H685" s="883">
        <v>0.99062755153024462</v>
      </c>
      <c r="I685" s="883">
        <v>1.0038915648020648</v>
      </c>
      <c r="K685">
        <v>1.5696856492445967</v>
      </c>
      <c r="L685">
        <v>0</v>
      </c>
      <c r="M685">
        <v>6.6018622823373436E-3</v>
      </c>
      <c r="N685">
        <v>0.11844203767693735</v>
      </c>
      <c r="O685">
        <v>3.1356171830951178E-2</v>
      </c>
      <c r="P685">
        <v>1.7410881813664091E-2</v>
      </c>
      <c r="Q685">
        <v>0</v>
      </c>
      <c r="R685">
        <v>6.6018622823373436E-3</v>
      </c>
      <c r="S685">
        <v>0.17070240061116382</v>
      </c>
      <c r="T685">
        <v>1.141193280815501</v>
      </c>
      <c r="U685">
        <v>0</v>
      </c>
      <c r="V685">
        <v>1.5911636371472065E-2</v>
      </c>
      <c r="W685">
        <v>6.315179302846799E-2</v>
      </c>
      <c r="X685">
        <v>-1.566784669454678E-2</v>
      </c>
      <c r="Y685">
        <v>2.7185293790984333E-2</v>
      </c>
    </row>
    <row r="686" spans="1:25" x14ac:dyDescent="0.25">
      <c r="A686" s="879"/>
      <c r="B686" s="1133">
        <v>436</v>
      </c>
      <c r="C686" s="883">
        <v>0.95863337340724164</v>
      </c>
      <c r="D686" s="883">
        <v>1.0230923685047122</v>
      </c>
      <c r="E686" s="883">
        <v>0.99017209931585437</v>
      </c>
      <c r="F686" s="883">
        <v>0.98021488534799139</v>
      </c>
      <c r="G686" s="883">
        <v>0.99553964288962882</v>
      </c>
      <c r="H686" s="883">
        <v>0.98226591545100217</v>
      </c>
      <c r="I686" s="883">
        <v>1.0364906775845331</v>
      </c>
      <c r="K686">
        <v>1.60524861940722</v>
      </c>
      <c r="L686">
        <v>0</v>
      </c>
      <c r="M686">
        <v>6.5577797075702859E-3</v>
      </c>
      <c r="N686">
        <v>0.12049425978108595</v>
      </c>
      <c r="O686">
        <v>3.1894783719171121E-2</v>
      </c>
      <c r="P686">
        <v>1.8052952098908646E-2</v>
      </c>
      <c r="Q686">
        <v>0</v>
      </c>
      <c r="R686">
        <v>6.5577797075702859E-3</v>
      </c>
      <c r="S686">
        <v>0.1810453893494815</v>
      </c>
      <c r="T686">
        <v>1.1626694987286896</v>
      </c>
      <c r="U686">
        <v>0</v>
      </c>
      <c r="V686">
        <v>1.6089158363289585E-2</v>
      </c>
      <c r="W686">
        <v>6.373073978106357E-2</v>
      </c>
      <c r="X686">
        <v>-1.5731932008968674E-2</v>
      </c>
      <c r="Y686">
        <v>2.7003769594499405E-2</v>
      </c>
    </row>
    <row r="687" spans="1:25" x14ac:dyDescent="0.25">
      <c r="A687" s="879"/>
      <c r="B687" s="1133">
        <v>437</v>
      </c>
      <c r="C687" s="883">
        <v>0.95600194522375903</v>
      </c>
      <c r="D687" s="883">
        <v>0.98847844472331015</v>
      </c>
      <c r="E687" s="883">
        <v>1.0055300009823553</v>
      </c>
      <c r="F687" s="883">
        <v>1.0034114508235183</v>
      </c>
      <c r="G687" s="883">
        <v>0.98998482324603509</v>
      </c>
      <c r="H687" s="883">
        <v>0.98850847418315324</v>
      </c>
      <c r="I687" s="883">
        <v>1.009953193651238</v>
      </c>
      <c r="K687">
        <v>1.6357478257973213</v>
      </c>
      <c r="L687">
        <v>0</v>
      </c>
      <c r="M687">
        <v>6.6304321712349502E-3</v>
      </c>
      <c r="N687">
        <v>0.12463333250331236</v>
      </c>
      <c r="O687">
        <v>3.2412297637705624E-2</v>
      </c>
      <c r="P687">
        <v>1.8584796026126529E-2</v>
      </c>
      <c r="Q687">
        <v>0</v>
      </c>
      <c r="R687">
        <v>6.6304321712349502E-3</v>
      </c>
      <c r="S687">
        <v>0.17764635720297617</v>
      </c>
      <c r="T687">
        <v>1.1898972627854028</v>
      </c>
      <c r="U687">
        <v>0</v>
      </c>
      <c r="V687">
        <v>1.6104811675324879E-2</v>
      </c>
      <c r="W687">
        <v>6.541862622070363E-2</v>
      </c>
      <c r="X687">
        <v>-1.6252597762444115E-2</v>
      </c>
      <c r="Y687">
        <v>2.7302939508214025E-2</v>
      </c>
    </row>
    <row r="688" spans="1:25" x14ac:dyDescent="0.25">
      <c r="A688" s="879"/>
      <c r="B688" s="1133">
        <v>438</v>
      </c>
      <c r="C688" s="883">
        <v>1.0196044017564279</v>
      </c>
      <c r="D688" s="883">
        <v>1.0067476294654223</v>
      </c>
      <c r="E688" s="883">
        <v>1.0021383965313635</v>
      </c>
      <c r="F688" s="883">
        <v>0.98575859257074672</v>
      </c>
      <c r="G688" s="883">
        <v>1.0275510303534314</v>
      </c>
      <c r="H688" s="883">
        <v>0.98984244640113139</v>
      </c>
      <c r="I688" s="883">
        <v>0.99393127240320567</v>
      </c>
      <c r="K688">
        <v>1.5842118643102752</v>
      </c>
      <c r="L688">
        <v>0</v>
      </c>
      <c r="M688">
        <v>6.1928964257665087E-3</v>
      </c>
      <c r="N688">
        <v>0.11582562475419184</v>
      </c>
      <c r="O688">
        <v>3.0171486211491603E-2</v>
      </c>
      <c r="P688">
        <v>1.8067346698612999E-2</v>
      </c>
      <c r="Q688">
        <v>0</v>
      </c>
      <c r="R688">
        <v>6.1928964257665087E-3</v>
      </c>
      <c r="S688">
        <v>0.16381716332522428</v>
      </c>
      <c r="T688">
        <v>1.1690256690843273</v>
      </c>
      <c r="U688">
        <v>0</v>
      </c>
      <c r="V688">
        <v>1.5749090717398381E-2</v>
      </c>
      <c r="W688">
        <v>6.0897888961366983E-2</v>
      </c>
      <c r="X688">
        <v>-1.4843650629174804E-2</v>
      </c>
      <c r="Y688">
        <v>2.5501245186834495E-2</v>
      </c>
    </row>
    <row r="689" spans="1:25" x14ac:dyDescent="0.25">
      <c r="A689" s="879"/>
      <c r="B689" s="1133">
        <v>439</v>
      </c>
      <c r="C689" s="883">
        <v>1.0073975086911358</v>
      </c>
      <c r="D689" s="883">
        <v>0.99671582796852454</v>
      </c>
      <c r="E689" s="883">
        <v>0.98002505082913627</v>
      </c>
      <c r="F689" s="883">
        <v>1.0071305116587288</v>
      </c>
      <c r="G689" s="883">
        <v>1.0087579045018957</v>
      </c>
      <c r="H689" s="883">
        <v>0.9805607155141296</v>
      </c>
      <c r="I689" s="883">
        <v>0.98045420090273583</v>
      </c>
      <c r="K689">
        <v>1.6101567316318379</v>
      </c>
      <c r="L689">
        <v>0</v>
      </c>
      <c r="M689">
        <v>6.3584915193070201E-3</v>
      </c>
      <c r="N689">
        <v>0.11508740909388088</v>
      </c>
      <c r="O689">
        <v>3.0677789482640931E-2</v>
      </c>
      <c r="P689">
        <v>1.8095397399587949E-2</v>
      </c>
      <c r="Q689">
        <v>0</v>
      </c>
      <c r="R689">
        <v>6.3584915193070201E-3</v>
      </c>
      <c r="S689">
        <v>0.16310273664282754</v>
      </c>
      <c r="T689">
        <v>1.194785724355351</v>
      </c>
      <c r="U689">
        <v>0</v>
      </c>
      <c r="V689">
        <v>1.581387931909619E-2</v>
      </c>
      <c r="W689">
        <v>6.1180405945129787E-2</v>
      </c>
      <c r="X689">
        <v>-1.4769746913883306E-2</v>
      </c>
      <c r="Y689">
        <v>2.6183136307206447E-2</v>
      </c>
    </row>
    <row r="690" spans="1:25" x14ac:dyDescent="0.25">
      <c r="A690" s="879"/>
      <c r="B690" s="1133">
        <v>440</v>
      </c>
      <c r="C690" s="883">
        <v>0.99800406304895872</v>
      </c>
      <c r="D690" s="883">
        <v>1.0114212879426168</v>
      </c>
      <c r="E690" s="883">
        <v>0.99299285922260105</v>
      </c>
      <c r="F690" s="883">
        <v>1.0166061918856637</v>
      </c>
      <c r="G690" s="883">
        <v>1.0042524596566398</v>
      </c>
      <c r="H690" s="883">
        <v>1.0040794916217552</v>
      </c>
      <c r="I690" s="883">
        <v>1.0112045347109149</v>
      </c>
      <c r="K690">
        <v>1.6352669998657261</v>
      </c>
      <c r="L690">
        <v>0</v>
      </c>
      <c r="M690">
        <v>6.4560554820425392E-3</v>
      </c>
      <c r="N690">
        <v>0.1191222246981533</v>
      </c>
      <c r="O690">
        <v>3.077515030079863E-2</v>
      </c>
      <c r="P690">
        <v>1.8529080993202805E-2</v>
      </c>
      <c r="Q690">
        <v>0</v>
      </c>
      <c r="R690">
        <v>6.4560554820425392E-3</v>
      </c>
      <c r="S690">
        <v>0.17104779761311414</v>
      </c>
      <c r="T690">
        <v>1.2057811863318082</v>
      </c>
      <c r="U690">
        <v>0</v>
      </c>
      <c r="V690">
        <v>1.5864814492106482E-2</v>
      </c>
      <c r="W690">
        <v>6.2916550611764488E-2</v>
      </c>
      <c r="X690">
        <v>-1.5354692515237177E-2</v>
      </c>
      <c r="Y690">
        <v>2.6584887340013307E-2</v>
      </c>
    </row>
    <row r="691" spans="1:25" x14ac:dyDescent="0.25">
      <c r="A691" s="879"/>
      <c r="B691" s="1133">
        <v>441</v>
      </c>
      <c r="C691" s="883">
        <v>1.0024435170659018</v>
      </c>
      <c r="D691" s="883">
        <v>1.0163403233709467</v>
      </c>
      <c r="E691" s="883">
        <v>0.97541694556456648</v>
      </c>
      <c r="F691" s="883">
        <v>0.99608702286085982</v>
      </c>
      <c r="G691" s="883">
        <v>0.96181658288539995</v>
      </c>
      <c r="H691" s="883">
        <v>0.99631061104964291</v>
      </c>
      <c r="I691" s="883">
        <v>1.0047001863724103</v>
      </c>
      <c r="K691">
        <v>1.6044198836795693</v>
      </c>
      <c r="L691">
        <v>0</v>
      </c>
      <c r="M691">
        <v>6.4622493792890687E-3</v>
      </c>
      <c r="N691">
        <v>0.11616831173805924</v>
      </c>
      <c r="O691">
        <v>3.0593477837846866E-2</v>
      </c>
      <c r="P691">
        <v>1.7933931611002381E-2</v>
      </c>
      <c r="Q691">
        <v>0</v>
      </c>
      <c r="R691">
        <v>6.4622493792890687E-3</v>
      </c>
      <c r="S691">
        <v>0.16867926620141363</v>
      </c>
      <c r="T691">
        <v>1.1817702935816394</v>
      </c>
      <c r="U691">
        <v>0</v>
      </c>
      <c r="V691">
        <v>1.5840622959557234E-2</v>
      </c>
      <c r="W691">
        <v>6.1897799693661465E-2</v>
      </c>
      <c r="X691">
        <v>-1.5074212650012646E-2</v>
      </c>
      <c r="Y691">
        <v>2.6610392706401906E-2</v>
      </c>
    </row>
    <row r="692" spans="1:25" x14ac:dyDescent="0.25">
      <c r="A692" s="879"/>
      <c r="B692" s="1133">
        <v>442</v>
      </c>
      <c r="C692" s="883">
        <v>0.99034191006016514</v>
      </c>
      <c r="D692" s="883">
        <v>1.033828814167665</v>
      </c>
      <c r="E692" s="883">
        <v>0.99263411555282166</v>
      </c>
      <c r="F692" s="883">
        <v>0.99187820366038459</v>
      </c>
      <c r="G692" s="883">
        <v>1.0311628163296516</v>
      </c>
      <c r="H692" s="883">
        <v>1.027725487069687</v>
      </c>
      <c r="I692" s="883">
        <v>1.0307782194459401</v>
      </c>
      <c r="K692">
        <v>1.6153093590636374</v>
      </c>
      <c r="L692">
        <v>0</v>
      </c>
      <c r="M692">
        <v>6.5965986257857994E-3</v>
      </c>
      <c r="N692">
        <v>0.12165071427765484</v>
      </c>
      <c r="O692">
        <v>3.0742904886180877E-2</v>
      </c>
      <c r="P692">
        <v>1.8212472086789767E-2</v>
      </c>
      <c r="Q692">
        <v>0</v>
      </c>
      <c r="R692">
        <v>6.5965986257857994E-3</v>
      </c>
      <c r="S692">
        <v>0.17688850349404889</v>
      </c>
      <c r="T692">
        <v>1.1764583189083053</v>
      </c>
      <c r="U692">
        <v>0</v>
      </c>
      <c r="V692">
        <v>1.5907077401679463E-2</v>
      </c>
      <c r="W692">
        <v>6.4263500071547422E-2</v>
      </c>
      <c r="X692">
        <v>-1.5977751052770137E-2</v>
      </c>
      <c r="Y692">
        <v>2.7163618990201026E-2</v>
      </c>
    </row>
    <row r="693" spans="1:25" x14ac:dyDescent="0.25">
      <c r="A693" s="879"/>
      <c r="B693" s="1133">
        <v>443</v>
      </c>
      <c r="C693" s="883">
        <v>0.99524929997719536</v>
      </c>
      <c r="D693" s="883">
        <v>1.0227603598760395</v>
      </c>
      <c r="E693" s="883">
        <v>1.0289535741282005</v>
      </c>
      <c r="F693" s="883">
        <v>1.0089896877903195</v>
      </c>
      <c r="G693" s="883">
        <v>1.0229842570965402</v>
      </c>
      <c r="H693" s="883">
        <v>1.0088883187726381</v>
      </c>
      <c r="I693" s="883">
        <v>1.0077069411441055</v>
      </c>
      <c r="K693">
        <v>1.6282971581805994</v>
      </c>
      <c r="L693">
        <v>0</v>
      </c>
      <c r="M693">
        <v>6.2722878253425648E-3</v>
      </c>
      <c r="N693">
        <v>0.1220590090015778</v>
      </c>
      <c r="O693">
        <v>3.0691399407709173E-2</v>
      </c>
      <c r="P693">
        <v>1.8904799860648955E-2</v>
      </c>
      <c r="Q693">
        <v>0</v>
      </c>
      <c r="R693">
        <v>6.2722878253425648E-3</v>
      </c>
      <c r="S693">
        <v>0.1711343665312442</v>
      </c>
      <c r="T693">
        <v>1.1960747744418951</v>
      </c>
      <c r="U693">
        <v>0</v>
      </c>
      <c r="V693">
        <v>1.5879934294086316E-2</v>
      </c>
      <c r="W693">
        <v>6.3331586387669905E-2</v>
      </c>
      <c r="X693">
        <v>-1.5606876583380069E-2</v>
      </c>
      <c r="Y693">
        <v>2.5828164839146357E-2</v>
      </c>
    </row>
    <row r="694" spans="1:25" x14ac:dyDescent="0.25">
      <c r="A694" s="879"/>
      <c r="B694" s="1133">
        <v>444</v>
      </c>
      <c r="C694" s="883">
        <v>0.9653021588430285</v>
      </c>
      <c r="D694" s="883">
        <v>1.0329762135045544</v>
      </c>
      <c r="E694" s="883">
        <v>0.98659857141532936</v>
      </c>
      <c r="F694" s="883">
        <v>1.0296227920594561</v>
      </c>
      <c r="G694" s="883">
        <v>0.98862349767325952</v>
      </c>
      <c r="H694" s="883">
        <v>1.0025396906710677</v>
      </c>
      <c r="I694" s="883">
        <v>1.0126629728843493</v>
      </c>
      <c r="K694">
        <v>1.6617149493455523</v>
      </c>
      <c r="L694">
        <v>0</v>
      </c>
      <c r="M694">
        <v>6.6391595772381396E-3</v>
      </c>
      <c r="N694">
        <v>0.12134488012737157</v>
      </c>
      <c r="O694">
        <v>3.1555846727073227E-2</v>
      </c>
      <c r="P694">
        <v>1.8723145099133202E-2</v>
      </c>
      <c r="Q694">
        <v>0</v>
      </c>
      <c r="R694">
        <v>6.6391595772381396E-3</v>
      </c>
      <c r="S694">
        <v>0.17677992493476308</v>
      </c>
      <c r="T694">
        <v>1.2213426320970258</v>
      </c>
      <c r="U694">
        <v>0</v>
      </c>
      <c r="V694">
        <v>1.6049870630823238E-2</v>
      </c>
      <c r="W694">
        <v>6.4295189872292852E-2</v>
      </c>
      <c r="X694">
        <v>-1.5715417555646809E-2</v>
      </c>
      <c r="Y694">
        <v>2.7338877412714801E-2</v>
      </c>
    </row>
    <row r="695" spans="1:25" x14ac:dyDescent="0.25">
      <c r="A695" s="879"/>
      <c r="B695" s="1133">
        <v>445</v>
      </c>
      <c r="C695" s="883">
        <v>0.98633865951176525</v>
      </c>
      <c r="D695" s="883">
        <v>1.0041840776720439</v>
      </c>
      <c r="E695" s="883">
        <v>1.0071889625276769</v>
      </c>
      <c r="F695" s="883">
        <v>1.0226389086005965</v>
      </c>
      <c r="G695" s="883">
        <v>1.0358661780530787</v>
      </c>
      <c r="H695" s="883">
        <v>1.0302317550960249</v>
      </c>
      <c r="I695" s="883">
        <v>1.0133446775388202</v>
      </c>
      <c r="K695">
        <v>1.6555639510333173</v>
      </c>
      <c r="L695">
        <v>0</v>
      </c>
      <c r="M695">
        <v>6.6411758647122315E-3</v>
      </c>
      <c r="N695">
        <v>0.12514232628329289</v>
      </c>
      <c r="O695">
        <v>3.1216468141913402E-2</v>
      </c>
      <c r="P695">
        <v>1.88772788160581E-2</v>
      </c>
      <c r="Q695">
        <v>0</v>
      </c>
      <c r="R695">
        <v>6.6411758647122315E-3</v>
      </c>
      <c r="S695">
        <v>0.17508235844393952</v>
      </c>
      <c r="T695">
        <v>1.2126666951507208</v>
      </c>
      <c r="U695">
        <v>0</v>
      </c>
      <c r="V695">
        <v>1.592941968727285E-2</v>
      </c>
      <c r="W695">
        <v>6.5631835607556768E-2</v>
      </c>
      <c r="X695">
        <v>-1.6329611223084215E-2</v>
      </c>
      <c r="Y695">
        <v>2.7347180125647321E-2</v>
      </c>
    </row>
    <row r="696" spans="1:25" x14ac:dyDescent="0.25">
      <c r="A696" s="879"/>
      <c r="B696" s="1133">
        <v>446</v>
      </c>
      <c r="C696" s="883">
        <v>0.98815129919222655</v>
      </c>
      <c r="D696" s="883">
        <v>0.9713810341294753</v>
      </c>
      <c r="E696" s="883">
        <v>1.0216384373053198</v>
      </c>
      <c r="F696" s="883">
        <v>0.95314552088881943</v>
      </c>
      <c r="G696" s="883">
        <v>1.0051770190868841</v>
      </c>
      <c r="H696" s="883">
        <v>0.97626267100822095</v>
      </c>
      <c r="I696" s="883">
        <v>0.98873288148595262</v>
      </c>
      <c r="K696">
        <v>1.5575236329708337</v>
      </c>
      <c r="L696">
        <v>0</v>
      </c>
      <c r="M696">
        <v>6.2954532920358915E-3</v>
      </c>
      <c r="N696">
        <v>0.12119176640755995</v>
      </c>
      <c r="O696">
        <v>3.1562698345169102E-2</v>
      </c>
      <c r="P696">
        <v>1.7858803948483628E-2</v>
      </c>
      <c r="Q696">
        <v>0</v>
      </c>
      <c r="R696">
        <v>6.2954532920358915E-3</v>
      </c>
      <c r="S696">
        <v>0.16773194804342473</v>
      </c>
      <c r="T696">
        <v>1.1300048860677649</v>
      </c>
      <c r="U696">
        <v>0</v>
      </c>
      <c r="V696">
        <v>1.591928085304524E-2</v>
      </c>
      <c r="W696">
        <v>6.3108112942315289E-2</v>
      </c>
      <c r="X696">
        <v>-1.5777419744619846E-2</v>
      </c>
      <c r="Y696">
        <v>2.5923556107690107E-2</v>
      </c>
    </row>
    <row r="697" spans="1:25" x14ac:dyDescent="0.25">
      <c r="A697" s="879"/>
      <c r="B697" s="1133">
        <v>447</v>
      </c>
      <c r="C697" s="883">
        <v>1.0361949140708686</v>
      </c>
      <c r="D697" s="883">
        <v>0.97251013300739897</v>
      </c>
      <c r="E697" s="883">
        <v>1.0319311942961928</v>
      </c>
      <c r="F697" s="883">
        <v>1.0003383784327096</v>
      </c>
      <c r="G697" s="883">
        <v>1.0322033418392753</v>
      </c>
      <c r="H697" s="883">
        <v>0.97497296558027369</v>
      </c>
      <c r="I697" s="883">
        <v>1.029613098625852</v>
      </c>
      <c r="K697">
        <v>1.602911568489106</v>
      </c>
      <c r="L697">
        <v>0</v>
      </c>
      <c r="M697">
        <v>5.9387257578407291E-3</v>
      </c>
      <c r="N697">
        <v>0.11607765319308989</v>
      </c>
      <c r="O697">
        <v>3.0075968980859055E-2</v>
      </c>
      <c r="P697">
        <v>1.8738526155778749E-2</v>
      </c>
      <c r="Q697">
        <v>0</v>
      </c>
      <c r="R697">
        <v>5.9387257578407291E-3</v>
      </c>
      <c r="S697">
        <v>0.16649258027765584</v>
      </c>
      <c r="T697">
        <v>1.1857643965839226</v>
      </c>
      <c r="U697">
        <v>0</v>
      </c>
      <c r="V697">
        <v>1.5663483046755123E-2</v>
      </c>
      <c r="W697">
        <v>6.0140197827164649E-2</v>
      </c>
      <c r="X697">
        <v>-1.4495853193128041E-2</v>
      </c>
      <c r="Y697">
        <v>2.4454615617008523E-2</v>
      </c>
    </row>
    <row r="698" spans="1:25" x14ac:dyDescent="0.25">
      <c r="A698" s="879"/>
      <c r="B698" s="1133">
        <v>448</v>
      </c>
      <c r="C698" s="883">
        <v>1.0197351389043414</v>
      </c>
      <c r="D698" s="883">
        <v>0.97119175593230278</v>
      </c>
      <c r="E698" s="883">
        <v>1.008319654442176</v>
      </c>
      <c r="F698" s="883">
        <v>1.0061150773195706</v>
      </c>
      <c r="G698" s="883">
        <v>1.027910044669236</v>
      </c>
      <c r="H698" s="883">
        <v>1.0018390522023344</v>
      </c>
      <c r="I698" s="883">
        <v>1.0424232841382568</v>
      </c>
      <c r="K698">
        <v>1.623848784569258</v>
      </c>
      <c r="L698">
        <v>0</v>
      </c>
      <c r="M698">
        <v>6.3342222881883157E-3</v>
      </c>
      <c r="N698">
        <v>0.11955826711237</v>
      </c>
      <c r="O698">
        <v>3.0599326893213267E-2</v>
      </c>
      <c r="P698">
        <v>1.8597349753310722E-2</v>
      </c>
      <c r="Q698">
        <v>0</v>
      </c>
      <c r="R698">
        <v>6.3342222881883157E-3</v>
      </c>
      <c r="S698">
        <v>0.17288624454004792</v>
      </c>
      <c r="T698">
        <v>1.1930512850646722</v>
      </c>
      <c r="U698">
        <v>0</v>
      </c>
      <c r="V698">
        <v>1.5748405219763287E-2</v>
      </c>
      <c r="W698">
        <v>6.2668144541279669E-2</v>
      </c>
      <c r="X698">
        <v>-1.5343438488622314E-2</v>
      </c>
      <c r="Y698">
        <v>2.608319993322173E-2</v>
      </c>
    </row>
    <row r="699" spans="1:25" x14ac:dyDescent="0.25">
      <c r="A699" s="879"/>
      <c r="B699" s="1133">
        <v>449</v>
      </c>
      <c r="C699" s="883">
        <v>1.0019377598937158</v>
      </c>
      <c r="D699" s="883">
        <v>0.96952448737518571</v>
      </c>
      <c r="E699" s="883">
        <v>1.0118745594780258</v>
      </c>
      <c r="F699" s="883">
        <v>0.9976229093359481</v>
      </c>
      <c r="G699" s="883">
        <v>1.0223637686551867</v>
      </c>
      <c r="H699" s="883">
        <v>1.0171262133972232</v>
      </c>
      <c r="I699" s="883">
        <v>1.0347418240996979</v>
      </c>
      <c r="K699">
        <v>1.6235290707347458</v>
      </c>
      <c r="L699">
        <v>0</v>
      </c>
      <c r="M699">
        <v>6.5298031568689578E-3</v>
      </c>
      <c r="N699">
        <v>0.12390017360922718</v>
      </c>
      <c r="O699">
        <v>3.1161109543731778E-2</v>
      </c>
      <c r="P699">
        <v>1.8548447613981067E-2</v>
      </c>
      <c r="Q699">
        <v>0</v>
      </c>
      <c r="R699">
        <v>6.5298031568689578E-3</v>
      </c>
      <c r="S699">
        <v>0.17561183183690371</v>
      </c>
      <c r="T699">
        <v>1.1829155177754374</v>
      </c>
      <c r="U699">
        <v>0</v>
      </c>
      <c r="V699">
        <v>1.584336811812535E-2</v>
      </c>
      <c r="W699">
        <v>6.4829930338321379E-2</v>
      </c>
      <c r="X699">
        <v>-1.6169875239334323E-2</v>
      </c>
      <c r="Y699">
        <v>2.6888567138351718E-2</v>
      </c>
    </row>
    <row r="700" spans="1:25" x14ac:dyDescent="0.25">
      <c r="A700" s="879"/>
      <c r="B700" s="1133">
        <v>450</v>
      </c>
      <c r="C700" s="883">
        <v>0.99280782892548858</v>
      </c>
      <c r="D700" s="883">
        <v>1.0285641558245935</v>
      </c>
      <c r="E700" s="883">
        <v>0.98396220416028002</v>
      </c>
      <c r="F700" s="883">
        <v>0.97045950753843302</v>
      </c>
      <c r="G700" s="883">
        <v>1.0359660819552101</v>
      </c>
      <c r="H700" s="883">
        <v>1.003432608136132</v>
      </c>
      <c r="I700" s="883">
        <v>1.0076189496188737</v>
      </c>
      <c r="K700">
        <v>1.5786501487845495</v>
      </c>
      <c r="L700">
        <v>0</v>
      </c>
      <c r="M700">
        <v>6.488198759501994E-3</v>
      </c>
      <c r="N700">
        <v>0.11812298332883328</v>
      </c>
      <c r="O700">
        <v>3.0736292549558647E-2</v>
      </c>
      <c r="P700">
        <v>1.768186329741327E-2</v>
      </c>
      <c r="Q700">
        <v>0</v>
      </c>
      <c r="R700">
        <v>6.488198759501994E-3</v>
      </c>
      <c r="S700">
        <v>0.17111710332782484</v>
      </c>
      <c r="T700">
        <v>1.1512106245134504</v>
      </c>
      <c r="U700">
        <v>0</v>
      </c>
      <c r="V700">
        <v>1.5893404695764227E-2</v>
      </c>
      <c r="W700">
        <v>6.2670547645495928E-2</v>
      </c>
      <c r="X700">
        <v>-1.5499918209093914E-2</v>
      </c>
      <c r="Y700">
        <v>2.6717247635301245E-2</v>
      </c>
    </row>
    <row r="701" spans="1:25" x14ac:dyDescent="0.25">
      <c r="A701" s="879"/>
      <c r="B701" s="1133">
        <v>451</v>
      </c>
      <c r="C701" s="883">
        <v>1.0037754068220361</v>
      </c>
      <c r="D701" s="883">
        <v>1.0002265460541611</v>
      </c>
      <c r="E701" s="883">
        <v>1.0242533153711388</v>
      </c>
      <c r="F701" s="883">
        <v>1.0037644036272531</v>
      </c>
      <c r="G701" s="883">
        <v>1.0146828209097676</v>
      </c>
      <c r="H701" s="883">
        <v>1.0179481488185749</v>
      </c>
      <c r="I701" s="883">
        <v>1.0065860411559113</v>
      </c>
      <c r="K701">
        <v>1.622757634118051</v>
      </c>
      <c r="L701">
        <v>0</v>
      </c>
      <c r="M701">
        <v>6.363632173680139E-3</v>
      </c>
      <c r="N701">
        <v>0.12297893680685268</v>
      </c>
      <c r="O701">
        <v>3.0707446296025526E-2</v>
      </c>
      <c r="P701">
        <v>1.874313705078683E-2</v>
      </c>
      <c r="Q701">
        <v>0</v>
      </c>
      <c r="R701">
        <v>6.363632173680139E-3</v>
      </c>
      <c r="S701">
        <v>0.17024111659973923</v>
      </c>
      <c r="T701">
        <v>1.1899677576673438</v>
      </c>
      <c r="U701">
        <v>0</v>
      </c>
      <c r="V701">
        <v>1.583340693741515E-2</v>
      </c>
      <c r="W701">
        <v>6.3956410730848678E-2</v>
      </c>
      <c r="X701">
        <v>-1.5874882577874894E-2</v>
      </c>
      <c r="Y701">
        <v>2.6204304606912577E-2</v>
      </c>
    </row>
    <row r="702" spans="1:25" x14ac:dyDescent="0.25">
      <c r="A702" s="879"/>
      <c r="B702" s="1133">
        <v>452</v>
      </c>
      <c r="C702" s="883">
        <v>0.98618500078711224</v>
      </c>
      <c r="D702" s="883">
        <v>1.0185961443304319</v>
      </c>
      <c r="E702" s="883">
        <v>1.0041956149705098</v>
      </c>
      <c r="F702" s="883">
        <v>0.97652382686486761</v>
      </c>
      <c r="G702" s="883">
        <v>1.0099810381239416</v>
      </c>
      <c r="H702" s="883">
        <v>1.0094814400441454</v>
      </c>
      <c r="I702" s="883">
        <v>1.0107336709472321</v>
      </c>
      <c r="K702">
        <v>1.5926676016350645</v>
      </c>
      <c r="L702">
        <v>0</v>
      </c>
      <c r="M702">
        <v>6.4841605312526045E-3</v>
      </c>
      <c r="N702">
        <v>0.12164321655202381</v>
      </c>
      <c r="O702">
        <v>3.1046490896057852E-2</v>
      </c>
      <c r="P702">
        <v>1.8077602445199067E-2</v>
      </c>
      <c r="Q702">
        <v>0</v>
      </c>
      <c r="R702">
        <v>6.4841605312526045E-3</v>
      </c>
      <c r="S702">
        <v>0.17327547842294649</v>
      </c>
      <c r="T702">
        <v>1.1580367157000899</v>
      </c>
      <c r="U702">
        <v>0</v>
      </c>
      <c r="V702">
        <v>1.5930280876952658E-2</v>
      </c>
      <c r="W702">
        <v>6.3891391080312027E-2</v>
      </c>
      <c r="X702">
        <v>-1.5934193268665908E-2</v>
      </c>
      <c r="Y702">
        <v>2.6700618930148086E-2</v>
      </c>
    </row>
    <row r="703" spans="1:25" x14ac:dyDescent="0.25">
      <c r="A703" s="879"/>
      <c r="B703" s="1133">
        <v>453</v>
      </c>
      <c r="C703" s="883">
        <v>1.0106664771452207</v>
      </c>
      <c r="D703" s="883">
        <v>1.0052722009852977</v>
      </c>
      <c r="E703" s="883">
        <v>1.0295409627208392</v>
      </c>
      <c r="F703" s="883">
        <v>1.0217326335592605</v>
      </c>
      <c r="G703" s="883">
        <v>1.012220855933553</v>
      </c>
      <c r="H703" s="883">
        <v>1.0010965957539251</v>
      </c>
      <c r="I703" s="883">
        <v>0.99789312255224061</v>
      </c>
      <c r="K703">
        <v>1.6358766972091474</v>
      </c>
      <c r="L703">
        <v>0</v>
      </c>
      <c r="M703">
        <v>6.1730192297462187E-3</v>
      </c>
      <c r="N703">
        <v>0.12023159225375031</v>
      </c>
      <c r="O703">
        <v>3.0431899280902567E-2</v>
      </c>
      <c r="P703">
        <v>1.9056260282205903E-2</v>
      </c>
      <c r="Q703">
        <v>0</v>
      </c>
      <c r="R703">
        <v>6.1730192297462187E-3</v>
      </c>
      <c r="S703">
        <v>0.16661070770935249</v>
      </c>
      <c r="T703">
        <v>1.2111694182212869</v>
      </c>
      <c r="U703">
        <v>0</v>
      </c>
      <c r="V703">
        <v>1.5796375692607917E-2</v>
      </c>
      <c r="W703">
        <v>6.2365432566135824E-2</v>
      </c>
      <c r="X703">
        <v>-1.5204383228726017E-2</v>
      </c>
      <c r="Y703">
        <v>2.5419394431631936E-2</v>
      </c>
    </row>
    <row r="704" spans="1:25" x14ac:dyDescent="0.25">
      <c r="A704" s="879"/>
      <c r="B704" s="1133">
        <v>454</v>
      </c>
      <c r="C704" s="883">
        <v>0.99029191726367294</v>
      </c>
      <c r="D704" s="883">
        <v>1.0338601396083089</v>
      </c>
      <c r="E704" s="883">
        <v>0.98710925341709832</v>
      </c>
      <c r="F704" s="883">
        <v>0.98923855662109772</v>
      </c>
      <c r="G704" s="883">
        <v>1.0231952679945415</v>
      </c>
      <c r="H704" s="883">
        <v>1.0024632298116773</v>
      </c>
      <c r="I704" s="883">
        <v>1.0122267559086666</v>
      </c>
      <c r="K704">
        <v>1.6025011115792891</v>
      </c>
      <c r="L704">
        <v>0</v>
      </c>
      <c r="M704">
        <v>6.4657838003850734E-3</v>
      </c>
      <c r="N704">
        <v>0.11826559500041457</v>
      </c>
      <c r="O704">
        <v>3.0748607381080584E-2</v>
      </c>
      <c r="P704">
        <v>1.8033816156521318E-2</v>
      </c>
      <c r="Q704">
        <v>0</v>
      </c>
      <c r="R704">
        <v>6.4657838003850734E-3</v>
      </c>
      <c r="S704">
        <v>0.17223238993743531</v>
      </c>
      <c r="T704">
        <v>1.1734292740914554</v>
      </c>
      <c r="U704">
        <v>0</v>
      </c>
      <c r="V704">
        <v>1.5907355299460704E-2</v>
      </c>
      <c r="W704">
        <v>6.2647638850858833E-2</v>
      </c>
      <c r="X704">
        <v>-1.5388511961309711E-2</v>
      </c>
      <c r="Y704">
        <v>2.6624946823371756E-2</v>
      </c>
    </row>
    <row r="705" spans="1:25" x14ac:dyDescent="0.25">
      <c r="A705" s="879"/>
      <c r="B705" s="1133">
        <v>455</v>
      </c>
      <c r="C705" s="883">
        <v>0.99212356920481393</v>
      </c>
      <c r="D705" s="883">
        <v>0.98880377891031501</v>
      </c>
      <c r="E705" s="883">
        <v>1.0279513987611817</v>
      </c>
      <c r="F705" s="883">
        <v>1.0215206851758785</v>
      </c>
      <c r="G705" s="883">
        <v>0.98381804073681611</v>
      </c>
      <c r="H705" s="883">
        <v>1.0080660678954967</v>
      </c>
      <c r="I705" s="883">
        <v>1.0104723637670892</v>
      </c>
      <c r="K705">
        <v>1.6485611479437356</v>
      </c>
      <c r="L705">
        <v>0</v>
      </c>
      <c r="M705">
        <v>6.3878969641963761E-3</v>
      </c>
      <c r="N705">
        <v>0.12412473092386749</v>
      </c>
      <c r="O705">
        <v>3.1207681613952643E-2</v>
      </c>
      <c r="P705">
        <v>1.9112109991860606E-2</v>
      </c>
      <c r="Q705">
        <v>0</v>
      </c>
      <c r="R705">
        <v>6.3878969641963761E-3</v>
      </c>
      <c r="S705">
        <v>0.17244856420024976</v>
      </c>
      <c r="T705">
        <v>1.2109481451465334</v>
      </c>
      <c r="U705">
        <v>0</v>
      </c>
      <c r="V705">
        <v>1.5897191876718883E-2</v>
      </c>
      <c r="W705">
        <v>6.4435099655135636E-2</v>
      </c>
      <c r="X705">
        <v>-1.591659815987034E-2</v>
      </c>
      <c r="Y705">
        <v>2.6304222695286737E-2</v>
      </c>
    </row>
    <row r="706" spans="1:25" x14ac:dyDescent="0.25">
      <c r="A706" s="879"/>
      <c r="B706" s="1133">
        <v>456</v>
      </c>
      <c r="C706" s="883">
        <v>0.99001760761366298</v>
      </c>
      <c r="D706" s="883">
        <v>1.0236822164588568</v>
      </c>
      <c r="E706" s="883">
        <v>1.0185790671494759</v>
      </c>
      <c r="F706" s="883">
        <v>1.0080400269654046</v>
      </c>
      <c r="G706" s="883">
        <v>0.99941602251319916</v>
      </c>
      <c r="H706" s="883">
        <v>1.0071776880398942</v>
      </c>
      <c r="I706" s="883">
        <v>1.0051799468897569</v>
      </c>
      <c r="K706">
        <v>1.6277955812009663</v>
      </c>
      <c r="L706">
        <v>0</v>
      </c>
      <c r="M706">
        <v>6.3496486132251706E-3</v>
      </c>
      <c r="N706">
        <v>0.12168311894615831</v>
      </c>
      <c r="O706">
        <v>3.0852020670177609E-2</v>
      </c>
      <c r="P706">
        <v>1.8752323468101587E-2</v>
      </c>
      <c r="Q706">
        <v>0</v>
      </c>
      <c r="R706">
        <v>6.3496486132251706E-3</v>
      </c>
      <c r="S706">
        <v>0.17148714548790581</v>
      </c>
      <c r="T706">
        <v>1.1951422958315134</v>
      </c>
      <c r="U706">
        <v>0</v>
      </c>
      <c r="V706">
        <v>1.590888061949312E-2</v>
      </c>
      <c r="W706">
        <v>6.3459533490415179E-2</v>
      </c>
      <c r="X706">
        <v>-1.5636460106738581E-2</v>
      </c>
      <c r="Y706">
        <v>2.6146722793939998E-2</v>
      </c>
    </row>
    <row r="707" spans="1:25" x14ac:dyDescent="0.25">
      <c r="A707" s="879"/>
      <c r="B707" s="1133">
        <v>457</v>
      </c>
      <c r="C707" s="883">
        <v>1.0402890192452121</v>
      </c>
      <c r="D707" s="883">
        <v>1.0031176048303274</v>
      </c>
      <c r="E707" s="883">
        <v>1.0083870216498818</v>
      </c>
      <c r="F707" s="883">
        <v>0.97895375414037511</v>
      </c>
      <c r="G707" s="883">
        <v>0.9873480310794952</v>
      </c>
      <c r="H707" s="883">
        <v>1.0007940786426117</v>
      </c>
      <c r="I707" s="883">
        <v>0.99693333200693635</v>
      </c>
      <c r="K707">
        <v>1.5720775424859978</v>
      </c>
      <c r="L707">
        <v>0</v>
      </c>
      <c r="M707">
        <v>6.1133280596142913E-3</v>
      </c>
      <c r="N707">
        <v>0.11540040441724905</v>
      </c>
      <c r="O707">
        <v>2.9609130580405606E-2</v>
      </c>
      <c r="P707">
        <v>1.8012508834649041E-2</v>
      </c>
      <c r="Q707">
        <v>0</v>
      </c>
      <c r="R707">
        <v>6.1133280596142913E-3</v>
      </c>
      <c r="S707">
        <v>0.16169289457182676</v>
      </c>
      <c r="T707">
        <v>1.160842164062637</v>
      </c>
      <c r="U707">
        <v>0</v>
      </c>
      <c r="V707">
        <v>1.5642777363529026E-2</v>
      </c>
      <c r="W707">
        <v>6.0486725591474472E-2</v>
      </c>
      <c r="X707">
        <v>-1.4782659753436117E-2</v>
      </c>
      <c r="Y707">
        <v>2.5173596817660876E-2</v>
      </c>
    </row>
    <row r="708" spans="1:25" x14ac:dyDescent="0.25">
      <c r="A708" s="879"/>
      <c r="B708" s="1133">
        <v>458</v>
      </c>
      <c r="C708" s="883">
        <v>0.99419473265928893</v>
      </c>
      <c r="D708" s="883">
        <v>0.97078687306609512</v>
      </c>
      <c r="E708" s="883">
        <v>1.0031223626404617</v>
      </c>
      <c r="F708" s="883">
        <v>0.98001679948755527</v>
      </c>
      <c r="G708" s="883">
        <v>1.0223166341495469</v>
      </c>
      <c r="H708" s="883">
        <v>1.0191406848382749</v>
      </c>
      <c r="I708" s="883">
        <v>0.97699810666915043</v>
      </c>
      <c r="K708">
        <v>1.5953174131512384</v>
      </c>
      <c r="L708">
        <v>0</v>
      </c>
      <c r="M708">
        <v>6.640477668441962E-3</v>
      </c>
      <c r="N708">
        <v>0.12437786996920724</v>
      </c>
      <c r="O708">
        <v>3.1395235848741876E-2</v>
      </c>
      <c r="P708">
        <v>1.8036492093465566E-2</v>
      </c>
      <c r="Q708">
        <v>0</v>
      </c>
      <c r="R708">
        <v>6.640477668441962E-3</v>
      </c>
      <c r="S708">
        <v>0.16719588441511379</v>
      </c>
      <c r="T708">
        <v>1.1621984812152639</v>
      </c>
      <c r="U708">
        <v>0</v>
      </c>
      <c r="V708">
        <v>1.5885744573398287E-2</v>
      </c>
      <c r="W708">
        <v>6.5362507173591364E-2</v>
      </c>
      <c r="X708">
        <v>-1.6479107215224303E-2</v>
      </c>
      <c r="Y708">
        <v>2.734430507768066E-2</v>
      </c>
    </row>
    <row r="709" spans="1:25" x14ac:dyDescent="0.25">
      <c r="A709" s="879"/>
      <c r="B709" s="1133">
        <v>459</v>
      </c>
      <c r="C709" s="883">
        <v>1.0101973851651436</v>
      </c>
      <c r="D709" s="883">
        <v>0.98657015636817125</v>
      </c>
      <c r="E709" s="883">
        <v>0.98140775855367568</v>
      </c>
      <c r="F709" s="883">
        <v>0.98521813359902521</v>
      </c>
      <c r="G709" s="883">
        <v>1.0229014506757808</v>
      </c>
      <c r="H709" s="883">
        <v>0.98504751526976675</v>
      </c>
      <c r="I709" s="883">
        <v>0.9968663268489748</v>
      </c>
      <c r="K709">
        <v>1.5876092435456823</v>
      </c>
      <c r="L709">
        <v>0</v>
      </c>
      <c r="M709">
        <v>6.3913238936291411E-3</v>
      </c>
      <c r="N709">
        <v>0.11591921976188137</v>
      </c>
      <c r="O709">
        <v>3.0717126711323605E-2</v>
      </c>
      <c r="P709">
        <v>1.7806187448462026E-2</v>
      </c>
      <c r="Q709">
        <v>0</v>
      </c>
      <c r="R709">
        <v>6.3913238936291411E-3</v>
      </c>
      <c r="S709">
        <v>0.16573210141456907</v>
      </c>
      <c r="T709">
        <v>1.1687650544032302</v>
      </c>
      <c r="U709">
        <v>0</v>
      </c>
      <c r="V709">
        <v>1.5798880474691558E-2</v>
      </c>
      <c r="W709">
        <v>6.1579959800670034E-2</v>
      </c>
      <c r="X709">
        <v>-1.5027620649865459E-2</v>
      </c>
      <c r="Y709">
        <v>2.631833418072016E-2</v>
      </c>
    </row>
    <row r="710" spans="1:25" x14ac:dyDescent="0.25">
      <c r="A710" s="879"/>
      <c r="B710" s="1133">
        <v>460</v>
      </c>
      <c r="C710" s="883">
        <v>1.0006635302926807</v>
      </c>
      <c r="D710" s="883">
        <v>1.0109909574661988</v>
      </c>
      <c r="E710" s="883">
        <v>0.98510546008285915</v>
      </c>
      <c r="F710" s="883">
        <v>0.97948351561423608</v>
      </c>
      <c r="G710" s="883">
        <v>1.0287495645267561</v>
      </c>
      <c r="H710" s="883">
        <v>0.98925052012978532</v>
      </c>
      <c r="I710" s="883">
        <v>0.99859319279623304</v>
      </c>
      <c r="K710">
        <v>1.583315454225805</v>
      </c>
      <c r="L710">
        <v>0</v>
      </c>
      <c r="M710">
        <v>6.3888228054336431E-3</v>
      </c>
      <c r="N710">
        <v>0.11651115786013315</v>
      </c>
      <c r="O710">
        <v>3.0705013149620923E-2</v>
      </c>
      <c r="P710">
        <v>1.7791594724801543E-2</v>
      </c>
      <c r="Q710">
        <v>0</v>
      </c>
      <c r="R710">
        <v>6.3888228054336431E-3</v>
      </c>
      <c r="S710">
        <v>0.16760774462754294</v>
      </c>
      <c r="T710">
        <v>1.1618944948487449</v>
      </c>
      <c r="U710">
        <v>0</v>
      </c>
      <c r="V710">
        <v>1.5850296708954627E-2</v>
      </c>
      <c r="W710">
        <v>6.1780078238593918E-2</v>
      </c>
      <c r="X710">
        <v>-1.5132961077294992E-2</v>
      </c>
      <c r="Y710">
        <v>2.6308035144708204E-2</v>
      </c>
    </row>
    <row r="711" spans="1:25" x14ac:dyDescent="0.25">
      <c r="A711" s="879"/>
      <c r="B711" s="1133">
        <v>461</v>
      </c>
      <c r="C711" s="883">
        <v>0.98858479300197355</v>
      </c>
      <c r="D711" s="883">
        <v>0.99425160084771957</v>
      </c>
      <c r="E711" s="883">
        <v>0.97025896614483953</v>
      </c>
      <c r="F711" s="883">
        <v>0.98772816349852621</v>
      </c>
      <c r="G711" s="883">
        <v>0.99038952874199482</v>
      </c>
      <c r="H711" s="883">
        <v>0.99371307455613467</v>
      </c>
      <c r="I711" s="883">
        <v>1.0008636689665866</v>
      </c>
      <c r="K711">
        <v>1.6005946561919375</v>
      </c>
      <c r="L711">
        <v>0</v>
      </c>
      <c r="M711">
        <v>6.6298269389255511E-3</v>
      </c>
      <c r="N711">
        <v>0.11827169630935921</v>
      </c>
      <c r="O711">
        <v>3.1300261549615994E-2</v>
      </c>
      <c r="P711">
        <v>1.7758126254465247E-2</v>
      </c>
      <c r="Q711">
        <v>0</v>
      </c>
      <c r="R711">
        <v>6.6298269389255511E-3</v>
      </c>
      <c r="S711">
        <v>0.17045414030265618</v>
      </c>
      <c r="T711">
        <v>1.1719485256669417</v>
      </c>
      <c r="U711">
        <v>0</v>
      </c>
      <c r="V711">
        <v>1.591686165418291E-2</v>
      </c>
      <c r="W711">
        <v>6.3181986979177054E-2</v>
      </c>
      <c r="X711">
        <v>-1.5537389793752261E-2</v>
      </c>
      <c r="Y711">
        <v>2.7300447269291268E-2</v>
      </c>
    </row>
    <row r="712" spans="1:25" x14ac:dyDescent="0.25">
      <c r="A712" s="879"/>
      <c r="B712" s="1133">
        <v>462</v>
      </c>
      <c r="C712" s="883">
        <v>1.0373102574969362</v>
      </c>
      <c r="D712" s="883">
        <v>0.99609306495067718</v>
      </c>
      <c r="E712" s="883">
        <v>0.99627208813399459</v>
      </c>
      <c r="F712" s="883">
        <v>1.010839016622</v>
      </c>
      <c r="G712" s="883">
        <v>0.96110820206282233</v>
      </c>
      <c r="H712" s="883">
        <v>1.0021536902685826</v>
      </c>
      <c r="I712" s="883">
        <v>0.99631153894617341</v>
      </c>
      <c r="K712">
        <v>1.612040480022499</v>
      </c>
      <c r="L712">
        <v>0</v>
      </c>
      <c r="M712">
        <v>6.2240252586623071E-3</v>
      </c>
      <c r="N712">
        <v>0.11540047081313989</v>
      </c>
      <c r="O712">
        <v>2.9787779151697693E-2</v>
      </c>
      <c r="P712">
        <v>1.8362241243315806E-2</v>
      </c>
      <c r="Q712">
        <v>0</v>
      </c>
      <c r="R712">
        <v>6.2240252586623071E-3</v>
      </c>
      <c r="S712">
        <v>0.16218819292884182</v>
      </c>
      <c r="T712">
        <v>1.198879143421683</v>
      </c>
      <c r="U712">
        <v>0</v>
      </c>
      <c r="V712">
        <v>1.5657826068308432E-2</v>
      </c>
      <c r="W712">
        <v>6.0851439317514286E-2</v>
      </c>
      <c r="X712">
        <v>-1.4716041101976178E-2</v>
      </c>
      <c r="Y712">
        <v>2.5629428179973684E-2</v>
      </c>
    </row>
    <row r="713" spans="1:25" x14ac:dyDescent="0.25">
      <c r="A713" s="879"/>
      <c r="B713" s="1133">
        <v>463</v>
      </c>
      <c r="C713" s="883">
        <v>1.0167866585049117</v>
      </c>
      <c r="D713" s="883">
        <v>0.97553845126948346</v>
      </c>
      <c r="E713" s="883">
        <v>0.95459168798019944</v>
      </c>
      <c r="F713" s="883">
        <v>0.96461579273552844</v>
      </c>
      <c r="G713" s="883">
        <v>0.99746202254118166</v>
      </c>
      <c r="H713" s="883">
        <v>0.99969903431746843</v>
      </c>
      <c r="I713" s="883">
        <v>0.98664149417486624</v>
      </c>
      <c r="K713">
        <v>1.5619672656802888</v>
      </c>
      <c r="L713">
        <v>0</v>
      </c>
      <c r="M713">
        <v>6.6297592982323354E-3</v>
      </c>
      <c r="N713">
        <v>0.11554946632241507</v>
      </c>
      <c r="O713">
        <v>3.0675807477782317E-2</v>
      </c>
      <c r="P713">
        <v>1.7104063395012872E-2</v>
      </c>
      <c r="Q713">
        <v>0</v>
      </c>
      <c r="R713">
        <v>6.6297592982323354E-3</v>
      </c>
      <c r="S713">
        <v>0.16388521368653294</v>
      </c>
      <c r="T713">
        <v>1.1448088310102835</v>
      </c>
      <c r="U713">
        <v>0</v>
      </c>
      <c r="V713">
        <v>1.576390790974086E-2</v>
      </c>
      <c r="W713">
        <v>6.2217407705958329E-2</v>
      </c>
      <c r="X713">
        <v>-1.5337600564395011E-2</v>
      </c>
      <c r="Y713">
        <v>2.7300168736956183E-2</v>
      </c>
    </row>
    <row r="714" spans="1:25" x14ac:dyDescent="0.25">
      <c r="A714" s="879"/>
      <c r="B714" s="1133">
        <v>464</v>
      </c>
      <c r="C714" s="883">
        <v>0.99492671883466921</v>
      </c>
      <c r="D714" s="883">
        <v>0.98232880606746265</v>
      </c>
      <c r="E714" s="883">
        <v>0.96977504839797357</v>
      </c>
      <c r="F714" s="883">
        <v>1.0251093373194449</v>
      </c>
      <c r="G714" s="883">
        <v>1.0375981758646204</v>
      </c>
      <c r="H714" s="883">
        <v>0.99697820913171087</v>
      </c>
      <c r="I714" s="883">
        <v>1.0171431591010776</v>
      </c>
      <c r="K714">
        <v>1.6480622080685219</v>
      </c>
      <c r="L714">
        <v>0</v>
      </c>
      <c r="M714">
        <v>6.6476973737922317E-3</v>
      </c>
      <c r="N714">
        <v>0.11850531499807183</v>
      </c>
      <c r="O714">
        <v>3.1251564598120452E-2</v>
      </c>
      <c r="P714">
        <v>1.8356618376089047E-2</v>
      </c>
      <c r="Q714">
        <v>0</v>
      </c>
      <c r="R714">
        <v>6.6476973737922317E-3</v>
      </c>
      <c r="S714">
        <v>0.17244300397201845</v>
      </c>
      <c r="T714">
        <v>1.2163109156083642</v>
      </c>
      <c r="U714">
        <v>0</v>
      </c>
      <c r="V714">
        <v>1.5881710290326131E-2</v>
      </c>
      <c r="W714">
        <v>6.332219254439421E-2</v>
      </c>
      <c r="X714">
        <v>-1.5383146858116993E-2</v>
      </c>
      <c r="Y714">
        <v>2.7374034539253418E-2</v>
      </c>
    </row>
    <row r="715" spans="1:25" x14ac:dyDescent="0.25">
      <c r="A715" s="879"/>
      <c r="B715" s="1133">
        <v>465</v>
      </c>
      <c r="C715" s="883">
        <v>0.95841544975953474</v>
      </c>
      <c r="D715" s="883">
        <v>1.0183728134629519</v>
      </c>
      <c r="E715" s="883">
        <v>1.0364648337502711</v>
      </c>
      <c r="F715" s="883">
        <v>1.0134314738371231</v>
      </c>
      <c r="G715" s="883">
        <v>0.99344255027943384</v>
      </c>
      <c r="H715" s="883">
        <v>0.95316621570520565</v>
      </c>
      <c r="I715" s="883">
        <v>0.97914652453436724</v>
      </c>
      <c r="K715">
        <v>1.630659645511771</v>
      </c>
      <c r="L715">
        <v>0</v>
      </c>
      <c r="M715">
        <v>6.1249384019954065E-3</v>
      </c>
      <c r="N715">
        <v>0.12052208704331945</v>
      </c>
      <c r="O715">
        <v>3.1918428788106919E-2</v>
      </c>
      <c r="P715">
        <v>1.9059841858626511E-2</v>
      </c>
      <c r="Q715">
        <v>0</v>
      </c>
      <c r="R715">
        <v>6.1249384019954065E-3</v>
      </c>
      <c r="S715">
        <v>0.16945241222861454</v>
      </c>
      <c r="T715">
        <v>1.2011997754015997</v>
      </c>
      <c r="U715">
        <v>0</v>
      </c>
      <c r="V715">
        <v>1.6090451439287765E-2</v>
      </c>
      <c r="W715">
        <v>6.2304382796534483E-2</v>
      </c>
      <c r="X715">
        <v>-1.5109140185340951E-2</v>
      </c>
      <c r="Y715">
        <v>2.5221406141022407E-2</v>
      </c>
    </row>
    <row r="716" spans="1:25" x14ac:dyDescent="0.25">
      <c r="A716" s="879"/>
      <c r="B716" s="1133">
        <v>466</v>
      </c>
      <c r="C716" s="883">
        <v>0.99394796018254539</v>
      </c>
      <c r="D716" s="883">
        <v>0.98474633880998719</v>
      </c>
      <c r="E716" s="883">
        <v>0.99276768535479121</v>
      </c>
      <c r="F716" s="883">
        <v>0.97149784215037083</v>
      </c>
      <c r="G716" s="883">
        <v>1.0233405050869862</v>
      </c>
      <c r="H716" s="883">
        <v>0.99523763590481973</v>
      </c>
      <c r="I716" s="883">
        <v>1.0347743369763225</v>
      </c>
      <c r="K716">
        <v>1.5871642438449012</v>
      </c>
      <c r="L716">
        <v>0</v>
      </c>
      <c r="M716">
        <v>6.5036636051794281E-3</v>
      </c>
      <c r="N716">
        <v>0.1199606080036647</v>
      </c>
      <c r="O716">
        <v>3.1233062708277189E-2</v>
      </c>
      <c r="P716">
        <v>1.7874032088984727E-2</v>
      </c>
      <c r="Q716">
        <v>0</v>
      </c>
      <c r="R716">
        <v>6.5036636051794281E-3</v>
      </c>
      <c r="S716">
        <v>0.17549814644410383</v>
      </c>
      <c r="T716">
        <v>1.1522829292770764</v>
      </c>
      <c r="U716">
        <v>0</v>
      </c>
      <c r="V716">
        <v>1.5887105979385658E-2</v>
      </c>
      <c r="W716">
        <v>6.3366464322172383E-2</v>
      </c>
      <c r="X716">
        <v>-1.5719034095924546E-2</v>
      </c>
      <c r="Y716">
        <v>2.6780929117160991E-2</v>
      </c>
    </row>
    <row r="717" spans="1:25" x14ac:dyDescent="0.25">
      <c r="A717" s="879"/>
      <c r="B717" s="1133">
        <v>467</v>
      </c>
      <c r="C717" s="883">
        <v>1.0315096990278279</v>
      </c>
      <c r="D717" s="883">
        <v>1.0224096747262832</v>
      </c>
      <c r="E717" s="883">
        <v>1.0392090490372494</v>
      </c>
      <c r="F717" s="883">
        <v>0.95640480431891384</v>
      </c>
      <c r="G717" s="883">
        <v>1.0253245849615653</v>
      </c>
      <c r="H717" s="883">
        <v>1.0219178878046118</v>
      </c>
      <c r="I717" s="883">
        <v>1.0148759367478086</v>
      </c>
      <c r="K717">
        <v>1.555575084041259</v>
      </c>
      <c r="L717">
        <v>0</v>
      </c>
      <c r="M717">
        <v>6.0760136035035509E-3</v>
      </c>
      <c r="N717">
        <v>0.12004507492305595</v>
      </c>
      <c r="O717">
        <v>2.960721713385615E-2</v>
      </c>
      <c r="P717">
        <v>1.8128127896652895E-2</v>
      </c>
      <c r="Q717">
        <v>0</v>
      </c>
      <c r="R717">
        <v>6.0760136035035509E-3</v>
      </c>
      <c r="S717">
        <v>0.16704360239101262</v>
      </c>
      <c r="T717">
        <v>1.1335588813113855</v>
      </c>
      <c r="U717">
        <v>0</v>
      </c>
      <c r="V717">
        <v>1.5687379904474115E-2</v>
      </c>
      <c r="W717">
        <v>6.1974565293587913E-2</v>
      </c>
      <c r="X717">
        <v>-1.5489707341890218E-2</v>
      </c>
      <c r="Y717">
        <v>2.5019942529122444E-2</v>
      </c>
    </row>
    <row r="718" spans="1:25" x14ac:dyDescent="0.25">
      <c r="A718" s="879"/>
      <c r="B718" s="1133">
        <v>468</v>
      </c>
      <c r="C718" s="883">
        <v>0.96977564991173637</v>
      </c>
      <c r="D718" s="883">
        <v>1.0006701934507691</v>
      </c>
      <c r="E718" s="883">
        <v>0.9989307987458883</v>
      </c>
      <c r="F718" s="883">
        <v>0.98970402312859984</v>
      </c>
      <c r="G718" s="883">
        <v>1.0443979522543358</v>
      </c>
      <c r="H718" s="883">
        <v>1.0171889455893723</v>
      </c>
      <c r="I718" s="883">
        <v>0.99933511603466696</v>
      </c>
      <c r="K718">
        <v>1.6170015232845092</v>
      </c>
      <c r="L718">
        <v>0</v>
      </c>
      <c r="M718">
        <v>6.7278990572801753E-3</v>
      </c>
      <c r="N718">
        <v>0.12523525875102717</v>
      </c>
      <c r="O718">
        <v>3.1801492584028521E-2</v>
      </c>
      <c r="P718">
        <v>1.8238339367162151E-2</v>
      </c>
      <c r="Q718">
        <v>0</v>
      </c>
      <c r="R718">
        <v>6.7278990572801753E-3</v>
      </c>
      <c r="S718">
        <v>0.1748618905836137</v>
      </c>
      <c r="T718">
        <v>1.1737636061842835</v>
      </c>
      <c r="U718">
        <v>0</v>
      </c>
      <c r="V718">
        <v>1.6023818811178165E-2</v>
      </c>
      <c r="W718">
        <v>6.5950164728977662E-2</v>
      </c>
      <c r="X718">
        <v>-1.6577338522251586E-2</v>
      </c>
      <c r="Y718">
        <v>2.7704290796489273E-2</v>
      </c>
    </row>
    <row r="719" spans="1:25" x14ac:dyDescent="0.25">
      <c r="A719" s="879"/>
      <c r="B719" s="1133">
        <v>469</v>
      </c>
      <c r="C719" s="883">
        <v>0.9972172082359787</v>
      </c>
      <c r="D719" s="883">
        <v>1.0204426538868701</v>
      </c>
      <c r="E719" s="883">
        <v>1.0127991002872492</v>
      </c>
      <c r="F719" s="883">
        <v>1.0010020077552679</v>
      </c>
      <c r="G719" s="883">
        <v>0.9966170053458161</v>
      </c>
      <c r="H719" s="883">
        <v>1.0059569490685962</v>
      </c>
      <c r="I719" s="883">
        <v>0.99500893778068522</v>
      </c>
      <c r="K719">
        <v>1.6144142931047085</v>
      </c>
      <c r="L719">
        <v>0</v>
      </c>
      <c r="M719">
        <v>6.3370326094127393E-3</v>
      </c>
      <c r="N719">
        <v>0.12040709349288599</v>
      </c>
      <c r="O719">
        <v>3.0673292481084493E-2</v>
      </c>
      <c r="P719">
        <v>1.8519068302240416E-2</v>
      </c>
      <c r="Q719">
        <v>0</v>
      </c>
      <c r="R719">
        <v>6.3370326094127393E-3</v>
      </c>
      <c r="S719">
        <v>0.16848160874306897</v>
      </c>
      <c r="T719">
        <v>1.1869050802433367</v>
      </c>
      <c r="U719">
        <v>0</v>
      </c>
      <c r="V719">
        <v>1.5869124703524522E-2</v>
      </c>
      <c r="W719">
        <v>6.2973423739556361E-2</v>
      </c>
      <c r="X719">
        <v>-1.5509170936795392E-2</v>
      </c>
      <c r="Y719">
        <v>2.6094772335805368E-2</v>
      </c>
    </row>
    <row r="720" spans="1:25" x14ac:dyDescent="0.25">
      <c r="A720" s="879"/>
      <c r="B720" s="1133">
        <v>470</v>
      </c>
      <c r="C720" s="883">
        <v>0.99975784312191152</v>
      </c>
      <c r="D720" s="883">
        <v>0.98879853972738252</v>
      </c>
      <c r="E720" s="883">
        <v>1.0148854791193007</v>
      </c>
      <c r="F720" s="883">
        <v>1.0114678182778032</v>
      </c>
      <c r="G720" s="883">
        <v>1.012547796869713</v>
      </c>
      <c r="H720" s="883">
        <v>0.99692248477010714</v>
      </c>
      <c r="I720" s="883">
        <v>0.99886670778617959</v>
      </c>
      <c r="K720">
        <v>1.6279490875082321</v>
      </c>
      <c r="L720">
        <v>0</v>
      </c>
      <c r="M720">
        <v>6.3411900310256872E-3</v>
      </c>
      <c r="N720">
        <v>0.12085869453774963</v>
      </c>
      <c r="O720">
        <v>3.0981430919974566E-2</v>
      </c>
      <c r="P720">
        <v>1.8715408135620996E-2</v>
      </c>
      <c r="Q720">
        <v>0</v>
      </c>
      <c r="R720">
        <v>6.3411900310256872E-3</v>
      </c>
      <c r="S720">
        <v>0.16850333550603067</v>
      </c>
      <c r="T720">
        <v>1.1992754775340297</v>
      </c>
      <c r="U720">
        <v>0</v>
      </c>
      <c r="V720">
        <v>1.5855232097684923E-2</v>
      </c>
      <c r="W720">
        <v>6.3144520185758654E-2</v>
      </c>
      <c r="X720">
        <v>-1.5496903266631633E-2</v>
      </c>
      <c r="Y720">
        <v>2.6111891858014026E-2</v>
      </c>
    </row>
    <row r="721" spans="1:25" x14ac:dyDescent="0.25">
      <c r="A721" s="879"/>
      <c r="B721" s="1133">
        <v>471</v>
      </c>
      <c r="C721" s="883">
        <v>0.98092306848469524</v>
      </c>
      <c r="D721" s="883">
        <v>1.0217399345744205</v>
      </c>
      <c r="E721" s="883">
        <v>1.0132053458933634</v>
      </c>
      <c r="F721" s="883">
        <v>0.98542645372033677</v>
      </c>
      <c r="G721" s="883">
        <v>0.96514896749812873</v>
      </c>
      <c r="H721" s="883">
        <v>0.98166016438434944</v>
      </c>
      <c r="I721" s="883">
        <v>0.9929004862990396</v>
      </c>
      <c r="K721">
        <v>1.5957045821454108</v>
      </c>
      <c r="L721">
        <v>0</v>
      </c>
      <c r="M721">
        <v>6.280907152145571E-3</v>
      </c>
      <c r="N721">
        <v>0.11941245613577917</v>
      </c>
      <c r="O721">
        <v>3.1166599444021423E-2</v>
      </c>
      <c r="P721">
        <v>1.8290085396903938E-2</v>
      </c>
      <c r="Q721">
        <v>0</v>
      </c>
      <c r="R721">
        <v>6.280907152145571E-3</v>
      </c>
      <c r="S721">
        <v>0.16949261504327132</v>
      </c>
      <c r="T721">
        <v>1.1684294640710804</v>
      </c>
      <c r="U721">
        <v>0</v>
      </c>
      <c r="V721">
        <v>1.5959934513236265E-2</v>
      </c>
      <c r="W721">
        <v>6.2440691894018914E-2</v>
      </c>
      <c r="X721">
        <v>-1.5350922045638682E-2</v>
      </c>
      <c r="Y721">
        <v>2.5863657692738157E-2</v>
      </c>
    </row>
    <row r="722" spans="1:25" x14ac:dyDescent="0.25">
      <c r="A722" s="879"/>
      <c r="B722" s="1133">
        <v>472</v>
      </c>
      <c r="C722" s="883">
        <v>0.99080340306402281</v>
      </c>
      <c r="D722" s="883">
        <v>0.95986865211765082</v>
      </c>
      <c r="E722" s="883">
        <v>1.0163531482519277</v>
      </c>
      <c r="F722" s="883">
        <v>1.0162526757303589</v>
      </c>
      <c r="G722" s="883">
        <v>0.9617192578528857</v>
      </c>
      <c r="H722" s="883">
        <v>1.0000317003680055</v>
      </c>
      <c r="I722" s="883">
        <v>1.0178150481228687</v>
      </c>
      <c r="K722">
        <v>1.6446826713749867</v>
      </c>
      <c r="L722">
        <v>0</v>
      </c>
      <c r="M722">
        <v>6.4958127865086448E-3</v>
      </c>
      <c r="N722">
        <v>0.12407487215193094</v>
      </c>
      <c r="O722">
        <v>3.1633604706408476E-2</v>
      </c>
      <c r="P722">
        <v>1.8884408609285357E-2</v>
      </c>
      <c r="Q722">
        <v>0</v>
      </c>
      <c r="R722">
        <v>6.4958127865086448E-3</v>
      </c>
      <c r="S722">
        <v>0.17376438318571916</v>
      </c>
      <c r="T722">
        <v>1.2049211615955606</v>
      </c>
      <c r="U722">
        <v>0</v>
      </c>
      <c r="V722">
        <v>1.5904513398763431E-2</v>
      </c>
      <c r="W722">
        <v>6.4777929662928738E-2</v>
      </c>
      <c r="X722">
        <v>-1.6026802778879398E-2</v>
      </c>
      <c r="Y722">
        <v>2.6748600843268341E-2</v>
      </c>
    </row>
    <row r="723" spans="1:25" x14ac:dyDescent="0.25">
      <c r="A723" s="879"/>
      <c r="B723" s="1133">
        <v>473</v>
      </c>
      <c r="C723" s="883">
        <v>1.0274852299985977</v>
      </c>
      <c r="D723" s="883">
        <v>0.99928713307722505</v>
      </c>
      <c r="E723" s="883">
        <v>1.0014197797258795</v>
      </c>
      <c r="F723" s="883">
        <v>1.0189885277442778</v>
      </c>
      <c r="G723" s="883">
        <v>1.032454564972656</v>
      </c>
      <c r="H723" s="883">
        <v>1.0092092854255943</v>
      </c>
      <c r="I723" s="883">
        <v>0.99965116600658965</v>
      </c>
      <c r="K723">
        <v>1.6276643537894351</v>
      </c>
      <c r="L723">
        <v>0</v>
      </c>
      <c r="M723">
        <v>6.2904017427949186E-3</v>
      </c>
      <c r="N723">
        <v>0.11752409652512351</v>
      </c>
      <c r="O723">
        <v>3.0029881135023365E-2</v>
      </c>
      <c r="P723">
        <v>1.8595989395089937E-2</v>
      </c>
      <c r="Q723">
        <v>0</v>
      </c>
      <c r="R723">
        <v>6.2904017427949186E-3</v>
      </c>
      <c r="S723">
        <v>0.16465945698098622</v>
      </c>
      <c r="T723">
        <v>1.208447143382217</v>
      </c>
      <c r="U723">
        <v>0</v>
      </c>
      <c r="V723">
        <v>1.5708080637626781E-2</v>
      </c>
      <c r="W723">
        <v>6.181293855578969E-2</v>
      </c>
      <c r="X723">
        <v>-1.5015987549479403E-2</v>
      </c>
      <c r="Y723">
        <v>2.5902754727058035E-2</v>
      </c>
    </row>
    <row r="724" spans="1:25" x14ac:dyDescent="0.25">
      <c r="A724" s="879"/>
      <c r="B724" s="1133">
        <v>474</v>
      </c>
      <c r="C724" s="883">
        <v>0.96904484511729361</v>
      </c>
      <c r="D724" s="883">
        <v>0.98974747508661887</v>
      </c>
      <c r="E724" s="883">
        <v>0.98862569430527902</v>
      </c>
      <c r="F724" s="883">
        <v>1.010417983533884</v>
      </c>
      <c r="G724" s="883">
        <v>0.99387715518787012</v>
      </c>
      <c r="H724" s="883">
        <v>0.97026152871757609</v>
      </c>
      <c r="I724" s="883">
        <v>0.98156696775744867</v>
      </c>
      <c r="K724">
        <v>1.6280786699295975</v>
      </c>
      <c r="L724">
        <v>0</v>
      </c>
      <c r="M724">
        <v>6.5121988165832154E-3</v>
      </c>
      <c r="N724">
        <v>0.11938271403258295</v>
      </c>
      <c r="O724">
        <v>3.1974397622873019E-2</v>
      </c>
      <c r="P724">
        <v>1.8349059981192833E-2</v>
      </c>
      <c r="Q724">
        <v>0</v>
      </c>
      <c r="R724">
        <v>6.5121988165832154E-3</v>
      </c>
      <c r="S724">
        <v>0.16922165807060024</v>
      </c>
      <c r="T724">
        <v>1.1985236341552035</v>
      </c>
      <c r="U724">
        <v>0</v>
      </c>
      <c r="V724">
        <v>1.60280582881248E-2</v>
      </c>
      <c r="W724">
        <v>6.3191553829911595E-2</v>
      </c>
      <c r="X724">
        <v>-1.5408481649402204E-2</v>
      </c>
      <c r="Y724">
        <v>2.6816075598510802E-2</v>
      </c>
    </row>
    <row r="725" spans="1:25" x14ac:dyDescent="0.25">
      <c r="A725" s="879"/>
      <c r="B725" s="1133">
        <v>475</v>
      </c>
      <c r="C725" s="883">
        <v>0.96470551686859252</v>
      </c>
      <c r="D725" s="883">
        <v>1.0050404438117386</v>
      </c>
      <c r="E725" s="883">
        <v>0.98133790331375303</v>
      </c>
      <c r="F725" s="883">
        <v>0.97311960756219096</v>
      </c>
      <c r="G725" s="883">
        <v>0.99646131233257784</v>
      </c>
      <c r="H725" s="883">
        <v>0.99605122815740899</v>
      </c>
      <c r="I725" s="883">
        <v>1.0234554719683135</v>
      </c>
      <c r="K725">
        <v>1.5967546387980729</v>
      </c>
      <c r="L725">
        <v>0</v>
      </c>
      <c r="M725">
        <v>6.7121132242212887E-3</v>
      </c>
      <c r="N725">
        <v>0.12172474946204584</v>
      </c>
      <c r="O725">
        <v>3.1927919341941044E-2</v>
      </c>
      <c r="P725">
        <v>1.7790125973622787E-2</v>
      </c>
      <c r="Q725">
        <v>0</v>
      </c>
      <c r="R725">
        <v>6.7121132242212887E-3</v>
      </c>
      <c r="S725">
        <v>0.1786576236057871</v>
      </c>
      <c r="T725">
        <v>1.1544138322647317</v>
      </c>
      <c r="U725">
        <v>0</v>
      </c>
      <c r="V725">
        <v>1.6053363495857152E-2</v>
      </c>
      <c r="W725">
        <v>6.4666301531707132E-2</v>
      </c>
      <c r="X725">
        <v>-1.6118564423347675E-2</v>
      </c>
      <c r="Y725">
        <v>2.7639287545726324E-2</v>
      </c>
    </row>
    <row r="726" spans="1:25" x14ac:dyDescent="0.25">
      <c r="A726" s="879"/>
      <c r="B726" s="1133">
        <v>476</v>
      </c>
      <c r="C726" s="883">
        <v>1.0109649199997137</v>
      </c>
      <c r="D726" s="883">
        <v>0.99626877961554461</v>
      </c>
      <c r="E726" s="883">
        <v>1.0168328576895354</v>
      </c>
      <c r="F726" s="883">
        <v>0.95517568410810849</v>
      </c>
      <c r="G726" s="883">
        <v>0.99742234810329511</v>
      </c>
      <c r="H726" s="883">
        <v>1.0280513297054792</v>
      </c>
      <c r="I726" s="883">
        <v>1.0466831684543467</v>
      </c>
      <c r="K726">
        <v>1.5706463041518923</v>
      </c>
      <c r="L726">
        <v>0</v>
      </c>
      <c r="M726">
        <v>6.4340471086799253E-3</v>
      </c>
      <c r="N726">
        <v>0.12298236452770042</v>
      </c>
      <c r="O726">
        <v>3.0544154753816707E-2</v>
      </c>
      <c r="P726">
        <v>1.7944724519330144E-2</v>
      </c>
      <c r="Q726">
        <v>0</v>
      </c>
      <c r="R726">
        <v>6.4340471086799253E-3</v>
      </c>
      <c r="S726">
        <v>0.17640668828711617</v>
      </c>
      <c r="T726">
        <v>1.1324966733581669</v>
      </c>
      <c r="U726">
        <v>0</v>
      </c>
      <c r="V726">
        <v>1.5794783325202372E-2</v>
      </c>
      <c r="W726">
        <v>6.4192353504864283E-2</v>
      </c>
      <c r="X726">
        <v>-1.6209698900154682E-2</v>
      </c>
      <c r="Y726">
        <v>2.6494260775850497E-2</v>
      </c>
    </row>
    <row r="727" spans="1:25" x14ac:dyDescent="0.25">
      <c r="A727" s="879"/>
      <c r="B727" s="1133">
        <v>477</v>
      </c>
      <c r="C727" s="883">
        <v>1.0043042709905168</v>
      </c>
      <c r="D727" s="883">
        <v>1.0257935279014236</v>
      </c>
      <c r="E727" s="883">
        <v>0.98328369677000371</v>
      </c>
      <c r="F727" s="883">
        <v>1.0140296521972307</v>
      </c>
      <c r="G727" s="883">
        <v>0.97410804003069595</v>
      </c>
      <c r="H727" s="883">
        <v>0.95665951661269322</v>
      </c>
      <c r="I727" s="883">
        <v>0.99755259098232252</v>
      </c>
      <c r="K727">
        <v>1.6140622692174735</v>
      </c>
      <c r="L727">
        <v>0</v>
      </c>
      <c r="M727">
        <v>6.1259278550673509E-3</v>
      </c>
      <c r="N727">
        <v>0.11141535743786152</v>
      </c>
      <c r="O727">
        <v>3.0417786541312494E-2</v>
      </c>
      <c r="P727">
        <v>1.8271199837119393E-2</v>
      </c>
      <c r="Q727">
        <v>0</v>
      </c>
      <c r="R727">
        <v>6.1259278550673509E-3</v>
      </c>
      <c r="S727">
        <v>0.16483090148728535</v>
      </c>
      <c r="T727">
        <v>1.2029086811942997</v>
      </c>
      <c r="U727">
        <v>0</v>
      </c>
      <c r="V727">
        <v>1.5830546922327632E-2</v>
      </c>
      <c r="W727">
        <v>5.9131850128304429E-2</v>
      </c>
      <c r="X727">
        <v>-1.3969534863693884E-2</v>
      </c>
      <c r="Y727">
        <v>2.5225480532656594E-2</v>
      </c>
    </row>
    <row r="728" spans="1:25" x14ac:dyDescent="0.25">
      <c r="A728" s="879"/>
      <c r="B728" s="1133">
        <v>478</v>
      </c>
      <c r="C728" s="883">
        <v>0.98525223749808999</v>
      </c>
      <c r="D728" s="883">
        <v>0.99335173936229693</v>
      </c>
      <c r="E728" s="883">
        <v>0.96789147336694858</v>
      </c>
      <c r="F728" s="883">
        <v>1.0280889977150092</v>
      </c>
      <c r="G728" s="883">
        <v>1.0037276693562058</v>
      </c>
      <c r="H728" s="883">
        <v>0.98749495868043891</v>
      </c>
      <c r="I728" s="883">
        <v>0.96389172093567721</v>
      </c>
      <c r="K728">
        <v>1.642706910437483</v>
      </c>
      <c r="L728">
        <v>0</v>
      </c>
      <c r="M728">
        <v>6.6269420223898793E-3</v>
      </c>
      <c r="N728">
        <v>0.11780536370039256</v>
      </c>
      <c r="O728">
        <v>3.1419341629897124E-2</v>
      </c>
      <c r="P728">
        <v>1.8271411513779062E-2</v>
      </c>
      <c r="Q728">
        <v>0</v>
      </c>
      <c r="R728">
        <v>6.6269420223898793E-3</v>
      </c>
      <c r="S728">
        <v>0.16436562544208741</v>
      </c>
      <c r="T728">
        <v>1.2198825897673415</v>
      </c>
      <c r="U728">
        <v>0</v>
      </c>
      <c r="V728">
        <v>1.5935514370142644E-2</v>
      </c>
      <c r="W728">
        <v>6.3007848119650378E-2</v>
      </c>
      <c r="X728">
        <v>-1.526935180230321E-2</v>
      </c>
      <c r="Y728">
        <v>2.7288567696493366E-2</v>
      </c>
    </row>
    <row r="729" spans="1:25" x14ac:dyDescent="0.25">
      <c r="A729" s="879"/>
      <c r="B729" s="1133">
        <v>479</v>
      </c>
      <c r="C729" s="883">
        <v>1.0042631415190038</v>
      </c>
      <c r="D729" s="883">
        <v>1.0041131668861005</v>
      </c>
      <c r="E729" s="883">
        <v>1.03372030008107</v>
      </c>
      <c r="F729" s="883">
        <v>1.0109620209346293</v>
      </c>
      <c r="G729" s="883">
        <v>0.98010863187953878</v>
      </c>
      <c r="H729" s="883">
        <v>0.99754492220376045</v>
      </c>
      <c r="I729" s="883">
        <v>0.97084039144196255</v>
      </c>
      <c r="K729">
        <v>1.6202089906606922</v>
      </c>
      <c r="L729">
        <v>0</v>
      </c>
      <c r="M729">
        <v>6.1708767082316969E-3</v>
      </c>
      <c r="N729">
        <v>0.12093458959021322</v>
      </c>
      <c r="O729">
        <v>3.0636157075269312E-2</v>
      </c>
      <c r="P729">
        <v>1.8889012464785984E-2</v>
      </c>
      <c r="Q729">
        <v>0</v>
      </c>
      <c r="R729">
        <v>6.1708767082316969E-3</v>
      </c>
      <c r="S729">
        <v>0.1629443426876522</v>
      </c>
      <c r="T729">
        <v>1.1983239193962494</v>
      </c>
      <c r="U729">
        <v>0</v>
      </c>
      <c r="V729">
        <v>1.583076923608407E-2</v>
      </c>
      <c r="W729">
        <v>6.2601684981006572E-2</v>
      </c>
      <c r="X729">
        <v>-1.5362056679958045E-2</v>
      </c>
      <c r="Y729">
        <v>2.5410571909389751E-2</v>
      </c>
    </row>
    <row r="730" spans="1:25" x14ac:dyDescent="0.25">
      <c r="A730" s="879"/>
      <c r="B730" s="1133">
        <v>480</v>
      </c>
      <c r="C730" s="883">
        <v>1.0071306555454544</v>
      </c>
      <c r="D730" s="883">
        <v>1.0126668292827996</v>
      </c>
      <c r="E730" s="883">
        <v>1.0105388252751362</v>
      </c>
      <c r="F730" s="883">
        <v>1.0037738099938354</v>
      </c>
      <c r="G730" s="883">
        <v>0.98083116996946595</v>
      </c>
      <c r="H730" s="883">
        <v>1.0314241016497216</v>
      </c>
      <c r="I730" s="883">
        <v>0.98172131013088804</v>
      </c>
      <c r="K730">
        <v>1.6184110947969377</v>
      </c>
      <c r="L730">
        <v>0</v>
      </c>
      <c r="M730">
        <v>6.4682491171020587E-3</v>
      </c>
      <c r="N730">
        <v>0.12248978314230713</v>
      </c>
      <c r="O730">
        <v>3.0466413358466105E-2</v>
      </c>
      <c r="P730">
        <v>1.8499659606205098E-2</v>
      </c>
      <c r="Q730">
        <v>0</v>
      </c>
      <c r="R730">
        <v>6.4682491171020587E-3</v>
      </c>
      <c r="S730">
        <v>0.16609896401834909</v>
      </c>
      <c r="T730">
        <v>1.1902337030718029</v>
      </c>
      <c r="U730">
        <v>0</v>
      </c>
      <c r="V730">
        <v>1.5815313195373697E-2</v>
      </c>
      <c r="W730">
        <v>6.4134289540911285E-2</v>
      </c>
      <c r="X730">
        <v>-1.5962129695280079E-2</v>
      </c>
      <c r="Y730">
        <v>2.6635098558802278E-2</v>
      </c>
    </row>
    <row r="731" spans="1:25" x14ac:dyDescent="0.25">
      <c r="A731" s="879"/>
      <c r="B731" s="1133">
        <v>481</v>
      </c>
      <c r="C731" s="883">
        <v>1.0135277656278856</v>
      </c>
      <c r="D731" s="883">
        <v>0.99967537110833116</v>
      </c>
      <c r="E731" s="883">
        <v>1.0055811333477715</v>
      </c>
      <c r="F731" s="883">
        <v>0.97304978826195998</v>
      </c>
      <c r="G731" s="883">
        <v>0.96985117211731442</v>
      </c>
      <c r="H731" s="883">
        <v>1.0127073227247361</v>
      </c>
      <c r="I731" s="883">
        <v>0.98949035616214687</v>
      </c>
      <c r="K731">
        <v>1.5767999356519888</v>
      </c>
      <c r="L731">
        <v>0</v>
      </c>
      <c r="M731">
        <v>6.3747980243996985E-3</v>
      </c>
      <c r="N731">
        <v>0.11983720886325115</v>
      </c>
      <c r="O731">
        <v>3.0435160703935055E-2</v>
      </c>
      <c r="P731">
        <v>1.7933273957616135E-2</v>
      </c>
      <c r="Q731">
        <v>0</v>
      </c>
      <c r="R731">
        <v>6.3747980243996985E-3</v>
      </c>
      <c r="S731">
        <v>0.16542877060174252</v>
      </c>
      <c r="T731">
        <v>1.1538919074760492</v>
      </c>
      <c r="U731">
        <v>0</v>
      </c>
      <c r="V731">
        <v>1.5781147646741791E-2</v>
      </c>
      <c r="W731">
        <v>6.2899601506645045E-2</v>
      </c>
      <c r="X731">
        <v>-1.5657418696721794E-2</v>
      </c>
      <c r="Y731">
        <v>2.625028359272839E-2</v>
      </c>
    </row>
    <row r="732" spans="1:25" x14ac:dyDescent="0.25">
      <c r="A732" s="879"/>
      <c r="B732" s="1133">
        <v>482</v>
      </c>
      <c r="C732" s="883">
        <v>0.98572281186955768</v>
      </c>
      <c r="D732" s="883">
        <v>1.0105406406809387</v>
      </c>
      <c r="E732" s="883">
        <v>0.98598439019238548</v>
      </c>
      <c r="F732" s="883">
        <v>1.0191311861877193</v>
      </c>
      <c r="G732" s="883">
        <v>0.97102573250385193</v>
      </c>
      <c r="H732" s="883">
        <v>0.96179509806548102</v>
      </c>
      <c r="I732" s="883">
        <v>0.96987745656839819</v>
      </c>
      <c r="K732">
        <v>1.6255139333396882</v>
      </c>
      <c r="L732">
        <v>0</v>
      </c>
      <c r="M732">
        <v>6.302076993699772E-3</v>
      </c>
      <c r="N732">
        <v>0.11507910853186031</v>
      </c>
      <c r="O732">
        <v>3.117524977557545E-2</v>
      </c>
      <c r="P732">
        <v>1.8374922294547357E-2</v>
      </c>
      <c r="Q732">
        <v>0</v>
      </c>
      <c r="R732">
        <v>6.302076993699772E-3</v>
      </c>
      <c r="S732">
        <v>0.16370179153577744</v>
      </c>
      <c r="T732">
        <v>1.2089091182782687</v>
      </c>
      <c r="U732">
        <v>0</v>
      </c>
      <c r="V732">
        <v>1.5932872861263964E-2</v>
      </c>
      <c r="W732">
        <v>6.099394575963675E-2</v>
      </c>
      <c r="X732">
        <v>-1.4603907029408782E-2</v>
      </c>
      <c r="Y732">
        <v>2.5950831332167031E-2</v>
      </c>
    </row>
    <row r="733" spans="1:25" x14ac:dyDescent="0.25">
      <c r="A733" s="879"/>
      <c r="B733" s="1133">
        <v>483</v>
      </c>
      <c r="C733" s="883">
        <v>1.0321408521861271</v>
      </c>
      <c r="D733" s="883">
        <v>1.0161454533698013</v>
      </c>
      <c r="E733" s="883">
        <v>1.0321292320134057</v>
      </c>
      <c r="F733" s="883">
        <v>1.0014759702815286</v>
      </c>
      <c r="G733" s="883">
        <v>0.98610213903898836</v>
      </c>
      <c r="H733" s="883">
        <v>1.0405438263411666</v>
      </c>
      <c r="I733" s="883">
        <v>0.9657851687367216</v>
      </c>
      <c r="K733">
        <v>1.6061787559685559</v>
      </c>
      <c r="L733">
        <v>0</v>
      </c>
      <c r="M733">
        <v>6.2385401528438659E-3</v>
      </c>
      <c r="N733">
        <v>0.12197348678084022</v>
      </c>
      <c r="O733">
        <v>2.9668444005523188E-2</v>
      </c>
      <c r="P733">
        <v>1.8669799702155186E-2</v>
      </c>
      <c r="Q733">
        <v>0</v>
      </c>
      <c r="R733">
        <v>6.2385401528438659E-3</v>
      </c>
      <c r="S733">
        <v>0.15992220227603673</v>
      </c>
      <c r="T733">
        <v>1.1871091982645774</v>
      </c>
      <c r="U733">
        <v>0</v>
      </c>
      <c r="V733">
        <v>1.5684148074406792E-2</v>
      </c>
      <c r="W733">
        <v>6.3188713498724278E-2</v>
      </c>
      <c r="X733">
        <v>-1.5726434564365864E-2</v>
      </c>
      <c r="Y733">
        <v>2.5689197930658488E-2</v>
      </c>
    </row>
    <row r="734" spans="1:25" x14ac:dyDescent="0.25">
      <c r="A734" s="879"/>
      <c r="B734" s="1133">
        <v>484</v>
      </c>
      <c r="C734" s="883">
        <v>0.99771771320998615</v>
      </c>
      <c r="D734" s="883">
        <v>0.97267947426049906</v>
      </c>
      <c r="E734" s="883">
        <v>0.98118164504958016</v>
      </c>
      <c r="F734" s="883">
        <v>1.0095823572418841</v>
      </c>
      <c r="G734" s="883">
        <v>1.0116281158151248</v>
      </c>
      <c r="H734" s="883">
        <v>1.0093352118812633</v>
      </c>
      <c r="I734" s="883">
        <v>0.97168938465428867</v>
      </c>
      <c r="K734">
        <v>1.6249873901696192</v>
      </c>
      <c r="L734">
        <v>0</v>
      </c>
      <c r="M734">
        <v>6.6742627824741647E-3</v>
      </c>
      <c r="N734">
        <v>0.12101027314058917</v>
      </c>
      <c r="O734">
        <v>3.1278432092481309E-2</v>
      </c>
      <c r="P734">
        <v>1.8176603062773515E-2</v>
      </c>
      <c r="Q734">
        <v>0</v>
      </c>
      <c r="R734">
        <v>6.6742627824741647E-3</v>
      </c>
      <c r="S734">
        <v>0.16509536365438571</v>
      </c>
      <c r="T734">
        <v>1.1976726135531099</v>
      </c>
      <c r="U734">
        <v>0</v>
      </c>
      <c r="V734">
        <v>1.5866382264425619E-2</v>
      </c>
      <c r="W734">
        <v>6.429176322409183E-2</v>
      </c>
      <c r="X734">
        <v>-1.5887466985976029E-2</v>
      </c>
      <c r="Y734">
        <v>2.7483426163739142E-2</v>
      </c>
    </row>
    <row r="735" spans="1:25" x14ac:dyDescent="0.25">
      <c r="A735" s="879"/>
      <c r="B735" s="1133">
        <v>485</v>
      </c>
      <c r="C735" s="883">
        <v>0.97239759633578537</v>
      </c>
      <c r="D735" s="883">
        <v>0.9835891625701294</v>
      </c>
      <c r="E735" s="883">
        <v>1.0331978695558477</v>
      </c>
      <c r="F735" s="883">
        <v>0.98457032205798534</v>
      </c>
      <c r="G735" s="883">
        <v>1.019138632116952</v>
      </c>
      <c r="H735" s="883">
        <v>0.99141596394504938</v>
      </c>
      <c r="I735" s="883">
        <v>0.9934657574780168</v>
      </c>
      <c r="K735">
        <v>1.6057811449518986</v>
      </c>
      <c r="L735">
        <v>0</v>
      </c>
      <c r="M735">
        <v>6.3955043888230985E-3</v>
      </c>
      <c r="N735">
        <v>0.125240031035073</v>
      </c>
      <c r="O735">
        <v>3.1903071035712868E-2</v>
      </c>
      <c r="P735">
        <v>1.8580623390816675E-2</v>
      </c>
      <c r="Q735">
        <v>0</v>
      </c>
      <c r="R735">
        <v>6.3955043888230985E-3</v>
      </c>
      <c r="S735">
        <v>0.17205509505299291</v>
      </c>
      <c r="T735">
        <v>1.1670505225626377</v>
      </c>
      <c r="U735">
        <v>0</v>
      </c>
      <c r="V735">
        <v>1.6008661062487873E-2</v>
      </c>
      <c r="W735">
        <v>6.4846987525514793E-2</v>
      </c>
      <c r="X735">
        <v>-1.6239395429166071E-2</v>
      </c>
      <c r="Y735">
        <v>2.633554871582847E-2</v>
      </c>
    </row>
    <row r="736" spans="1:25" x14ac:dyDescent="0.25">
      <c r="A736" s="879"/>
      <c r="B736" s="1133">
        <v>486</v>
      </c>
      <c r="C736" s="883">
        <v>0.99276492485558954</v>
      </c>
      <c r="D736" s="883">
        <v>1.0107491343565915</v>
      </c>
      <c r="E736" s="883">
        <v>1.0160917686762456</v>
      </c>
      <c r="F736" s="883">
        <v>1.0268449374157267</v>
      </c>
      <c r="G736" s="883">
        <v>1.0003841364277961</v>
      </c>
      <c r="H736" s="883">
        <v>1.006025962148531</v>
      </c>
      <c r="I736" s="883">
        <v>0.98458063607218493</v>
      </c>
      <c r="K736">
        <v>1.6467746937139476</v>
      </c>
      <c r="L736">
        <v>0</v>
      </c>
      <c r="M736">
        <v>6.3746337186967776E-3</v>
      </c>
      <c r="N736">
        <v>0.12171317810944095</v>
      </c>
      <c r="O736">
        <v>3.0925761945831909E-2</v>
      </c>
      <c r="P736">
        <v>1.896656769454871E-2</v>
      </c>
      <c r="Q736">
        <v>0</v>
      </c>
      <c r="R736">
        <v>6.3746337186967776E-3</v>
      </c>
      <c r="S736">
        <v>0.16756588640662345</v>
      </c>
      <c r="T736">
        <v>1.2174848579660067</v>
      </c>
      <c r="U736">
        <v>0</v>
      </c>
      <c r="V736">
        <v>1.5893642004056716E-2</v>
      </c>
      <c r="W736">
        <v>6.3553113727233518E-2</v>
      </c>
      <c r="X736">
        <v>-1.5577921150882064E-2</v>
      </c>
      <c r="Y736">
        <v>2.6249607011089082E-2</v>
      </c>
    </row>
    <row r="737" spans="1:25" x14ac:dyDescent="0.25">
      <c r="A737" s="879"/>
      <c r="B737" s="1133">
        <v>487</v>
      </c>
      <c r="C737" s="883">
        <v>0.97761174721939681</v>
      </c>
      <c r="D737" s="883">
        <v>1.0198472077283467</v>
      </c>
      <c r="E737" s="883">
        <v>0.98817183557506094</v>
      </c>
      <c r="F737" s="883">
        <v>1.0037727267018148</v>
      </c>
      <c r="G737" s="883">
        <v>1.0129960817995991</v>
      </c>
      <c r="H737" s="883">
        <v>1.0148012796981229</v>
      </c>
      <c r="I737" s="883">
        <v>0.98606524507303883</v>
      </c>
      <c r="K737">
        <v>1.6251528853453692</v>
      </c>
      <c r="L737">
        <v>0</v>
      </c>
      <c r="M737">
        <v>6.6644993811990566E-3</v>
      </c>
      <c r="N737">
        <v>0.12209252213218322</v>
      </c>
      <c r="O737">
        <v>3.131704395590923E-2</v>
      </c>
      <c r="P737">
        <v>1.8258739905309743E-2</v>
      </c>
      <c r="Q737">
        <v>0</v>
      </c>
      <c r="R737">
        <v>6.6644993811990566E-3</v>
      </c>
      <c r="S737">
        <v>0.17080743389638323</v>
      </c>
      <c r="T737">
        <v>1.1906497452983866</v>
      </c>
      <c r="U737">
        <v>0</v>
      </c>
      <c r="V737">
        <v>1.5978759123764629E-2</v>
      </c>
      <c r="W737">
        <v>6.4640544746030024E-2</v>
      </c>
      <c r="X737">
        <v>-1.6035125927707897E-2</v>
      </c>
      <c r="Y737">
        <v>2.7443222215108892E-2</v>
      </c>
    </row>
    <row r="738" spans="1:25" x14ac:dyDescent="0.25">
      <c r="A738" s="879"/>
      <c r="B738" s="1133">
        <v>488</v>
      </c>
      <c r="C738" s="883">
        <v>0.99025766745008914</v>
      </c>
      <c r="D738" s="883">
        <v>1.0060664386624927</v>
      </c>
      <c r="E738" s="883">
        <v>0.98467345524217442</v>
      </c>
      <c r="F738" s="883">
        <v>0.98701103745554886</v>
      </c>
      <c r="G738" s="883">
        <v>0.99575738351455945</v>
      </c>
      <c r="H738" s="883">
        <v>0.99924160008360741</v>
      </c>
      <c r="I738" s="883">
        <v>0.98526291062723892</v>
      </c>
      <c r="K738">
        <v>1.5971312648586307</v>
      </c>
      <c r="L738">
        <v>0</v>
      </c>
      <c r="M738">
        <v>6.5378351015501863E-3</v>
      </c>
      <c r="N738">
        <v>0.11915228480523833</v>
      </c>
      <c r="O738">
        <v>3.1088681072296041E-2</v>
      </c>
      <c r="P738">
        <v>1.7906185678090127E-2</v>
      </c>
      <c r="Q738">
        <v>0</v>
      </c>
      <c r="R738">
        <v>6.5378351015501863E-3</v>
      </c>
      <c r="S738">
        <v>0.16772960813130547</v>
      </c>
      <c r="T738">
        <v>1.1708318334295738</v>
      </c>
      <c r="U738">
        <v>0</v>
      </c>
      <c r="V738">
        <v>1.5907545702030172E-2</v>
      </c>
      <c r="W738">
        <v>6.3194177343483302E-2</v>
      </c>
      <c r="X738">
        <v>-1.5600692560302188E-2</v>
      </c>
      <c r="Y738">
        <v>2.6921641256916165E-2</v>
      </c>
    </row>
    <row r="739" spans="1:25" x14ac:dyDescent="0.25">
      <c r="A739" s="879"/>
      <c r="B739" s="1133">
        <v>489</v>
      </c>
      <c r="C739" s="883">
        <v>0.98486734208564719</v>
      </c>
      <c r="D739" s="883">
        <v>1.0086435581235749</v>
      </c>
      <c r="E739" s="883">
        <v>0.9948644012642347</v>
      </c>
      <c r="F739" s="883">
        <v>0.96738085597870904</v>
      </c>
      <c r="G739" s="883">
        <v>0.96653793932795418</v>
      </c>
      <c r="H739" s="883">
        <v>1.0062768934144808</v>
      </c>
      <c r="I739" s="883">
        <v>1.0446430847478472</v>
      </c>
      <c r="K739">
        <v>1.5879037767847612</v>
      </c>
      <c r="L739">
        <v>0</v>
      </c>
      <c r="M739">
        <v>6.5538138173002209E-3</v>
      </c>
      <c r="N739">
        <v>0.12126188968646713</v>
      </c>
      <c r="O739">
        <v>3.1218393245263983E-2</v>
      </c>
      <c r="P739">
        <v>1.7887506054147302E-2</v>
      </c>
      <c r="Q739">
        <v>0</v>
      </c>
      <c r="R739">
        <v>6.5538138173002209E-3</v>
      </c>
      <c r="S739">
        <v>0.17922713912671784</v>
      </c>
      <c r="T739">
        <v>1.1473620653478025</v>
      </c>
      <c r="U739">
        <v>0</v>
      </c>
      <c r="V739">
        <v>1.5937676807867975E-2</v>
      </c>
      <c r="W739">
        <v>6.3987003668336442E-2</v>
      </c>
      <c r="X739">
        <v>-1.5965335916111774E-2</v>
      </c>
      <c r="Y739">
        <v>2.6987438764269421E-2</v>
      </c>
    </row>
    <row r="740" spans="1:25" x14ac:dyDescent="0.25">
      <c r="A740" s="879"/>
      <c r="B740" s="1133">
        <v>490</v>
      </c>
      <c r="C740" s="883">
        <v>1.0137402028864437</v>
      </c>
      <c r="D740" s="883">
        <v>0.98462125973144032</v>
      </c>
      <c r="E740" s="883">
        <v>1.0112941816465126</v>
      </c>
      <c r="F740" s="883">
        <v>0.99737716511716579</v>
      </c>
      <c r="G740" s="883">
        <v>0.98751417065231617</v>
      </c>
      <c r="H740" s="883">
        <v>0.95522118896894492</v>
      </c>
      <c r="I740" s="883">
        <v>0.98233280644878262</v>
      </c>
      <c r="K740">
        <v>1.5928674577098896</v>
      </c>
      <c r="L740">
        <v>0</v>
      </c>
      <c r="M740">
        <v>6.0223586244453576E-3</v>
      </c>
      <c r="N740">
        <v>0.11417350787975375</v>
      </c>
      <c r="O740">
        <v>3.060906358797499E-2</v>
      </c>
      <c r="P740">
        <v>1.833975178713745E-2</v>
      </c>
      <c r="Q740">
        <v>0</v>
      </c>
      <c r="R740">
        <v>6.0223586244453576E-3</v>
      </c>
      <c r="S740">
        <v>0.1611078878620617</v>
      </c>
      <c r="T740">
        <v>1.1826348591495353</v>
      </c>
      <c r="U740">
        <v>0</v>
      </c>
      <c r="V740">
        <v>1.5780020463797954E-2</v>
      </c>
      <c r="W740">
        <v>5.97576585718292E-2</v>
      </c>
      <c r="X740">
        <v>-1.4334292467792059E-2</v>
      </c>
      <c r="Y740">
        <v>2.4799000875591056E-2</v>
      </c>
    </row>
    <row r="741" spans="1:25" x14ac:dyDescent="0.25">
      <c r="A741" s="879"/>
      <c r="B741" s="1133">
        <v>491</v>
      </c>
      <c r="C741" s="883">
        <v>1.0002842082279679</v>
      </c>
      <c r="D741" s="883">
        <v>0.9991713604218474</v>
      </c>
      <c r="E741" s="883">
        <v>1.0073145577194333</v>
      </c>
      <c r="F741" s="883">
        <v>0.98690613709081909</v>
      </c>
      <c r="G741" s="883">
        <v>1.0182297737439288</v>
      </c>
      <c r="H741" s="883">
        <v>1.0054371216433693</v>
      </c>
      <c r="I741" s="883">
        <v>0.97857813655827786</v>
      </c>
      <c r="K741">
        <v>1.5952016791909271</v>
      </c>
      <c r="L741">
        <v>0</v>
      </c>
      <c r="M741">
        <v>6.4045589872249653E-3</v>
      </c>
      <c r="N741">
        <v>0.12070610533551966</v>
      </c>
      <c r="O741">
        <v>3.0842829187614423E-2</v>
      </c>
      <c r="P741">
        <v>1.8177329694418362E-2</v>
      </c>
      <c r="Q741">
        <v>0</v>
      </c>
      <c r="R741">
        <v>6.4045589872249653E-3</v>
      </c>
      <c r="S741">
        <v>0.16536497243690185</v>
      </c>
      <c r="T741">
        <v>1.1702917245356832</v>
      </c>
      <c r="U741">
        <v>0</v>
      </c>
      <c r="V741">
        <v>1.5852362672539658E-2</v>
      </c>
      <c r="W741">
        <v>6.3301289268900718E-2</v>
      </c>
      <c r="X741">
        <v>-1.5707767881039607E-2</v>
      </c>
      <c r="Y741">
        <v>2.6372833940388921E-2</v>
      </c>
    </row>
    <row r="742" spans="1:25" x14ac:dyDescent="0.25">
      <c r="A742" s="879"/>
      <c r="B742" s="1133">
        <v>492</v>
      </c>
      <c r="C742" s="883">
        <v>0.96875568843288318</v>
      </c>
      <c r="D742" s="883">
        <v>1.0170681896043769</v>
      </c>
      <c r="E742" s="883">
        <v>1.0003660205571154</v>
      </c>
      <c r="F742" s="883">
        <v>1.0426422236967303</v>
      </c>
      <c r="G742" s="883">
        <v>1.0245165005154795</v>
      </c>
      <c r="H742" s="883">
        <v>0.98233679976030264</v>
      </c>
      <c r="I742" s="883">
        <v>1.0121669213867281</v>
      </c>
      <c r="K742">
        <v>1.6731740139800826</v>
      </c>
      <c r="L742">
        <v>0</v>
      </c>
      <c r="M742">
        <v>6.4491683928355149E-3</v>
      </c>
      <c r="N742">
        <v>0.1203024057040802</v>
      </c>
      <c r="O742">
        <v>3.1627414158304105E-2</v>
      </c>
      <c r="P742">
        <v>1.9099835653112796E-2</v>
      </c>
      <c r="Q742">
        <v>0</v>
      </c>
      <c r="R742">
        <v>6.4491683928355149E-3</v>
      </c>
      <c r="S742">
        <v>0.17502263946741317</v>
      </c>
      <c r="T742">
        <v>1.2365191416096903</v>
      </c>
      <c r="U742">
        <v>0</v>
      </c>
      <c r="V742">
        <v>1.6029737483138667E-2</v>
      </c>
      <c r="W742">
        <v>6.3307327248634429E-2</v>
      </c>
      <c r="X742">
        <v>-1.5291014876805889E-2</v>
      </c>
      <c r="Y742">
        <v>2.6556527532514966E-2</v>
      </c>
    </row>
    <row r="743" spans="1:25" x14ac:dyDescent="0.25">
      <c r="A743" s="879"/>
      <c r="B743" s="1133">
        <v>493</v>
      </c>
      <c r="C743" s="883">
        <v>1.0022538660354288</v>
      </c>
      <c r="D743" s="883">
        <v>1.0053003527695643</v>
      </c>
      <c r="E743" s="883">
        <v>0.98077146582391705</v>
      </c>
      <c r="F743" s="883">
        <v>1.017428249421189</v>
      </c>
      <c r="G743" s="883">
        <v>1.0070922022494537</v>
      </c>
      <c r="H743" s="883">
        <v>0.98023572621709487</v>
      </c>
      <c r="I743" s="883">
        <v>0.99490976309032675</v>
      </c>
      <c r="K743">
        <v>1.6260896407359244</v>
      </c>
      <c r="L743">
        <v>0</v>
      </c>
      <c r="M743">
        <v>6.3604746392033592E-3</v>
      </c>
      <c r="N743">
        <v>0.11525086223799363</v>
      </c>
      <c r="O743">
        <v>3.072904498510173E-2</v>
      </c>
      <c r="P743">
        <v>1.8308616251783361E-2</v>
      </c>
      <c r="Q743">
        <v>0</v>
      </c>
      <c r="R743">
        <v>6.3604746392033592E-3</v>
      </c>
      <c r="S743">
        <v>0.16625693995257793</v>
      </c>
      <c r="T743">
        <v>1.2069880256024632</v>
      </c>
      <c r="U743">
        <v>0</v>
      </c>
      <c r="V743">
        <v>1.5841652026425887E-2</v>
      </c>
      <c r="W743">
        <v>6.1244407676743044E-2</v>
      </c>
      <c r="X743">
        <v>-1.4721210439121389E-2</v>
      </c>
      <c r="Y743">
        <v>2.6191302441957387E-2</v>
      </c>
    </row>
    <row r="744" spans="1:25" x14ac:dyDescent="0.25">
      <c r="A744" s="879"/>
      <c r="B744" s="1133">
        <v>494</v>
      </c>
      <c r="C744" s="883">
        <v>0.98311065839130529</v>
      </c>
      <c r="D744" s="883">
        <v>0.99165708345838788</v>
      </c>
      <c r="E744" s="883">
        <v>1.0032065852304941</v>
      </c>
      <c r="F744" s="883">
        <v>0.97111097634972954</v>
      </c>
      <c r="G744" s="883">
        <v>0.98876066083156933</v>
      </c>
      <c r="H744" s="883">
        <v>1.0354151368046833</v>
      </c>
      <c r="I744" s="883">
        <v>1.0304422360754437</v>
      </c>
      <c r="K744">
        <v>1.6002219955027912</v>
      </c>
      <c r="L744">
        <v>0</v>
      </c>
      <c r="M744">
        <v>6.7575914689977186E-3</v>
      </c>
      <c r="N744">
        <v>0.1265872319803994</v>
      </c>
      <c r="O744">
        <v>3.1480145127774244E-2</v>
      </c>
      <c r="P744">
        <v>1.8056447974928381E-2</v>
      </c>
      <c r="Q744">
        <v>0</v>
      </c>
      <c r="R744">
        <v>6.7575914689977186E-3</v>
      </c>
      <c r="S744">
        <v>0.17907716750699085</v>
      </c>
      <c r="T744">
        <v>1.1516355778874585</v>
      </c>
      <c r="U744">
        <v>0</v>
      </c>
      <c r="V744">
        <v>1.5947567791200337E-2</v>
      </c>
      <c r="W744">
        <v>6.6520782429251898E-2</v>
      </c>
      <c r="X744">
        <v>-1.6909484058102508E-2</v>
      </c>
      <c r="Y744">
        <v>2.7826558862889841E-2</v>
      </c>
    </row>
    <row r="745" spans="1:25" x14ac:dyDescent="0.25">
      <c r="A745" s="879"/>
      <c r="B745" s="1133">
        <v>495</v>
      </c>
      <c r="C745" s="883">
        <v>1.0113289801666374</v>
      </c>
      <c r="D745" s="883">
        <v>0.9626260225415767</v>
      </c>
      <c r="E745" s="883">
        <v>1.0106933245971781</v>
      </c>
      <c r="F745" s="883">
        <v>1.0162965638386838</v>
      </c>
      <c r="G745" s="883">
        <v>1.0028401027452907</v>
      </c>
      <c r="H745" s="883">
        <v>1.018898470204026</v>
      </c>
      <c r="I745" s="883">
        <v>0.99133061628750174</v>
      </c>
      <c r="K745">
        <v>1.6360032078507469</v>
      </c>
      <c r="L745">
        <v>0</v>
      </c>
      <c r="M745">
        <v>6.5078740747592442E-3</v>
      </c>
      <c r="N745">
        <v>0.12326835357154826</v>
      </c>
      <c r="O745">
        <v>3.0961100368713385E-2</v>
      </c>
      <c r="P745">
        <v>1.8711939624652205E-2</v>
      </c>
      <c r="Q745">
        <v>0</v>
      </c>
      <c r="R745">
        <v>6.5078740747592442E-3</v>
      </c>
      <c r="S745">
        <v>0.16686200266081369</v>
      </c>
      <c r="T745">
        <v>1.2050797587035376</v>
      </c>
      <c r="U745">
        <v>0</v>
      </c>
      <c r="V745">
        <v>1.579284212348675E-2</v>
      </c>
      <c r="W745">
        <v>6.453700971026699E-2</v>
      </c>
      <c r="X745">
        <v>-1.6008065993728143E-2</v>
      </c>
      <c r="Y745">
        <v>2.6798267081455024E-2</v>
      </c>
    </row>
    <row r="746" spans="1:25" x14ac:dyDescent="0.25">
      <c r="A746" s="879"/>
      <c r="B746" s="1133">
        <v>496</v>
      </c>
      <c r="C746" s="883">
        <v>1.0019603624822691</v>
      </c>
      <c r="D746" s="883">
        <v>1.0135654854151936</v>
      </c>
      <c r="E746" s="883">
        <v>1.0013333032276004</v>
      </c>
      <c r="F746" s="883">
        <v>1.0172130395850529</v>
      </c>
      <c r="G746" s="883">
        <v>0.975952052174197</v>
      </c>
      <c r="H746" s="883">
        <v>1.0185003433827786</v>
      </c>
      <c r="I746" s="883">
        <v>0.98568957322986828</v>
      </c>
      <c r="K746">
        <v>1.633703302850166</v>
      </c>
      <c r="L746">
        <v>0</v>
      </c>
      <c r="M746">
        <v>6.469473001216584E-3</v>
      </c>
      <c r="N746">
        <v>0.1208542172216595</v>
      </c>
      <c r="O746">
        <v>3.0620698169078069E-2</v>
      </c>
      <c r="P746">
        <v>1.8598188842703599E-2</v>
      </c>
      <c r="Q746">
        <v>0</v>
      </c>
      <c r="R746">
        <v>6.469473001216584E-3</v>
      </c>
      <c r="S746">
        <v>0.16687902153373441</v>
      </c>
      <c r="T746">
        <v>1.2063431763771801</v>
      </c>
      <c r="U746">
        <v>0</v>
      </c>
      <c r="V746">
        <v>1.5843245376198967E-2</v>
      </c>
      <c r="W746">
        <v>6.3567176274012066E-2</v>
      </c>
      <c r="X746">
        <v>-1.564255924014353E-2</v>
      </c>
      <c r="Y746">
        <v>2.6640138295742639E-2</v>
      </c>
    </row>
    <row r="747" spans="1:25" x14ac:dyDescent="0.25">
      <c r="A747" s="879"/>
      <c r="B747" s="1133">
        <v>497</v>
      </c>
      <c r="C747" s="883">
        <v>1.0445820508674355</v>
      </c>
      <c r="D747" s="883">
        <v>0.99504029272130257</v>
      </c>
      <c r="E747" s="883">
        <v>1.0021059665829095</v>
      </c>
      <c r="F747" s="883">
        <v>0.99036122202375354</v>
      </c>
      <c r="G747" s="883">
        <v>1.0147489714925204</v>
      </c>
      <c r="H747" s="883">
        <v>0.99239815726298719</v>
      </c>
      <c r="I747" s="883">
        <v>1.0083499904029336</v>
      </c>
      <c r="K747">
        <v>1.5847329421707004</v>
      </c>
      <c r="L747">
        <v>0</v>
      </c>
      <c r="M747">
        <v>6.0922944544054055E-3</v>
      </c>
      <c r="N747">
        <v>0.11393859460718242</v>
      </c>
      <c r="O747">
        <v>2.9588177902375098E-2</v>
      </c>
      <c r="P747">
        <v>1.8120285961165078E-2</v>
      </c>
      <c r="Q747">
        <v>0</v>
      </c>
      <c r="R747">
        <v>6.0922944544054055E-3</v>
      </c>
      <c r="S747">
        <v>0.16247458083706254</v>
      </c>
      <c r="T747">
        <v>1.1744845919176536</v>
      </c>
      <c r="U747">
        <v>0</v>
      </c>
      <c r="V747">
        <v>1.5621239949588491E-2</v>
      </c>
      <c r="W747">
        <v>5.9906705046088499E-2</v>
      </c>
      <c r="X747">
        <v>-1.4488218225667104E-2</v>
      </c>
      <c r="Y747">
        <v>2.5086984175252847E-2</v>
      </c>
    </row>
    <row r="748" spans="1:25" x14ac:dyDescent="0.25">
      <c r="A748" s="879"/>
      <c r="B748" s="1133">
        <v>498</v>
      </c>
      <c r="C748" s="883">
        <v>1.0110569738480719</v>
      </c>
      <c r="D748" s="883">
        <v>0.99143719100479921</v>
      </c>
      <c r="E748" s="883">
        <v>0.97123666306889067</v>
      </c>
      <c r="F748" s="883">
        <v>1.0178386598441738</v>
      </c>
      <c r="G748" s="883">
        <v>1.0142733316470613</v>
      </c>
      <c r="H748" s="883">
        <v>0.9809489380760994</v>
      </c>
      <c r="I748" s="883">
        <v>1.0220396757059735</v>
      </c>
      <c r="K748">
        <v>1.6289555715995268</v>
      </c>
      <c r="L748">
        <v>0</v>
      </c>
      <c r="M748">
        <v>6.4018500424211765E-3</v>
      </c>
      <c r="N748">
        <v>0.11437063862866079</v>
      </c>
      <c r="O748">
        <v>3.0638547732562131E-2</v>
      </c>
      <c r="P748">
        <v>1.822420752331869E-2</v>
      </c>
      <c r="Q748">
        <v>0</v>
      </c>
      <c r="R748">
        <v>6.4018500424211765E-3</v>
      </c>
      <c r="S748">
        <v>0.1694711015363275</v>
      </c>
      <c r="T748">
        <v>1.207656284081315</v>
      </c>
      <c r="U748">
        <v>0</v>
      </c>
      <c r="V748">
        <v>1.5794292353711294E-2</v>
      </c>
      <c r="W748">
        <v>6.1067984788606935E-2</v>
      </c>
      <c r="X748">
        <v>-1.462916403283681E-2</v>
      </c>
      <c r="Y748">
        <v>2.6361678987861129E-2</v>
      </c>
    </row>
    <row r="749" spans="1:25" x14ac:dyDescent="0.25">
      <c r="A749" s="879"/>
      <c r="B749" s="1133">
        <v>499</v>
      </c>
      <c r="C749" s="883">
        <v>1.0297814802615017</v>
      </c>
      <c r="D749" s="883">
        <v>1.0217256762959297</v>
      </c>
      <c r="E749" s="883">
        <v>1.0294720467365044</v>
      </c>
      <c r="F749" s="883">
        <v>1.0258689712462052</v>
      </c>
      <c r="G749" s="883">
        <v>1.0043845127123094</v>
      </c>
      <c r="H749" s="883">
        <v>0.97215296884757407</v>
      </c>
      <c r="I749" s="883">
        <v>1.0181704732076837</v>
      </c>
      <c r="K749">
        <v>1.6284494530115001</v>
      </c>
      <c r="L749">
        <v>0</v>
      </c>
      <c r="M749">
        <v>5.841209727867936E-3</v>
      </c>
      <c r="N749">
        <v>0.11375736525555077</v>
      </c>
      <c r="O749">
        <v>2.9673753957219051E-2</v>
      </c>
      <c r="P749">
        <v>1.9099418621031736E-2</v>
      </c>
      <c r="Q749">
        <v>0</v>
      </c>
      <c r="R749">
        <v>5.841209727867936E-3</v>
      </c>
      <c r="S749">
        <v>0.16503744688964975</v>
      </c>
      <c r="T749">
        <v>1.21607396823967</v>
      </c>
      <c r="U749">
        <v>0</v>
      </c>
      <c r="V749">
        <v>1.5696249552063168E-2</v>
      </c>
      <c r="W749">
        <v>5.9009176138065313E-2</v>
      </c>
      <c r="X749">
        <v>-1.3950987604536245E-2</v>
      </c>
      <c r="Y749">
        <v>2.4053061962786854E-2</v>
      </c>
    </row>
    <row r="750" spans="1:25" x14ac:dyDescent="0.25">
      <c r="A750" s="879"/>
      <c r="B750" s="1133">
        <v>500</v>
      </c>
      <c r="C750" s="883">
        <v>0.95915775063209086</v>
      </c>
      <c r="D750" s="883">
        <v>1.0070640352370017</v>
      </c>
      <c r="E750" s="883">
        <v>1.0130007512503998</v>
      </c>
      <c r="F750" s="883">
        <v>1.024833137232511</v>
      </c>
      <c r="G750" s="883">
        <v>0.98962712936906816</v>
      </c>
      <c r="H750" s="883">
        <v>0.98722309411585862</v>
      </c>
      <c r="I750" s="883">
        <v>1.0050170795083828</v>
      </c>
      <c r="K750">
        <v>1.6573707264185118</v>
      </c>
      <c r="L750">
        <v>0</v>
      </c>
      <c r="M750">
        <v>6.502786013087172E-3</v>
      </c>
      <c r="N750">
        <v>0.12359338083021819</v>
      </c>
      <c r="O750">
        <v>3.2059017394959463E-2</v>
      </c>
      <c r="P750">
        <v>1.900714845170879E-2</v>
      </c>
      <c r="Q750">
        <v>0</v>
      </c>
      <c r="R750">
        <v>6.502786013087172E-3</v>
      </c>
      <c r="S750">
        <v>0.17593363114006691</v>
      </c>
      <c r="T750">
        <v>1.2151582261086944</v>
      </c>
      <c r="U750">
        <v>0</v>
      </c>
      <c r="V750">
        <v>1.608604931636376E-2</v>
      </c>
      <c r="W750">
        <v>6.4633426490445747E-2</v>
      </c>
      <c r="X750">
        <v>-1.5877468663076887E-2</v>
      </c>
      <c r="Y750">
        <v>2.6777315349130661E-2</v>
      </c>
    </row>
    <row r="751" spans="1:25" x14ac:dyDescent="0.25">
      <c r="A751" s="879"/>
      <c r="B751" s="1133">
        <v>501</v>
      </c>
      <c r="C751" s="883">
        <v>0.9552947154618926</v>
      </c>
      <c r="D751" s="883">
        <v>0.9816265355219409</v>
      </c>
      <c r="E751" s="883">
        <v>1.0267939367202774</v>
      </c>
      <c r="F751" s="883">
        <v>1.0286541677126251</v>
      </c>
      <c r="G751" s="883">
        <v>0.99841595944381789</v>
      </c>
      <c r="H751" s="883">
        <v>1.0021634741272103</v>
      </c>
      <c r="I751" s="883">
        <v>0.98277451559529716</v>
      </c>
      <c r="K751">
        <v>1.6670220947438121</v>
      </c>
      <c r="L751">
        <v>0</v>
      </c>
      <c r="M751">
        <v>6.6235175036327898E-3</v>
      </c>
      <c r="N751">
        <v>0.12848306926684802</v>
      </c>
      <c r="O751">
        <v>3.2506529486774807E-2</v>
      </c>
      <c r="P751">
        <v>1.9234307513699086E-2</v>
      </c>
      <c r="Q751">
        <v>0</v>
      </c>
      <c r="R751">
        <v>6.6235175036327898E-3</v>
      </c>
      <c r="S751">
        <v>0.17391118951726528</v>
      </c>
      <c r="T751">
        <v>1.2194264216458568</v>
      </c>
      <c r="U751">
        <v>0</v>
      </c>
      <c r="V751">
        <v>1.610903340497111E-2</v>
      </c>
      <c r="W751">
        <v>6.6735506261498934E-2</v>
      </c>
      <c r="X751">
        <v>-1.6658428490895369E-2</v>
      </c>
      <c r="Y751">
        <v>2.7274466137793288E-2</v>
      </c>
    </row>
    <row r="752" spans="1:25" x14ac:dyDescent="0.25">
      <c r="A752" s="879"/>
      <c r="B752" s="1133">
        <v>502</v>
      </c>
      <c r="C752" s="883">
        <v>0.96590620993485909</v>
      </c>
      <c r="D752" s="883">
        <v>0.95379259280651452</v>
      </c>
      <c r="E752" s="883">
        <v>1.028614305052552</v>
      </c>
      <c r="F752" s="883">
        <v>0.97753913624581557</v>
      </c>
      <c r="G752" s="883">
        <v>0.98012640835517073</v>
      </c>
      <c r="H752" s="883">
        <v>1.000677453794889</v>
      </c>
      <c r="I752" s="883">
        <v>1.0182793795932161</v>
      </c>
      <c r="K752">
        <v>1.6100478338856217</v>
      </c>
      <c r="L752">
        <v>0</v>
      </c>
      <c r="M752">
        <v>6.6151032425065944E-3</v>
      </c>
      <c r="N752">
        <v>0.12866566411679561</v>
      </c>
      <c r="O752">
        <v>3.2519666481474328E-2</v>
      </c>
      <c r="P752">
        <v>1.8493253808287917E-2</v>
      </c>
      <c r="Q752">
        <v>0</v>
      </c>
      <c r="R752">
        <v>6.6151032425065944E-3</v>
      </c>
      <c r="S752">
        <v>0.17845257829237202</v>
      </c>
      <c r="T752">
        <v>1.1587988387753405</v>
      </c>
      <c r="U752">
        <v>0</v>
      </c>
      <c r="V752">
        <v>1.6046338787097766E-2</v>
      </c>
      <c r="W752">
        <v>6.6770636058388011E-2</v>
      </c>
      <c r="X752">
        <v>-1.6938960142292174E-2</v>
      </c>
      <c r="Y752">
        <v>2.7239817708158261E-2</v>
      </c>
    </row>
    <row r="753" spans="1:25" x14ac:dyDescent="0.25">
      <c r="A753" s="879"/>
      <c r="B753" s="1133">
        <v>503</v>
      </c>
      <c r="C753" s="883">
        <v>1.0089008692891164</v>
      </c>
      <c r="D753" s="883">
        <v>0.99330373672441064</v>
      </c>
      <c r="E753" s="883">
        <v>1.0013713868169987</v>
      </c>
      <c r="F753" s="883">
        <v>0.97740637224844595</v>
      </c>
      <c r="G753" s="883">
        <v>1.015954791838013</v>
      </c>
      <c r="H753" s="883">
        <v>1.0334954593182628</v>
      </c>
      <c r="I753" s="883">
        <v>0.97304131458978949</v>
      </c>
      <c r="K753">
        <v>1.5865274870301938</v>
      </c>
      <c r="L753">
        <v>0</v>
      </c>
      <c r="M753">
        <v>6.5783169003342324E-3</v>
      </c>
      <c r="N753">
        <v>0.12289442914937319</v>
      </c>
      <c r="O753">
        <v>3.0656641833862637E-2</v>
      </c>
      <c r="P753">
        <v>1.7936410632940953E-2</v>
      </c>
      <c r="Q753">
        <v>0</v>
      </c>
      <c r="R753">
        <v>6.5783169003342324E-3</v>
      </c>
      <c r="S753">
        <v>0.16465140759358746</v>
      </c>
      <c r="T753">
        <v>1.1591345749028363</v>
      </c>
      <c r="U753">
        <v>0</v>
      </c>
      <c r="V753">
        <v>1.5805815517462463E-2</v>
      </c>
      <c r="W753">
        <v>6.4639069694306162E-2</v>
      </c>
      <c r="X753">
        <v>-1.6279200392994408E-2</v>
      </c>
      <c r="Y753">
        <v>2.7088338098817291E-2</v>
      </c>
    </row>
    <row r="754" spans="1:25" x14ac:dyDescent="0.25">
      <c r="A754" s="879"/>
      <c r="B754" s="1133">
        <v>504</v>
      </c>
      <c r="C754" s="883">
        <v>1.0160767272458271</v>
      </c>
      <c r="D754" s="883">
        <v>1.0150815150277412</v>
      </c>
      <c r="E754" s="883">
        <v>1.0160801167847231</v>
      </c>
      <c r="F754" s="883">
        <v>0.98559568177035106</v>
      </c>
      <c r="G754" s="883">
        <v>1.0133804920854113</v>
      </c>
      <c r="H754" s="883">
        <v>0.98577077442484651</v>
      </c>
      <c r="I754" s="883">
        <v>1.0259464851023039</v>
      </c>
      <c r="K754">
        <v>1.589560996937005</v>
      </c>
      <c r="L754">
        <v>0</v>
      </c>
      <c r="M754">
        <v>6.0914180168017253E-3</v>
      </c>
      <c r="N754">
        <v>0.11630363341378736</v>
      </c>
      <c r="O754">
        <v>3.0164592210034764E-2</v>
      </c>
      <c r="P754">
        <v>1.8327316546401885E-2</v>
      </c>
      <c r="Q754">
        <v>0</v>
      </c>
      <c r="R754">
        <v>6.0914180168017253E-3</v>
      </c>
      <c r="S754">
        <v>0.16937844728822748</v>
      </c>
      <c r="T754">
        <v>1.1685776432616808</v>
      </c>
      <c r="U754">
        <v>0</v>
      </c>
      <c r="V754">
        <v>1.5767654066932868E-2</v>
      </c>
      <c r="W754">
        <v>6.0728843403509064E-2</v>
      </c>
      <c r="X754">
        <v>-1.4770508414770425E-2</v>
      </c>
      <c r="Y754">
        <v>2.5083375161200974E-2</v>
      </c>
    </row>
    <row r="755" spans="1:25" x14ac:dyDescent="0.25">
      <c r="A755" s="879"/>
      <c r="B755" s="1133">
        <v>505</v>
      </c>
      <c r="C755" s="883">
        <v>1.0314362265778452</v>
      </c>
      <c r="D755" s="883">
        <v>0.99543719337411385</v>
      </c>
      <c r="E755" s="883">
        <v>1.0004091442950533</v>
      </c>
      <c r="F755" s="883">
        <v>1.0281313087072197</v>
      </c>
      <c r="G755" s="883">
        <v>1.0453054059137192</v>
      </c>
      <c r="H755" s="883">
        <v>1.0398005015953877</v>
      </c>
      <c r="I755" s="883">
        <v>1.0008695987978902</v>
      </c>
      <c r="K755">
        <v>1.6450261673919666</v>
      </c>
      <c r="L755">
        <v>0</v>
      </c>
      <c r="M755">
        <v>6.4730908198147733E-3</v>
      </c>
      <c r="N755">
        <v>0.12075636753830478</v>
      </c>
      <c r="O755">
        <v>2.9961913358668605E-2</v>
      </c>
      <c r="P755">
        <v>1.8744633576892027E-2</v>
      </c>
      <c r="Q755">
        <v>0</v>
      </c>
      <c r="R755">
        <v>6.4730908198147733E-3</v>
      </c>
      <c r="S755">
        <v>0.16599128627419504</v>
      </c>
      <c r="T755">
        <v>1.2193091314936275</v>
      </c>
      <c r="U755">
        <v>0</v>
      </c>
      <c r="V755">
        <v>1.5687756378368164E-2</v>
      </c>
      <c r="W755">
        <v>6.3544857099132962E-2</v>
      </c>
      <c r="X755">
        <v>-1.5624814156004778E-2</v>
      </c>
      <c r="Y755">
        <v>2.6655035828782286E-2</v>
      </c>
    </row>
    <row r="756" spans="1:25" x14ac:dyDescent="0.25">
      <c r="A756" s="879"/>
      <c r="B756" s="1133">
        <v>506</v>
      </c>
      <c r="C756" s="883">
        <v>0.99662717569567427</v>
      </c>
      <c r="D756" s="883">
        <v>1.013710772971774</v>
      </c>
      <c r="E756" s="883">
        <v>1.0127885143370123</v>
      </c>
      <c r="F756" s="883">
        <v>0.96193409916078576</v>
      </c>
      <c r="G756" s="883">
        <v>1.0208793369158367</v>
      </c>
      <c r="H756" s="883">
        <v>0.97581255636322672</v>
      </c>
      <c r="I756" s="883">
        <v>1.0139638402518349</v>
      </c>
      <c r="K756">
        <v>1.5640828332158994</v>
      </c>
      <c r="L756">
        <v>0</v>
      </c>
      <c r="M756">
        <v>6.1690023135163507E-3</v>
      </c>
      <c r="N756">
        <v>0.1172125892518807</v>
      </c>
      <c r="O756">
        <v>3.0772826360981151E-2</v>
      </c>
      <c r="P756">
        <v>1.7915317251156412E-2</v>
      </c>
      <c r="Q756">
        <v>0</v>
      </c>
      <c r="R756">
        <v>6.1690023135163507E-3</v>
      </c>
      <c r="S756">
        <v>0.17009268406364897</v>
      </c>
      <c r="T756">
        <v>1.1405817862270833</v>
      </c>
      <c r="U756">
        <v>0</v>
      </c>
      <c r="V756">
        <v>1.5872361232617784E-2</v>
      </c>
      <c r="W756">
        <v>6.1303004998759091E-2</v>
      </c>
      <c r="X756">
        <v>-1.507058965581096E-2</v>
      </c>
      <c r="Y756">
        <v>2.5402853485581772E-2</v>
      </c>
    </row>
    <row r="757" spans="1:25" x14ac:dyDescent="0.25">
      <c r="A757" s="879"/>
      <c r="B757" s="1133">
        <v>507</v>
      </c>
      <c r="C757" s="883">
        <v>0.99303557607289572</v>
      </c>
      <c r="D757" s="883">
        <v>1.0286206389531003</v>
      </c>
      <c r="E757" s="883">
        <v>0.9928516229751615</v>
      </c>
      <c r="F757" s="883">
        <v>1.0127651047556192</v>
      </c>
      <c r="G757" s="883">
        <v>0.98714442572024785</v>
      </c>
      <c r="H757" s="883">
        <v>1.0029133088655469</v>
      </c>
      <c r="I757" s="883">
        <v>1.0080642943170182</v>
      </c>
      <c r="K757">
        <v>1.630000222661389</v>
      </c>
      <c r="L757">
        <v>0</v>
      </c>
      <c r="M757">
        <v>6.4331082634243499E-3</v>
      </c>
      <c r="N757">
        <v>0.11867397324004611</v>
      </c>
      <c r="O757">
        <v>3.07213341423784E-2</v>
      </c>
      <c r="P757">
        <v>1.8468021254379043E-2</v>
      </c>
      <c r="Q757">
        <v>0</v>
      </c>
      <c r="R757">
        <v>6.4331082634243499E-3</v>
      </c>
      <c r="S757">
        <v>0.17113242099741346</v>
      </c>
      <c r="T757">
        <v>1.201227993991508</v>
      </c>
      <c r="U757">
        <v>0</v>
      </c>
      <c r="V757">
        <v>1.5892145338399687E-2</v>
      </c>
      <c r="W757">
        <v>6.2684207941384032E-2</v>
      </c>
      <c r="X757">
        <v>-1.5290269022316465E-2</v>
      </c>
      <c r="Y757">
        <v>2.6490394778196254E-2</v>
      </c>
    </row>
    <row r="758" spans="1:25" x14ac:dyDescent="0.25">
      <c r="A758" s="879"/>
      <c r="B758" s="1133">
        <v>508</v>
      </c>
      <c r="C758" s="883">
        <v>0.9948973208584807</v>
      </c>
      <c r="D758" s="883">
        <v>0.98784035468251175</v>
      </c>
      <c r="E758" s="883">
        <v>0.99584953866516635</v>
      </c>
      <c r="F758" s="883">
        <v>0.99267518823518697</v>
      </c>
      <c r="G758" s="883">
        <v>1.0220333419170053</v>
      </c>
      <c r="H758" s="883">
        <v>0.99847148085531323</v>
      </c>
      <c r="I758" s="883">
        <v>0.99077061948465794</v>
      </c>
      <c r="K758">
        <v>1.6053640790778081</v>
      </c>
      <c r="L758">
        <v>0</v>
      </c>
      <c r="M758">
        <v>6.4919577759774061E-3</v>
      </c>
      <c r="N758">
        <v>0.12029289402637305</v>
      </c>
      <c r="O758">
        <v>3.116153161329074E-2</v>
      </c>
      <c r="P758">
        <v>1.815034094624959E-2</v>
      </c>
      <c r="Q758">
        <v>0</v>
      </c>
      <c r="R758">
        <v>6.4919577759774061E-3</v>
      </c>
      <c r="S758">
        <v>0.16803360502628978</v>
      </c>
      <c r="T758">
        <v>1.177344213347213</v>
      </c>
      <c r="U758">
        <v>0</v>
      </c>
      <c r="V758">
        <v>1.5881872200492621E-2</v>
      </c>
      <c r="W758">
        <v>6.3444580806595846E-2</v>
      </c>
      <c r="X758">
        <v>-1.5677685484764076E-2</v>
      </c>
      <c r="Y758">
        <v>2.6732726596066996E-2</v>
      </c>
    </row>
    <row r="759" spans="1:25" x14ac:dyDescent="0.25">
      <c r="A759" s="879"/>
      <c r="B759" s="1133">
        <v>509</v>
      </c>
      <c r="C759" s="883">
        <v>0.98368698015811029</v>
      </c>
      <c r="D759" s="883">
        <v>0.99866167780169834</v>
      </c>
      <c r="E759" s="883">
        <v>0.98249634026878752</v>
      </c>
      <c r="F759" s="883">
        <v>1.037108359919396</v>
      </c>
      <c r="G759" s="883">
        <v>0.96970976430666866</v>
      </c>
      <c r="H759" s="883">
        <v>1.0165288419754643</v>
      </c>
      <c r="I759" s="883">
        <v>1.0051540686132245</v>
      </c>
      <c r="K759">
        <v>1.6686903373958437</v>
      </c>
      <c r="L759">
        <v>0</v>
      </c>
      <c r="M759">
        <v>6.7302277001667771E-3</v>
      </c>
      <c r="N759">
        <v>0.1222631864754162</v>
      </c>
      <c r="O759">
        <v>3.1390736687568394E-2</v>
      </c>
      <c r="P759">
        <v>1.8735792590368904E-2</v>
      </c>
      <c r="Q759">
        <v>0</v>
      </c>
      <c r="R759">
        <v>6.7302277001667771E-3</v>
      </c>
      <c r="S759">
        <v>0.17335732150302233</v>
      </c>
      <c r="T759">
        <v>1.2303013997882548</v>
      </c>
      <c r="U759">
        <v>0</v>
      </c>
      <c r="V759">
        <v>1.5944318925674432E-2</v>
      </c>
      <c r="W759">
        <v>6.4914711729845392E-2</v>
      </c>
      <c r="X759">
        <v>-1.5931010037719129E-2</v>
      </c>
      <c r="Y759">
        <v>2.7713879733413316E-2</v>
      </c>
    </row>
    <row r="760" spans="1:25" x14ac:dyDescent="0.25">
      <c r="A760" s="879"/>
      <c r="B760" s="1133">
        <v>510</v>
      </c>
      <c r="C760" s="883">
        <v>0.99703954676972117</v>
      </c>
      <c r="D760" s="883">
        <v>1.0302117536445463</v>
      </c>
      <c r="E760" s="883">
        <v>0.99567218543984615</v>
      </c>
      <c r="F760" s="883">
        <v>1.0042642908836916</v>
      </c>
      <c r="G760" s="883">
        <v>0.99879747962888155</v>
      </c>
      <c r="H760" s="883">
        <v>0.98169015170896412</v>
      </c>
      <c r="I760" s="883">
        <v>1.0284812307254554</v>
      </c>
      <c r="K760">
        <v>1.6164766387029772</v>
      </c>
      <c r="L760">
        <v>0</v>
      </c>
      <c r="M760">
        <v>6.2519571967620171E-3</v>
      </c>
      <c r="N760">
        <v>0.11581535376536017</v>
      </c>
      <c r="O760">
        <v>3.0576717209052098E-2</v>
      </c>
      <c r="P760">
        <v>1.8392389889784609E-2</v>
      </c>
      <c r="Q760">
        <v>0</v>
      </c>
      <c r="R760">
        <v>6.2519571967620171E-3</v>
      </c>
      <c r="S760">
        <v>0.17263246329345033</v>
      </c>
      <c r="T760">
        <v>1.1910925696565542</v>
      </c>
      <c r="U760">
        <v>0</v>
      </c>
      <c r="V760">
        <v>1.5870098834008719E-2</v>
      </c>
      <c r="W760">
        <v>6.108843732618123E-2</v>
      </c>
      <c r="X760">
        <v>-1.4735838200782442E-2</v>
      </c>
      <c r="Y760">
        <v>2.5744446929368649E-2</v>
      </c>
    </row>
    <row r="761" spans="1:25" x14ac:dyDescent="0.25">
      <c r="A761" s="879"/>
      <c r="B761" s="1133">
        <v>511</v>
      </c>
      <c r="C761" s="883">
        <v>1.0005110935638069</v>
      </c>
      <c r="D761" s="883">
        <v>1.0036271736726461</v>
      </c>
      <c r="E761" s="883">
        <v>1.0422235745650728</v>
      </c>
      <c r="F761" s="883">
        <v>0.98752241171889499</v>
      </c>
      <c r="G761" s="883">
        <v>1.0047703577488531</v>
      </c>
      <c r="H761" s="883">
        <v>0.99883786138305564</v>
      </c>
      <c r="I761" s="883">
        <v>0.9770981404629987</v>
      </c>
      <c r="K761">
        <v>1.5952318485139685</v>
      </c>
      <c r="L761">
        <v>0</v>
      </c>
      <c r="M761">
        <v>6.1572895779871189E-3</v>
      </c>
      <c r="N761">
        <v>0.12219372375036051</v>
      </c>
      <c r="O761">
        <v>3.0748849035233308E-2</v>
      </c>
      <c r="P761">
        <v>1.8646131887834622E-2</v>
      </c>
      <c r="Q761">
        <v>0</v>
      </c>
      <c r="R761">
        <v>6.1572895779871189E-3</v>
      </c>
      <c r="S761">
        <v>0.16469645039116923</v>
      </c>
      <c r="T761">
        <v>1.1703855875752662</v>
      </c>
      <c r="U761">
        <v>0</v>
      </c>
      <c r="V761">
        <v>1.5851126761682779E-2</v>
      </c>
      <c r="W761">
        <v>6.2991010206991091E-2</v>
      </c>
      <c r="X761">
        <v>-1.5635653620031185E-2</v>
      </c>
      <c r="Y761">
        <v>2.5354622525461612E-2</v>
      </c>
    </row>
    <row r="762" spans="1:25" x14ac:dyDescent="0.25">
      <c r="A762" s="879"/>
      <c r="B762" s="1133">
        <v>512</v>
      </c>
      <c r="C762" s="883">
        <v>1.0237462516956817</v>
      </c>
      <c r="D762" s="883">
        <v>1.0057655855144039</v>
      </c>
      <c r="E762" s="883">
        <v>0.96341739344383115</v>
      </c>
      <c r="F762" s="883">
        <v>0.99317420421483127</v>
      </c>
      <c r="G762" s="883">
        <v>1.0113122949098814</v>
      </c>
      <c r="H762" s="883">
        <v>0.99740399572988647</v>
      </c>
      <c r="I762" s="883">
        <v>0.97037523349817101</v>
      </c>
      <c r="K762">
        <v>1.5878040594177665</v>
      </c>
      <c r="L762">
        <v>0</v>
      </c>
      <c r="M762">
        <v>6.4311642188070702E-3</v>
      </c>
      <c r="N762">
        <v>0.11356788316472703</v>
      </c>
      <c r="O762">
        <v>3.0091366022243191E-2</v>
      </c>
      <c r="P762">
        <v>1.7606285649935004E-2</v>
      </c>
      <c r="Q762">
        <v>0</v>
      </c>
      <c r="R762">
        <v>6.4311642188070702E-3</v>
      </c>
      <c r="S762">
        <v>0.15967192202751543</v>
      </c>
      <c r="T762">
        <v>1.1785375678866366</v>
      </c>
      <c r="U762">
        <v>0</v>
      </c>
      <c r="V762">
        <v>1.5727458732313345E-2</v>
      </c>
      <c r="W762">
        <v>6.08784730941275E-2</v>
      </c>
      <c r="X762">
        <v>-1.475928670822161E-2</v>
      </c>
      <c r="Y762">
        <v>2.6482389548489353E-2</v>
      </c>
    </row>
    <row r="763" spans="1:25" x14ac:dyDescent="0.25">
      <c r="A763" s="879"/>
      <c r="B763" s="1133">
        <v>513</v>
      </c>
      <c r="C763" s="883">
        <v>1.0242907388335931</v>
      </c>
      <c r="D763" s="883">
        <v>1.038021827843185</v>
      </c>
      <c r="E763" s="883">
        <v>0.99972084583488896</v>
      </c>
      <c r="F763" s="883">
        <v>0.99465714553060491</v>
      </c>
      <c r="G763" s="883">
        <v>0.99369004091183177</v>
      </c>
      <c r="H763" s="883">
        <v>1.0083131980558562</v>
      </c>
      <c r="I763" s="883">
        <v>1.0185234769387868</v>
      </c>
      <c r="K763">
        <v>1.5984448433693872</v>
      </c>
      <c r="L763">
        <v>0</v>
      </c>
      <c r="M763">
        <v>6.2076942292259426E-3</v>
      </c>
      <c r="N763">
        <v>0.11568733281569649</v>
      </c>
      <c r="O763">
        <v>2.9670158410481071E-2</v>
      </c>
      <c r="P763">
        <v>1.8229788993095668E-2</v>
      </c>
      <c r="Q763">
        <v>0</v>
      </c>
      <c r="R763">
        <v>6.2076942292259426E-3</v>
      </c>
      <c r="S763">
        <v>0.16785830857451003</v>
      </c>
      <c r="T763">
        <v>1.1796232753191451</v>
      </c>
      <c r="U763">
        <v>0</v>
      </c>
      <c r="V763">
        <v>1.5724628004608627E-2</v>
      </c>
      <c r="W763">
        <v>6.0898223987885511E-2</v>
      </c>
      <c r="X763">
        <v>-1.4809052643605545E-2</v>
      </c>
      <c r="Y763">
        <v>2.5562179907569618E-2</v>
      </c>
    </row>
    <row r="764" spans="1:25" x14ac:dyDescent="0.25">
      <c r="A764" s="879"/>
      <c r="B764" s="1133">
        <v>514</v>
      </c>
      <c r="C764" s="883">
        <v>0.99575140204280088</v>
      </c>
      <c r="D764" s="883">
        <v>0.98934219961880365</v>
      </c>
      <c r="E764" s="883">
        <v>1.013111236343142</v>
      </c>
      <c r="F764" s="883">
        <v>0.96470284010835539</v>
      </c>
      <c r="G764" s="883">
        <v>0.99245142743128933</v>
      </c>
      <c r="H764" s="883">
        <v>1.0312690702697207</v>
      </c>
      <c r="I764" s="883">
        <v>1.0253856519932858</v>
      </c>
      <c r="K764">
        <v>1.5860368302266359</v>
      </c>
      <c r="L764">
        <v>0</v>
      </c>
      <c r="M764">
        <v>6.5946668526587595E-3</v>
      </c>
      <c r="N764">
        <v>0.12536018592742179</v>
      </c>
      <c r="O764">
        <v>3.1100843294639361E-2</v>
      </c>
      <c r="P764">
        <v>1.8040191424706361E-2</v>
      </c>
      <c r="Q764">
        <v>0</v>
      </c>
      <c r="R764">
        <v>6.5946668526587595E-3</v>
      </c>
      <c r="S764">
        <v>0.17572570790913938</v>
      </c>
      <c r="T764">
        <v>1.1438589615113146</v>
      </c>
      <c r="U764">
        <v>0</v>
      </c>
      <c r="V764">
        <v>1.5877172220519598E-2</v>
      </c>
      <c r="W764">
        <v>6.5553803103841485E-2</v>
      </c>
      <c r="X764">
        <v>-1.6635699457254047E-2</v>
      </c>
      <c r="Y764">
        <v>2.7155664292306668E-2</v>
      </c>
    </row>
    <row r="765" spans="1:25" x14ac:dyDescent="0.25">
      <c r="A765" s="879"/>
      <c r="B765" s="1133">
        <v>515</v>
      </c>
      <c r="C765" s="883">
        <v>0.96206163833838476</v>
      </c>
      <c r="D765" s="883">
        <v>0.99554077914887062</v>
      </c>
      <c r="E765" s="883">
        <v>1.0074115304680675</v>
      </c>
      <c r="F765" s="883">
        <v>1.0018722146710017</v>
      </c>
      <c r="G765" s="883">
        <v>0.9998172902111957</v>
      </c>
      <c r="H765" s="883">
        <v>1.0080628842386194</v>
      </c>
      <c r="I765" s="883">
        <v>0.99155131441656164</v>
      </c>
      <c r="K765">
        <v>1.6322851843413086</v>
      </c>
      <c r="L765">
        <v>0</v>
      </c>
      <c r="M765">
        <v>6.6866854704029201E-3</v>
      </c>
      <c r="N765">
        <v>0.12604141230438307</v>
      </c>
      <c r="O765">
        <v>3.2114850332669032E-2</v>
      </c>
      <c r="P765">
        <v>1.8542067120168343E-2</v>
      </c>
      <c r="Q765">
        <v>0</v>
      </c>
      <c r="R765">
        <v>6.6866854704029201E-3</v>
      </c>
      <c r="S765">
        <v>0.17441044281549595</v>
      </c>
      <c r="T765">
        <v>1.1880369762787666</v>
      </c>
      <c r="U765">
        <v>0</v>
      </c>
      <c r="V765">
        <v>1.6068893439483718E-2</v>
      </c>
      <c r="W765">
        <v>6.6096083484087187E-2</v>
      </c>
      <c r="X765">
        <v>-1.6560122015218351E-2</v>
      </c>
      <c r="Y765">
        <v>2.7534580581473733E-2</v>
      </c>
    </row>
    <row r="766" spans="1:25" x14ac:dyDescent="0.25">
      <c r="A766" s="879"/>
      <c r="B766" s="1133">
        <v>516</v>
      </c>
      <c r="C766" s="883">
        <v>0.95816924238860524</v>
      </c>
      <c r="D766" s="883">
        <v>0.97084501670417633</v>
      </c>
      <c r="E766" s="883">
        <v>0.99217373277333731</v>
      </c>
      <c r="F766" s="883">
        <v>0.98922484703897262</v>
      </c>
      <c r="G766" s="883">
        <v>1.0153916735256263</v>
      </c>
      <c r="H766" s="883">
        <v>0.97473001796448844</v>
      </c>
      <c r="I766" s="883">
        <v>1.0080254367964903</v>
      </c>
      <c r="K766">
        <v>1.6151155092871794</v>
      </c>
      <c r="L766">
        <v>0</v>
      </c>
      <c r="M766">
        <v>6.6530350230948445E-3</v>
      </c>
      <c r="N766">
        <v>0.12260778207158864</v>
      </c>
      <c r="O766">
        <v>3.2584624428741132E-2</v>
      </c>
      <c r="P766">
        <v>1.8158095357562222E-2</v>
      </c>
      <c r="Q766">
        <v>0</v>
      </c>
      <c r="R766">
        <v>6.6530350230948445E-3</v>
      </c>
      <c r="S766">
        <v>0.1762337260503444</v>
      </c>
      <c r="T766">
        <v>1.1733196744173056</v>
      </c>
      <c r="U766">
        <v>0</v>
      </c>
      <c r="V766">
        <v>1.6091913047787617E-2</v>
      </c>
      <c r="W766">
        <v>6.4783939666192128E-2</v>
      </c>
      <c r="X766">
        <v>-1.6060259781357954E-2</v>
      </c>
      <c r="Y766">
        <v>2.7396014029015411E-2</v>
      </c>
    </row>
    <row r="767" spans="1:25" x14ac:dyDescent="0.25">
      <c r="A767" s="879"/>
      <c r="B767" s="1133">
        <v>517</v>
      </c>
      <c r="C767" s="883">
        <v>0.99378994994858216</v>
      </c>
      <c r="D767" s="883">
        <v>0.9838797376020102</v>
      </c>
      <c r="E767" s="883">
        <v>0.9831517385425057</v>
      </c>
      <c r="F767" s="883">
        <v>0.97237014547884981</v>
      </c>
      <c r="G767" s="883">
        <v>0.98266303688993717</v>
      </c>
      <c r="H767" s="883">
        <v>0.9940623974791829</v>
      </c>
      <c r="I767" s="883">
        <v>1.0339824743905479</v>
      </c>
      <c r="K767">
        <v>1.5874889119088167</v>
      </c>
      <c r="L767">
        <v>0</v>
      </c>
      <c r="M767">
        <v>6.5543256136432367E-3</v>
      </c>
      <c r="N767">
        <v>0.11918351388267127</v>
      </c>
      <c r="O767">
        <v>3.1256978692498397E-2</v>
      </c>
      <c r="P767">
        <v>1.7756468596022992E-2</v>
      </c>
      <c r="Q767">
        <v>0</v>
      </c>
      <c r="R767">
        <v>6.5543256136432367E-3</v>
      </c>
      <c r="S767">
        <v>0.17531907405310854</v>
      </c>
      <c r="T767">
        <v>1.1534918278843718</v>
      </c>
      <c r="U767">
        <v>0</v>
      </c>
      <c r="V767">
        <v>1.5887978052725512E-2</v>
      </c>
      <c r="W767">
        <v>6.3258844173013307E-2</v>
      </c>
      <c r="X767">
        <v>-1.5655319676108517E-2</v>
      </c>
      <c r="Y767">
        <v>2.698954625051362E-2</v>
      </c>
    </row>
    <row r="768" spans="1:25" x14ac:dyDescent="0.25">
      <c r="A768" s="879"/>
      <c r="B768" s="1133">
        <v>518</v>
      </c>
      <c r="C768" s="883">
        <v>1.0216316631354529</v>
      </c>
      <c r="D768" s="883">
        <v>1.0128642979314173</v>
      </c>
      <c r="E768" s="883">
        <v>1.0020943617899851</v>
      </c>
      <c r="F768" s="883">
        <v>1.003248762931042</v>
      </c>
      <c r="G768" s="883">
        <v>0.986249198326</v>
      </c>
      <c r="H768" s="883">
        <v>0.98600154396186179</v>
      </c>
      <c r="I768" s="883">
        <v>1.0176538758416267</v>
      </c>
      <c r="K768">
        <v>1.6070023520912888</v>
      </c>
      <c r="L768">
        <v>0</v>
      </c>
      <c r="M768">
        <v>6.1402589359465598E-3</v>
      </c>
      <c r="N768">
        <v>0.11483365634382234</v>
      </c>
      <c r="O768">
        <v>3.0038782837899753E-2</v>
      </c>
      <c r="P768">
        <v>1.8388670496084503E-2</v>
      </c>
      <c r="Q768">
        <v>0</v>
      </c>
      <c r="R768">
        <v>6.1402589359465598E-3</v>
      </c>
      <c r="S768">
        <v>0.16711498501005825</v>
      </c>
      <c r="T768">
        <v>1.189768340991616</v>
      </c>
      <c r="U768">
        <v>0</v>
      </c>
      <c r="V768">
        <v>1.5738480855239934E-2</v>
      </c>
      <c r="W768">
        <v>6.0377658839003395E-2</v>
      </c>
      <c r="X768">
        <v>-1.4542716655314843E-2</v>
      </c>
      <c r="Y768">
        <v>2.5284493372879864E-2</v>
      </c>
    </row>
    <row r="769" spans="1:25" x14ac:dyDescent="0.25">
      <c r="A769" s="879"/>
      <c r="B769" s="1133">
        <v>519</v>
      </c>
      <c r="C769" s="883">
        <v>1.0015101166024694</v>
      </c>
      <c r="D769" s="883">
        <v>0.9902631623210334</v>
      </c>
      <c r="E769" s="883">
        <v>1.0333129053726013</v>
      </c>
      <c r="F769" s="883">
        <v>1.007093365458323</v>
      </c>
      <c r="G769" s="883">
        <v>1.0106978596098393</v>
      </c>
      <c r="H769" s="883">
        <v>1.035984017627565</v>
      </c>
      <c r="I769" s="883">
        <v>1.0103494168737139</v>
      </c>
      <c r="K769">
        <v>1.6343251910253644</v>
      </c>
      <c r="L769">
        <v>0</v>
      </c>
      <c r="M769">
        <v>6.4685319578286268E-3</v>
      </c>
      <c r="N769">
        <v>0.12669163049815649</v>
      </c>
      <c r="O769">
        <v>3.089190804161623E-2</v>
      </c>
      <c r="P769">
        <v>1.8951242917400548E-2</v>
      </c>
      <c r="Q769">
        <v>0</v>
      </c>
      <c r="R769">
        <v>6.4685319578286268E-3</v>
      </c>
      <c r="S769">
        <v>0.17244203783885698</v>
      </c>
      <c r="T769">
        <v>1.1937458492802471</v>
      </c>
      <c r="U769">
        <v>0</v>
      </c>
      <c r="V769">
        <v>1.5845691451973402E-2</v>
      </c>
      <c r="W769">
        <v>6.5594902026798907E-2</v>
      </c>
      <c r="X769">
        <v>-1.6474334276255252E-2</v>
      </c>
      <c r="Y769">
        <v>2.6636263246570518E-2</v>
      </c>
    </row>
    <row r="770" spans="1:25" x14ac:dyDescent="0.25">
      <c r="A770" s="879"/>
      <c r="B770" s="1133">
        <v>520</v>
      </c>
      <c r="C770" s="883">
        <v>1.0151297895220597</v>
      </c>
      <c r="D770" s="883">
        <v>1.0032245998503178</v>
      </c>
      <c r="E770" s="883">
        <v>0.96268383184260498</v>
      </c>
      <c r="F770" s="883">
        <v>1.0044117061285225</v>
      </c>
      <c r="G770" s="883">
        <v>0.97404083069912051</v>
      </c>
      <c r="H770" s="883">
        <v>0.99509095100834244</v>
      </c>
      <c r="I770" s="883">
        <v>0.98736935191231989</v>
      </c>
      <c r="K770">
        <v>1.6071292893670381</v>
      </c>
      <c r="L770">
        <v>0</v>
      </c>
      <c r="M770">
        <v>6.4821501482795665E-3</v>
      </c>
      <c r="N770">
        <v>0.11434357058802809</v>
      </c>
      <c r="O770">
        <v>3.0378040409391127E-2</v>
      </c>
      <c r="P770">
        <v>1.7823172597702677E-2</v>
      </c>
      <c r="Q770">
        <v>0</v>
      </c>
      <c r="R770">
        <v>6.4821501482795665E-3</v>
      </c>
      <c r="S770">
        <v>0.16374093063875902</v>
      </c>
      <c r="T770">
        <v>1.1918862188830919</v>
      </c>
      <c r="U770">
        <v>0</v>
      </c>
      <c r="V770">
        <v>1.5772659012775334E-2</v>
      </c>
      <c r="W770">
        <v>6.1316957385042448E-2</v>
      </c>
      <c r="X770">
        <v>-1.4824600678652967E-2</v>
      </c>
      <c r="Y770">
        <v>2.6692340530899944E-2</v>
      </c>
    </row>
    <row r="771" spans="1:25" x14ac:dyDescent="0.25">
      <c r="A771" s="879"/>
      <c r="B771" s="1133">
        <v>521</v>
      </c>
      <c r="C771" s="883">
        <v>1.007424665034794</v>
      </c>
      <c r="D771" s="883">
        <v>0.99431624263578933</v>
      </c>
      <c r="E771" s="883">
        <v>0.96217345885957439</v>
      </c>
      <c r="F771" s="883">
        <v>1.0146748902647358</v>
      </c>
      <c r="G771" s="883">
        <v>0.98207064839195868</v>
      </c>
      <c r="H771" s="883">
        <v>1.0253059996017651</v>
      </c>
      <c r="I771" s="883">
        <v>1.0021369635541983</v>
      </c>
      <c r="K771">
        <v>1.6331542444300768</v>
      </c>
      <c r="L771">
        <v>0</v>
      </c>
      <c r="M771">
        <v>6.7598887048115576E-3</v>
      </c>
      <c r="N771">
        <v>0.11915243415504372</v>
      </c>
      <c r="O771">
        <v>3.0720163527598796E-2</v>
      </c>
      <c r="P771">
        <v>1.8047175897464445E-2</v>
      </c>
      <c r="Q771">
        <v>0</v>
      </c>
      <c r="R771">
        <v>6.7598887048115576E-3</v>
      </c>
      <c r="S771">
        <v>0.16929629642910105</v>
      </c>
      <c r="T771">
        <v>1.2040747464344888</v>
      </c>
      <c r="U771">
        <v>0</v>
      </c>
      <c r="V771">
        <v>1.5813733443083219E-2</v>
      </c>
      <c r="W771">
        <v>6.3912167960164301E-2</v>
      </c>
      <c r="X771">
        <v>-1.5698491887946267E-2</v>
      </c>
      <c r="Y771">
        <v>2.7836018471078503E-2</v>
      </c>
    </row>
    <row r="772" spans="1:25" x14ac:dyDescent="0.25">
      <c r="A772" s="879"/>
      <c r="B772" s="1133">
        <v>522</v>
      </c>
      <c r="C772" s="883">
        <v>0.98447062749847403</v>
      </c>
      <c r="D772" s="883">
        <v>1.0331163353833721</v>
      </c>
      <c r="E772" s="883">
        <v>1.0063497464244735</v>
      </c>
      <c r="F772" s="883">
        <v>1.0015719286377232</v>
      </c>
      <c r="G772" s="883">
        <v>1.0047777235139901</v>
      </c>
      <c r="H772" s="883">
        <v>1.0291290311097918</v>
      </c>
      <c r="I772" s="883">
        <v>0.95220144128039241</v>
      </c>
      <c r="K772">
        <v>1.616717587188474</v>
      </c>
      <c r="L772">
        <v>0</v>
      </c>
      <c r="M772">
        <v>6.5678805215365881E-3</v>
      </c>
      <c r="N772">
        <v>0.12360749532316548</v>
      </c>
      <c r="O772">
        <v>3.0923096814291354E-2</v>
      </c>
      <c r="P772">
        <v>1.8387268573071297E-2</v>
      </c>
      <c r="Q772">
        <v>0</v>
      </c>
      <c r="R772">
        <v>6.5678805215365881E-3</v>
      </c>
      <c r="S772">
        <v>0.16447749438490655</v>
      </c>
      <c r="T772">
        <v>1.1877006244185824</v>
      </c>
      <c r="U772">
        <v>0</v>
      </c>
      <c r="V772">
        <v>1.5939907418207805E-2</v>
      </c>
      <c r="W772">
        <v>6.4853831678907931E-2</v>
      </c>
      <c r="X772">
        <v>-1.6217494371195063E-2</v>
      </c>
      <c r="Y772">
        <v>2.7045362948534764E-2</v>
      </c>
    </row>
    <row r="773" spans="1:25" x14ac:dyDescent="0.25">
      <c r="A773" s="879"/>
      <c r="B773" s="1133">
        <v>523</v>
      </c>
      <c r="C773" s="883">
        <v>1.0076732472237522</v>
      </c>
      <c r="D773" s="883">
        <v>1.0254423098807912</v>
      </c>
      <c r="E773" s="883">
        <v>0.99865282902595276</v>
      </c>
      <c r="F773" s="883">
        <v>1.0161734278777141</v>
      </c>
      <c r="G773" s="883">
        <v>1.024641832696817</v>
      </c>
      <c r="H773" s="883">
        <v>0.97438633983710932</v>
      </c>
      <c r="I773" s="883">
        <v>1.0377133353170185</v>
      </c>
      <c r="K773">
        <v>1.6271098071030019</v>
      </c>
      <c r="L773">
        <v>0</v>
      </c>
      <c r="M773">
        <v>6.1366652281588238E-3</v>
      </c>
      <c r="N773">
        <v>0.11418280852375459</v>
      </c>
      <c r="O773">
        <v>3.0307788748239053E-2</v>
      </c>
      <c r="P773">
        <v>1.861224472706597E-2</v>
      </c>
      <c r="Q773">
        <v>0</v>
      </c>
      <c r="R773">
        <v>6.1366652281588238E-3</v>
      </c>
      <c r="S773">
        <v>0.17195993268273616</v>
      </c>
      <c r="T773">
        <v>1.2051608930143476</v>
      </c>
      <c r="U773">
        <v>0</v>
      </c>
      <c r="V773">
        <v>1.5812398496952845E-2</v>
      </c>
      <c r="W773">
        <v>6.0138137242793807E-2</v>
      </c>
      <c r="X773">
        <v>-1.4334091456755522E-2</v>
      </c>
      <c r="Y773">
        <v>2.526969512386611E-2</v>
      </c>
    </row>
    <row r="774" spans="1:25" x14ac:dyDescent="0.25">
      <c r="A774" s="879"/>
      <c r="B774" s="1133">
        <v>524</v>
      </c>
      <c r="C774" s="883">
        <v>1.0207124721910881</v>
      </c>
      <c r="D774" s="883">
        <v>1.0023024446895914</v>
      </c>
      <c r="E774" s="883">
        <v>0.98308242759729914</v>
      </c>
      <c r="F774" s="883">
        <v>1.0054200758600522</v>
      </c>
      <c r="G774" s="883">
        <v>0.99731251934129994</v>
      </c>
      <c r="H774" s="883">
        <v>1.0358325085901243</v>
      </c>
      <c r="I774" s="883">
        <v>0.99646072437726052</v>
      </c>
      <c r="K774">
        <v>1.6184670527632816</v>
      </c>
      <c r="L774">
        <v>0</v>
      </c>
      <c r="M774">
        <v>6.5951739361778308E-3</v>
      </c>
      <c r="N774">
        <v>0.11991396847797857</v>
      </c>
      <c r="O774">
        <v>3.0207601383549703E-2</v>
      </c>
      <c r="P774">
        <v>1.8156882254106929E-2</v>
      </c>
      <c r="Q774">
        <v>0</v>
      </c>
      <c r="R774">
        <v>6.5951739361778308E-3</v>
      </c>
      <c r="S774">
        <v>0.16667836570621664</v>
      </c>
      <c r="T774">
        <v>1.1926992111431176</v>
      </c>
      <c r="U774">
        <v>0</v>
      </c>
      <c r="V774">
        <v>1.574328630467977E-2</v>
      </c>
      <c r="W774">
        <v>6.3648752455355548E-2</v>
      </c>
      <c r="X774">
        <v>-1.5738767333703239E-2</v>
      </c>
      <c r="Y774">
        <v>2.71577523719807E-2</v>
      </c>
    </row>
    <row r="775" spans="1:25" x14ac:dyDescent="0.25">
      <c r="A775" s="879"/>
      <c r="B775" s="1133">
        <v>525</v>
      </c>
      <c r="C775" s="883">
        <v>0.98836597976063356</v>
      </c>
      <c r="D775" s="883">
        <v>0.98319277769910651</v>
      </c>
      <c r="E775" s="883">
        <v>1.0039202273491057</v>
      </c>
      <c r="F775" s="883">
        <v>0.98575083976243694</v>
      </c>
      <c r="G775" s="883">
        <v>1.037603707445347</v>
      </c>
      <c r="H775" s="883">
        <v>1.0069875783659401</v>
      </c>
      <c r="I775" s="883">
        <v>0.97129751966627476</v>
      </c>
      <c r="K775">
        <v>1.5992415037349748</v>
      </c>
      <c r="L775">
        <v>0</v>
      </c>
      <c r="M775">
        <v>6.5580850144249664E-3</v>
      </c>
      <c r="N775">
        <v>0.12297987533039516</v>
      </c>
      <c r="O775">
        <v>3.1419684756413095E-2</v>
      </c>
      <c r="P775">
        <v>1.8127643716253548E-2</v>
      </c>
      <c r="Q775">
        <v>0</v>
      </c>
      <c r="R775">
        <v>6.5580850144249664E-3</v>
      </c>
      <c r="S775">
        <v>0.16636518539146611</v>
      </c>
      <c r="T775">
        <v>1.1689838543857063</v>
      </c>
      <c r="U775">
        <v>0</v>
      </c>
      <c r="V775">
        <v>1.5918082519978883E-2</v>
      </c>
      <c r="W775">
        <v>6.4602272538724345E-2</v>
      </c>
      <c r="X775">
        <v>-1.616012169774754E-2</v>
      </c>
      <c r="Y775">
        <v>2.7005026793784383E-2</v>
      </c>
    </row>
    <row r="776" spans="1:25" x14ac:dyDescent="0.25">
      <c r="A776" s="879"/>
      <c r="B776" s="1133">
        <v>526</v>
      </c>
      <c r="C776" s="883">
        <v>0.97248486267260148</v>
      </c>
      <c r="D776" s="883">
        <v>0.9670383458968479</v>
      </c>
      <c r="E776" s="883">
        <v>1.0226145809176743</v>
      </c>
      <c r="F776" s="883">
        <v>1.0014198707968285</v>
      </c>
      <c r="G776" s="883">
        <v>1.019685721349247</v>
      </c>
      <c r="H776" s="883">
        <v>1.026226641902342</v>
      </c>
      <c r="I776" s="883">
        <v>0.98309944514105962</v>
      </c>
      <c r="K776">
        <v>1.6344528583508684</v>
      </c>
      <c r="L776">
        <v>0</v>
      </c>
      <c r="M776">
        <v>6.7319751900313772E-3</v>
      </c>
      <c r="N776">
        <v>0.12978235141666788</v>
      </c>
      <c r="O776">
        <v>3.2127764307267451E-2</v>
      </c>
      <c r="P776">
        <v>1.8715884205644864E-2</v>
      </c>
      <c r="Q776">
        <v>0</v>
      </c>
      <c r="R776">
        <v>6.7319751900313772E-3</v>
      </c>
      <c r="S776">
        <v>0.17248290372048572</v>
      </c>
      <c r="T776">
        <v>1.1872186321063953</v>
      </c>
      <c r="U776">
        <v>0</v>
      </c>
      <c r="V776">
        <v>1.6008157972052975E-2</v>
      </c>
      <c r="W776">
        <v>6.7549022920089158E-2</v>
      </c>
      <c r="X776">
        <v>-1.7152933883369761E-2</v>
      </c>
      <c r="Y776">
        <v>2.772107558563414E-2</v>
      </c>
    </row>
    <row r="777" spans="1:25" x14ac:dyDescent="0.25">
      <c r="A777" s="879"/>
      <c r="B777" s="1133">
        <v>527</v>
      </c>
      <c r="C777" s="883">
        <v>1.0172235390374014</v>
      </c>
      <c r="D777" s="883">
        <v>1.0221746610971496</v>
      </c>
      <c r="E777" s="883">
        <v>0.97418406425833204</v>
      </c>
      <c r="F777" s="883">
        <v>1.0423619815893468</v>
      </c>
      <c r="G777" s="883">
        <v>0.99316323894911718</v>
      </c>
      <c r="H777" s="883">
        <v>1.0054121285914182</v>
      </c>
      <c r="I777" s="883">
        <v>0.96596893180525856</v>
      </c>
      <c r="K777">
        <v>1.6495800528264775</v>
      </c>
      <c r="L777">
        <v>0</v>
      </c>
      <c r="M777">
        <v>6.4170496550906321E-3</v>
      </c>
      <c r="N777">
        <v>0.11514488381071525</v>
      </c>
      <c r="O777">
        <v>3.0080943795238433E-2</v>
      </c>
      <c r="P777">
        <v>1.8525277573100331E-2</v>
      </c>
      <c r="Q777">
        <v>0</v>
      </c>
      <c r="R777">
        <v>6.4170496550906321E-3</v>
      </c>
      <c r="S777">
        <v>0.16026238285937569</v>
      </c>
      <c r="T777">
        <v>1.2366955175394576</v>
      </c>
      <c r="U777">
        <v>0</v>
      </c>
      <c r="V777">
        <v>1.5761605182527914E-2</v>
      </c>
      <c r="W777">
        <v>6.139045421914404E-2</v>
      </c>
      <c r="X777">
        <v>-1.470528044048551E-2</v>
      </c>
      <c r="Y777">
        <v>2.6424268287403734E-2</v>
      </c>
    </row>
    <row r="778" spans="1:25" x14ac:dyDescent="0.25">
      <c r="A778" s="879"/>
      <c r="B778" s="1133">
        <v>528</v>
      </c>
      <c r="C778" s="883">
        <v>1.020020884775805</v>
      </c>
      <c r="D778" s="883">
        <v>0.97305051809914389</v>
      </c>
      <c r="E778" s="883">
        <v>1.010696113855033</v>
      </c>
      <c r="F778" s="883">
        <v>0.98244551884530362</v>
      </c>
      <c r="G778" s="883">
        <v>0.99950374438402856</v>
      </c>
      <c r="H778" s="883">
        <v>0.9562936610649565</v>
      </c>
      <c r="I778" s="883">
        <v>1.0265309441114803</v>
      </c>
      <c r="K778">
        <v>1.5812751072405562</v>
      </c>
      <c r="L778">
        <v>0</v>
      </c>
      <c r="M778">
        <v>6.0268644385196276E-3</v>
      </c>
      <c r="N778">
        <v>0.11415782104926404</v>
      </c>
      <c r="O778">
        <v>3.0565297047606417E-2</v>
      </c>
      <c r="P778">
        <v>1.8178805731341355E-2</v>
      </c>
      <c r="Q778">
        <v>0</v>
      </c>
      <c r="R778">
        <v>6.0268644385196276E-3</v>
      </c>
      <c r="S778">
        <v>0.1674944652017766</v>
      </c>
      <c r="T778">
        <v>1.1649406278513934</v>
      </c>
      <c r="U778">
        <v>0</v>
      </c>
      <c r="V778">
        <v>1.5746907572433622E-2</v>
      </c>
      <c r="W778">
        <v>5.9767118088096267E-2</v>
      </c>
      <c r="X778">
        <v>-1.4393490317301338E-2</v>
      </c>
      <c r="Y778">
        <v>2.4817555015943901E-2</v>
      </c>
    </row>
    <row r="779" spans="1:25" x14ac:dyDescent="0.25">
      <c r="A779" s="879"/>
      <c r="B779" s="1133">
        <v>529</v>
      </c>
      <c r="C779" s="883">
        <v>1.0118587659776959</v>
      </c>
      <c r="D779" s="883">
        <v>0.97798511430463586</v>
      </c>
      <c r="E779" s="883">
        <v>0.97963096840872399</v>
      </c>
      <c r="F779" s="883">
        <v>0.98927332052956929</v>
      </c>
      <c r="G779" s="883">
        <v>0.9632537605307071</v>
      </c>
      <c r="H779" s="883">
        <v>1.0349668535151901</v>
      </c>
      <c r="I779" s="883">
        <v>1.0131793033709673</v>
      </c>
      <c r="K779">
        <v>1.6075918425029971</v>
      </c>
      <c r="L779">
        <v>0</v>
      </c>
      <c r="M779">
        <v>6.7408375757640705E-3</v>
      </c>
      <c r="N779">
        <v>0.12193647825929207</v>
      </c>
      <c r="O779">
        <v>3.0775497364476212E-2</v>
      </c>
      <c r="P779">
        <v>1.7917331739798155E-2</v>
      </c>
      <c r="Q779">
        <v>0</v>
      </c>
      <c r="R779">
        <v>6.7408375757640705E-3</v>
      </c>
      <c r="S779">
        <v>0.17118069378103939</v>
      </c>
      <c r="T779">
        <v>1.1736085432490628</v>
      </c>
      <c r="U779">
        <v>0</v>
      </c>
      <c r="V779">
        <v>1.5790019753060002E-2</v>
      </c>
      <c r="W779">
        <v>6.4834160275450012E-2</v>
      </c>
      <c r="X779">
        <v>-1.6208451231816343E-2</v>
      </c>
      <c r="Y779">
        <v>2.7757569312635521E-2</v>
      </c>
    </row>
    <row r="780" spans="1:25" x14ac:dyDescent="0.25">
      <c r="A780" s="879"/>
      <c r="B780" s="1133">
        <v>530</v>
      </c>
      <c r="C780" s="883">
        <v>1.0430306443797572</v>
      </c>
      <c r="D780" s="883">
        <v>0.9938799834581572</v>
      </c>
      <c r="E780" s="883">
        <v>0.98336319949301143</v>
      </c>
      <c r="F780" s="883">
        <v>1.0184380926648204</v>
      </c>
      <c r="G780" s="883">
        <v>0.97758616623033301</v>
      </c>
      <c r="H780" s="883">
        <v>1.007009752231693</v>
      </c>
      <c r="I780" s="883">
        <v>0.99263087926204296</v>
      </c>
      <c r="K780">
        <v>1.6192937315390119</v>
      </c>
      <c r="L780">
        <v>0</v>
      </c>
      <c r="M780">
        <v>6.2965878502131093E-3</v>
      </c>
      <c r="N780">
        <v>0.11453274310362914</v>
      </c>
      <c r="O780">
        <v>2.9660971197677091E-2</v>
      </c>
      <c r="P780">
        <v>1.8287737342771809E-2</v>
      </c>
      <c r="Q780">
        <v>0</v>
      </c>
      <c r="R780">
        <v>6.2965878502131093E-3</v>
      </c>
      <c r="S780">
        <v>0.16098008724002957</v>
      </c>
      <c r="T780">
        <v>1.2081367525645836</v>
      </c>
      <c r="U780">
        <v>0</v>
      </c>
      <c r="V780">
        <v>1.5629002635545657E-2</v>
      </c>
      <c r="W780">
        <v>6.0783934346874686E-2</v>
      </c>
      <c r="X780">
        <v>-1.4645724908420045E-2</v>
      </c>
      <c r="Y780">
        <v>2.5928228016320064E-2</v>
      </c>
    </row>
    <row r="781" spans="1:25" x14ac:dyDescent="0.25">
      <c r="A781" s="879"/>
      <c r="B781" s="1133">
        <v>531</v>
      </c>
      <c r="C781" s="883">
        <v>0.97162752859093648</v>
      </c>
      <c r="D781" s="883">
        <v>1.0376096246744382</v>
      </c>
      <c r="E781" s="883">
        <v>0.97198989929105617</v>
      </c>
      <c r="F781" s="883">
        <v>1.0208377373887212</v>
      </c>
      <c r="G781" s="883">
        <v>1.0180627005022644</v>
      </c>
      <c r="H781" s="883">
        <v>0.99622855476779826</v>
      </c>
      <c r="I781" s="883">
        <v>0.97922662779074121</v>
      </c>
      <c r="K781">
        <v>1.639840473561144</v>
      </c>
      <c r="L781">
        <v>0</v>
      </c>
      <c r="M781">
        <v>6.625191841967271E-3</v>
      </c>
      <c r="N781">
        <v>0.1184931269611747</v>
      </c>
      <c r="O781">
        <v>3.1306053807411298E-2</v>
      </c>
      <c r="P781">
        <v>1.8283310148965105E-2</v>
      </c>
      <c r="Q781">
        <v>0</v>
      </c>
      <c r="R781">
        <v>6.625191841967271E-3</v>
      </c>
      <c r="S781">
        <v>0.16940846881016541</v>
      </c>
      <c r="T781">
        <v>1.2112002763386547</v>
      </c>
      <c r="U781">
        <v>0</v>
      </c>
      <c r="V781">
        <v>1.6013104420289918E-2</v>
      </c>
      <c r="W781">
        <v>6.3245240004545622E-2</v>
      </c>
      <c r="X781">
        <v>-1.5390467695096569E-2</v>
      </c>
      <c r="Y781">
        <v>2.7281360765033569E-2</v>
      </c>
    </row>
    <row r="782" spans="1:25" x14ac:dyDescent="0.25">
      <c r="A782" s="879"/>
      <c r="B782" s="1133">
        <v>532</v>
      </c>
      <c r="C782" s="883">
        <v>1.0178770249186413</v>
      </c>
      <c r="D782" s="883">
        <v>1.0049472488140807</v>
      </c>
      <c r="E782" s="883">
        <v>1.0344390501527856</v>
      </c>
      <c r="F782" s="883">
        <v>0.99424685147390501</v>
      </c>
      <c r="G782" s="883">
        <v>0.99210089423382586</v>
      </c>
      <c r="H782" s="883">
        <v>0.97119392106657887</v>
      </c>
      <c r="I782" s="883">
        <v>0.96249229156608829</v>
      </c>
      <c r="K782">
        <v>1.5870818885752001</v>
      </c>
      <c r="L782">
        <v>0</v>
      </c>
      <c r="M782">
        <v>5.92158664114684E-3</v>
      </c>
      <c r="N782">
        <v>0.11617241896682159</v>
      </c>
      <c r="O782">
        <v>3.0215698544482895E-2</v>
      </c>
      <c r="P782">
        <v>1.8557103133042797E-2</v>
      </c>
      <c r="Q782">
        <v>0</v>
      </c>
      <c r="R782">
        <v>5.92158664114684E-3</v>
      </c>
      <c r="S782">
        <v>0.15793370200433871</v>
      </c>
      <c r="T782">
        <v>1.178497748867926</v>
      </c>
      <c r="U782">
        <v>0</v>
      </c>
      <c r="V782">
        <v>1.575816445298224E-2</v>
      </c>
      <c r="W782">
        <v>6.0115385828129399E-2</v>
      </c>
      <c r="X782">
        <v>-1.455237300763719E-2</v>
      </c>
      <c r="Y782">
        <v>2.4384039785112131E-2</v>
      </c>
    </row>
    <row r="783" spans="1:25" x14ac:dyDescent="0.25">
      <c r="A783" s="879"/>
      <c r="B783" s="1133">
        <v>533</v>
      </c>
      <c r="C783" s="883">
        <v>0.99568966396020731</v>
      </c>
      <c r="D783" s="883">
        <v>1.0279777901324578</v>
      </c>
      <c r="E783" s="883">
        <v>1.0224565510237595</v>
      </c>
      <c r="F783" s="883">
        <v>1.0215571829774637</v>
      </c>
      <c r="G783" s="883">
        <v>0.96752468132780445</v>
      </c>
      <c r="H783" s="883">
        <v>0.97516087928605166</v>
      </c>
      <c r="I783" s="883">
        <v>1.0226640551317872</v>
      </c>
      <c r="K783">
        <v>1.6367781396214647</v>
      </c>
      <c r="L783">
        <v>0</v>
      </c>
      <c r="M783">
        <v>6.0807126493000463E-3</v>
      </c>
      <c r="N783">
        <v>0.11719959359704309</v>
      </c>
      <c r="O783">
        <v>3.0621422376496284E-2</v>
      </c>
      <c r="P783">
        <v>1.9023963480515188E-2</v>
      </c>
      <c r="Q783">
        <v>0</v>
      </c>
      <c r="R783">
        <v>6.0807126493000463E-3</v>
      </c>
      <c r="S783">
        <v>0.17155444307581674</v>
      </c>
      <c r="T783">
        <v>1.2110951113461985</v>
      </c>
      <c r="U783">
        <v>0</v>
      </c>
      <c r="V783">
        <v>1.5877511692749365E-2</v>
      </c>
      <c r="W783">
        <v>6.1004702153583924E-2</v>
      </c>
      <c r="X783">
        <v>-1.4637900464251227E-2</v>
      </c>
      <c r="Y783">
        <v>2.503929236331344E-2</v>
      </c>
    </row>
    <row r="784" spans="1:25" x14ac:dyDescent="0.25">
      <c r="A784" s="879"/>
      <c r="B784" s="1133">
        <v>534</v>
      </c>
      <c r="C784" s="883">
        <v>0.96957962910779394</v>
      </c>
      <c r="D784" s="883">
        <v>0.9998752181642383</v>
      </c>
      <c r="E784" s="883">
        <v>0.99346149866845412</v>
      </c>
      <c r="F784" s="883">
        <v>0.98693435688987885</v>
      </c>
      <c r="G784" s="883">
        <v>1.0237887715323739</v>
      </c>
      <c r="H784" s="883">
        <v>0.98442245211561918</v>
      </c>
      <c r="I784" s="883">
        <v>0.98966581928494568</v>
      </c>
      <c r="K784">
        <v>1.6036246872735156</v>
      </c>
      <c r="L784">
        <v>0</v>
      </c>
      <c r="M784">
        <v>6.5459879054458438E-3</v>
      </c>
      <c r="N784">
        <v>0.12086551692267365</v>
      </c>
      <c r="O784">
        <v>3.1822774647889504E-2</v>
      </c>
      <c r="P784">
        <v>1.8072387215841583E-2</v>
      </c>
      <c r="Q784">
        <v>0</v>
      </c>
      <c r="R784">
        <v>6.5459879054458438E-3</v>
      </c>
      <c r="S784">
        <v>0.17126846056164155</v>
      </c>
      <c r="T784">
        <v>1.1705792631488237</v>
      </c>
      <c r="U784">
        <v>0</v>
      </c>
      <c r="V784">
        <v>1.6024955321670298E-2</v>
      </c>
      <c r="W784">
        <v>6.3822404759464824E-2</v>
      </c>
      <c r="X784">
        <v>-1.5786288356704911E-2</v>
      </c>
      <c r="Y784">
        <v>2.6955213052213479E-2</v>
      </c>
    </row>
    <row r="785" spans="1:25" x14ac:dyDescent="0.25">
      <c r="A785" s="879"/>
      <c r="B785" s="1133">
        <v>535</v>
      </c>
      <c r="C785" s="883">
        <v>1.0230855921334907</v>
      </c>
      <c r="D785" s="883">
        <v>1.0210128301545582</v>
      </c>
      <c r="E785" s="883">
        <v>1.0148325137572476</v>
      </c>
      <c r="F785" s="883">
        <v>1.0192992267689442</v>
      </c>
      <c r="G785" s="883">
        <v>1.0152094934287874</v>
      </c>
      <c r="H785" s="883">
        <v>1.0033477493132512</v>
      </c>
      <c r="I785" s="883">
        <v>1.0045459253272493</v>
      </c>
      <c r="K785">
        <v>1.6275303210755681</v>
      </c>
      <c r="L785">
        <v>0</v>
      </c>
      <c r="M785">
        <v>6.1483012713237258E-3</v>
      </c>
      <c r="N785">
        <v>0.1171731837338213</v>
      </c>
      <c r="O785">
        <v>2.9889291868591711E-2</v>
      </c>
      <c r="P785">
        <v>1.8799835626522057E-2</v>
      </c>
      <c r="Q785">
        <v>0</v>
      </c>
      <c r="R785">
        <v>6.1483012713237258E-3</v>
      </c>
      <c r="S785">
        <v>0.16564516888693681</v>
      </c>
      <c r="T785">
        <v>1.2085620087464146</v>
      </c>
      <c r="U785">
        <v>0</v>
      </c>
      <c r="V785">
        <v>1.5730897473362114E-2</v>
      </c>
      <c r="W785">
        <v>6.1220567876291571E-2</v>
      </c>
      <c r="X785">
        <v>-1.4808243414852856E-2</v>
      </c>
      <c r="Y785">
        <v>2.5317610278480701E-2</v>
      </c>
    </row>
    <row r="786" spans="1:25" x14ac:dyDescent="0.25">
      <c r="A786" s="879"/>
      <c r="B786" s="1133">
        <v>536</v>
      </c>
      <c r="C786" s="883">
        <v>0.98302033144571288</v>
      </c>
      <c r="D786" s="883">
        <v>1.0347038346261193</v>
      </c>
      <c r="E786" s="883">
        <v>0.97874241593910183</v>
      </c>
      <c r="F786" s="883">
        <v>1.0239868839956694</v>
      </c>
      <c r="G786" s="883">
        <v>1.0004369340222941</v>
      </c>
      <c r="H786" s="883">
        <v>0.96623579396401404</v>
      </c>
      <c r="I786" s="883">
        <v>0.95884692691112205</v>
      </c>
      <c r="K786">
        <v>1.6288787777770588</v>
      </c>
      <c r="L786">
        <v>0</v>
      </c>
      <c r="M786">
        <v>6.3218936100794178E-3</v>
      </c>
      <c r="N786">
        <v>0.11420743852018823</v>
      </c>
      <c r="O786">
        <v>3.0972681889647174E-2</v>
      </c>
      <c r="P786">
        <v>1.8332390425198904E-2</v>
      </c>
      <c r="Q786">
        <v>0</v>
      </c>
      <c r="R786">
        <v>6.3218936100794178E-3</v>
      </c>
      <c r="S786">
        <v>0.1623226489275586</v>
      </c>
      <c r="T786">
        <v>1.2148074154626458</v>
      </c>
      <c r="U786">
        <v>0</v>
      </c>
      <c r="V786">
        <v>1.5948077331409471E-2</v>
      </c>
      <c r="W786">
        <v>6.0751627745581828E-2</v>
      </c>
      <c r="X786">
        <v>-1.4495935156363072E-2</v>
      </c>
      <c r="Y786">
        <v>2.6032432631192173E-2</v>
      </c>
    </row>
    <row r="787" spans="1:25" x14ac:dyDescent="0.25">
      <c r="A787" s="879"/>
      <c r="B787" s="1133">
        <v>537</v>
      </c>
      <c r="C787" s="883">
        <v>1.0174424328550402</v>
      </c>
      <c r="D787" s="883">
        <v>0.97970830963736533</v>
      </c>
      <c r="E787" s="883">
        <v>0.98824801706950505</v>
      </c>
      <c r="F787" s="883">
        <v>1.0232653515465051</v>
      </c>
      <c r="G787" s="883">
        <v>1.0228329997098586</v>
      </c>
      <c r="H787" s="883">
        <v>0.99753225543159507</v>
      </c>
      <c r="I787" s="883">
        <v>1.0050105811802506</v>
      </c>
      <c r="K787">
        <v>1.6362050325806621</v>
      </c>
      <c r="L787">
        <v>0</v>
      </c>
      <c r="M787">
        <v>6.407956511739232E-3</v>
      </c>
      <c r="N787">
        <v>0.11740596080150693</v>
      </c>
      <c r="O787">
        <v>3.057819134442764E-2</v>
      </c>
      <c r="P787">
        <v>1.8508705191259901E-2</v>
      </c>
      <c r="Q787">
        <v>0</v>
      </c>
      <c r="R787">
        <v>6.407956511739232E-3</v>
      </c>
      <c r="S787">
        <v>0.16669460373284239</v>
      </c>
      <c r="T787">
        <v>1.2137699495995045</v>
      </c>
      <c r="U787">
        <v>0</v>
      </c>
      <c r="V787">
        <v>1.5760452171956475E-2</v>
      </c>
      <c r="W787">
        <v>6.2156933261016817E-2</v>
      </c>
      <c r="X787">
        <v>-1.5056587863455028E-2</v>
      </c>
      <c r="Y787">
        <v>2.6386824341601854E-2</v>
      </c>
    </row>
    <row r="788" spans="1:25" x14ac:dyDescent="0.25">
      <c r="A788" s="879"/>
      <c r="B788" s="1133">
        <v>538</v>
      </c>
      <c r="C788" s="883">
        <v>0.98972779604655836</v>
      </c>
      <c r="D788" s="883">
        <v>0.9904357763292484</v>
      </c>
      <c r="E788" s="883">
        <v>0.98584005061903468</v>
      </c>
      <c r="F788" s="883">
        <v>1.0212008527658656</v>
      </c>
      <c r="G788" s="883">
        <v>1.0109996089524789</v>
      </c>
      <c r="H788" s="883">
        <v>0.99687314296666596</v>
      </c>
      <c r="I788" s="883">
        <v>0.97961533972259496</v>
      </c>
      <c r="K788">
        <v>1.6387857033993365</v>
      </c>
      <c r="L788">
        <v>0</v>
      </c>
      <c r="M788">
        <v>6.5648900174072912E-3</v>
      </c>
      <c r="N788">
        <v>0.11985254871169811</v>
      </c>
      <c r="O788">
        <v>3.1299804149851618E-2</v>
      </c>
      <c r="P788">
        <v>1.8447227103231278E-2</v>
      </c>
      <c r="Q788">
        <v>0</v>
      </c>
      <c r="R788">
        <v>6.5648900174072912E-3</v>
      </c>
      <c r="S788">
        <v>0.16687991264172375</v>
      </c>
      <c r="T788">
        <v>1.2113669372053035</v>
      </c>
      <c r="U788">
        <v>0</v>
      </c>
      <c r="V788">
        <v>1.5910493057662685E-2</v>
      </c>
      <c r="W788">
        <v>6.3528532872756754E-2</v>
      </c>
      <c r="X788">
        <v>-1.5532800927712379E-2</v>
      </c>
      <c r="Y788">
        <v>2.7033048584820214E-2</v>
      </c>
    </row>
    <row r="789" spans="1:25" x14ac:dyDescent="0.25">
      <c r="A789" s="879"/>
      <c r="B789" s="1133">
        <v>539</v>
      </c>
      <c r="C789" s="883">
        <v>1.0238782567329177</v>
      </c>
      <c r="D789" s="883">
        <v>0.96795329970975308</v>
      </c>
      <c r="E789" s="883">
        <v>0.95676812224708319</v>
      </c>
      <c r="F789" s="883">
        <v>0.97327070745321964</v>
      </c>
      <c r="G789" s="883">
        <v>0.97491751218059031</v>
      </c>
      <c r="H789" s="883">
        <v>1.0116966516478292</v>
      </c>
      <c r="I789" s="883">
        <v>0.99693256303968791</v>
      </c>
      <c r="K789">
        <v>1.5752519497962691</v>
      </c>
      <c r="L789">
        <v>0</v>
      </c>
      <c r="M789">
        <v>6.6734931611503656E-3</v>
      </c>
      <c r="N789">
        <v>0.11668857361745472</v>
      </c>
      <c r="O789">
        <v>3.0557053213889514E-2</v>
      </c>
      <c r="P789">
        <v>1.7282561944194048E-2</v>
      </c>
      <c r="Q789">
        <v>0</v>
      </c>
      <c r="R789">
        <v>6.6734931611503656E-3</v>
      </c>
      <c r="S789">
        <v>0.16521820070397519</v>
      </c>
      <c r="T789">
        <v>1.1550407331855337</v>
      </c>
      <c r="U789">
        <v>0</v>
      </c>
      <c r="V789">
        <v>1.5726772176419213E-2</v>
      </c>
      <c r="W789">
        <v>6.2761641126562046E-2</v>
      </c>
      <c r="X789">
        <v>-1.5503843171873677E-2</v>
      </c>
      <c r="Y789">
        <v>2.7480257000115228E-2</v>
      </c>
    </row>
    <row r="790" spans="1:25" x14ac:dyDescent="0.25">
      <c r="A790" s="879"/>
      <c r="B790" s="1133">
        <v>540</v>
      </c>
      <c r="C790" s="883">
        <v>1.0197775995943259</v>
      </c>
      <c r="D790" s="883">
        <v>0.98457016917506579</v>
      </c>
      <c r="E790" s="883">
        <v>1.011022725090589</v>
      </c>
      <c r="F790" s="883">
        <v>1.0029002366935009</v>
      </c>
      <c r="G790" s="883">
        <v>0.97892766062509984</v>
      </c>
      <c r="H790" s="883">
        <v>0.98474415455574904</v>
      </c>
      <c r="I790" s="883">
        <v>0.99446566689816973</v>
      </c>
      <c r="K790">
        <v>1.6064167142676338</v>
      </c>
      <c r="L790">
        <v>0</v>
      </c>
      <c r="M790">
        <v>6.173343624428047E-3</v>
      </c>
      <c r="N790">
        <v>0.11698890385410254</v>
      </c>
      <c r="O790">
        <v>3.0428716779922184E-2</v>
      </c>
      <c r="P790">
        <v>1.8460507156296761E-2</v>
      </c>
      <c r="Q790">
        <v>0</v>
      </c>
      <c r="R790">
        <v>6.173343624428047E-3</v>
      </c>
      <c r="S790">
        <v>0.16381325999107829</v>
      </c>
      <c r="T790">
        <v>1.1891888593076361</v>
      </c>
      <c r="U790">
        <v>0</v>
      </c>
      <c r="V790">
        <v>1.5748182622287468E-2</v>
      </c>
      <c r="W790">
        <v>6.1239436060449709E-2</v>
      </c>
      <c r="X790">
        <v>-1.4871881735331865E-2</v>
      </c>
      <c r="Y790">
        <v>2.5420730231191607E-2</v>
      </c>
    </row>
    <row r="791" spans="1:25" x14ac:dyDescent="0.25">
      <c r="A791" s="879"/>
      <c r="B791" s="1133">
        <v>541</v>
      </c>
      <c r="C791" s="883">
        <v>1.0360590447339655</v>
      </c>
      <c r="D791" s="883">
        <v>0.98397822670494706</v>
      </c>
      <c r="E791" s="883">
        <v>0.98694131255616013</v>
      </c>
      <c r="F791" s="883">
        <v>1.0410078039635682</v>
      </c>
      <c r="G791" s="883">
        <v>0.99154674396338727</v>
      </c>
      <c r="H791" s="883">
        <v>0.99525125194920006</v>
      </c>
      <c r="I791" s="883">
        <v>0.99956561947695233</v>
      </c>
      <c r="K791">
        <v>1.6486660009240488</v>
      </c>
      <c r="L791">
        <v>0</v>
      </c>
      <c r="M791">
        <v>6.2733920821815498E-3</v>
      </c>
      <c r="N791">
        <v>0.11471798676670261</v>
      </c>
      <c r="O791">
        <v>2.9977584805388442E-2</v>
      </c>
      <c r="P791">
        <v>1.8714077338156047E-2</v>
      </c>
      <c r="Q791">
        <v>0</v>
      </c>
      <c r="R791">
        <v>6.2733920821815498E-3</v>
      </c>
      <c r="S791">
        <v>0.16263876541623401</v>
      </c>
      <c r="T791">
        <v>1.2348409265038456</v>
      </c>
      <c r="U791">
        <v>0</v>
      </c>
      <c r="V791">
        <v>1.5664173002974988E-2</v>
      </c>
      <c r="W791">
        <v>6.0773495734773739E-2</v>
      </c>
      <c r="X791">
        <v>-1.4493720616285616E-2</v>
      </c>
      <c r="Y791">
        <v>2.5832711972258903E-2</v>
      </c>
    </row>
    <row r="792" spans="1:25" x14ac:dyDescent="0.25">
      <c r="A792" s="879"/>
      <c r="B792" s="1133">
        <v>542</v>
      </c>
      <c r="C792" s="883">
        <v>1.0091847987405442</v>
      </c>
      <c r="D792" s="883">
        <v>0.98461272569412073</v>
      </c>
      <c r="E792" s="883">
        <v>1.0112636300758464</v>
      </c>
      <c r="F792" s="883">
        <v>1.0109596193333286</v>
      </c>
      <c r="G792" s="883">
        <v>1.0242069283934445</v>
      </c>
      <c r="H792" s="883">
        <v>0.99590248686203808</v>
      </c>
      <c r="I792" s="883">
        <v>0.97860345914576297</v>
      </c>
      <c r="K792">
        <v>1.6202131017119397</v>
      </c>
      <c r="L792">
        <v>0</v>
      </c>
      <c r="M792">
        <v>6.307376248757603E-3</v>
      </c>
      <c r="N792">
        <v>0.11957154168733405</v>
      </c>
      <c r="O792">
        <v>3.0747364728864052E-2</v>
      </c>
      <c r="P792">
        <v>1.8589512695022806E-2</v>
      </c>
      <c r="Q792">
        <v>0</v>
      </c>
      <c r="R792">
        <v>6.307376248757603E-3</v>
      </c>
      <c r="S792">
        <v>0.16352393778005214</v>
      </c>
      <c r="T792">
        <v>1.1987407570869322</v>
      </c>
      <c r="U792">
        <v>0</v>
      </c>
      <c r="V792">
        <v>1.580429525949573E-2</v>
      </c>
      <c r="W792">
        <v>6.2583898959068934E-2</v>
      </c>
      <c r="X792">
        <v>-1.5320859206092989E-2</v>
      </c>
      <c r="Y792">
        <v>2.5972652721262941E-2</v>
      </c>
    </row>
    <row r="793" spans="1:25" x14ac:dyDescent="0.25">
      <c r="A793" s="879"/>
      <c r="B793" s="1133">
        <v>543</v>
      </c>
      <c r="C793" s="883">
        <v>0.99154107258506619</v>
      </c>
      <c r="D793" s="883">
        <v>0.99865993331875857</v>
      </c>
      <c r="E793" s="883">
        <v>0.98572045826587928</v>
      </c>
      <c r="F793" s="883">
        <v>0.98189903919718302</v>
      </c>
      <c r="G793" s="883">
        <v>0.96571230263624308</v>
      </c>
      <c r="H793" s="883">
        <v>1.0346900294287997</v>
      </c>
      <c r="I793" s="883">
        <v>1.0108246995040826</v>
      </c>
      <c r="K793">
        <v>1.604428141185017</v>
      </c>
      <c r="L793">
        <v>0</v>
      </c>
      <c r="M793">
        <v>6.7771299932940813E-3</v>
      </c>
      <c r="N793">
        <v>0.12370538591561941</v>
      </c>
      <c r="O793">
        <v>3.113949145295165E-2</v>
      </c>
      <c r="P793">
        <v>1.7923551910463433E-2</v>
      </c>
      <c r="Q793">
        <v>0</v>
      </c>
      <c r="R793">
        <v>6.7771299932940813E-3</v>
      </c>
      <c r="S793">
        <v>0.17403191915257427</v>
      </c>
      <c r="T793">
        <v>1.1647486042342379</v>
      </c>
      <c r="U793">
        <v>0</v>
      </c>
      <c r="V793">
        <v>1.5900419946949729E-2</v>
      </c>
      <c r="W793">
        <v>6.5574668692699817E-2</v>
      </c>
      <c r="X793">
        <v>-1.6502915148695056E-2</v>
      </c>
      <c r="Y793">
        <v>2.7907015028214587E-2</v>
      </c>
    </row>
    <row r="794" spans="1:25" x14ac:dyDescent="0.25">
      <c r="A794" s="879"/>
      <c r="B794" s="1133">
        <v>544</v>
      </c>
      <c r="C794" s="883">
        <v>0.9721832221858</v>
      </c>
      <c r="D794" s="883">
        <v>0.97427266030772852</v>
      </c>
      <c r="E794" s="883">
        <v>0.99109955779373338</v>
      </c>
      <c r="F794" s="883">
        <v>0.97562429992917632</v>
      </c>
      <c r="G794" s="883">
        <v>0.97210708543445168</v>
      </c>
      <c r="H794" s="883">
        <v>1.0275089696641833</v>
      </c>
      <c r="I794" s="883">
        <v>1.0136238261186041</v>
      </c>
      <c r="K794">
        <v>1.6067435637037364</v>
      </c>
      <c r="L794">
        <v>0</v>
      </c>
      <c r="M794">
        <v>6.9077806975820534E-3</v>
      </c>
      <c r="N794">
        <v>0.12709990218374478</v>
      </c>
      <c r="O794">
        <v>3.2070599539640282E-2</v>
      </c>
      <c r="P794">
        <v>1.7949596027494834E-2</v>
      </c>
      <c r="Q794">
        <v>0</v>
      </c>
      <c r="R794">
        <v>6.9077806975820534E-3</v>
      </c>
      <c r="S794">
        <v>0.17784752775165835</v>
      </c>
      <c r="T794">
        <v>1.1572075798862755</v>
      </c>
      <c r="U794">
        <v>0</v>
      </c>
      <c r="V794">
        <v>1.6009897312924282E-2</v>
      </c>
      <c r="W794">
        <v>6.7193461094418511E-2</v>
      </c>
      <c r="X794">
        <v>-1.7080011465933888E-2</v>
      </c>
      <c r="Y794">
        <v>2.8445011373514E-2</v>
      </c>
    </row>
    <row r="795" spans="1:25" x14ac:dyDescent="0.25">
      <c r="A795" s="879"/>
      <c r="B795" s="1133">
        <v>545</v>
      </c>
      <c r="C795" s="883">
        <v>0.96257336350856126</v>
      </c>
      <c r="D795" s="883">
        <v>1.0172196881066138</v>
      </c>
      <c r="E795" s="883">
        <v>1.0297207479329402</v>
      </c>
      <c r="F795" s="883">
        <v>0.9806697091489559</v>
      </c>
      <c r="G795" s="883">
        <v>0.98094018430586494</v>
      </c>
      <c r="H795" s="883">
        <v>1.0174148923174269</v>
      </c>
      <c r="I795" s="883">
        <v>1.0048027703591165</v>
      </c>
      <c r="K795">
        <v>1.6099524370914935</v>
      </c>
      <c r="L795">
        <v>0</v>
      </c>
      <c r="M795">
        <v>6.5514604204169212E-3</v>
      </c>
      <c r="N795">
        <v>0.1276363895272237</v>
      </c>
      <c r="O795">
        <v>3.1801548524581141E-2</v>
      </c>
      <c r="P795">
        <v>1.8539264146316587E-2</v>
      </c>
      <c r="Q795">
        <v>0</v>
      </c>
      <c r="R795">
        <v>6.5514604204169212E-3</v>
      </c>
      <c r="S795">
        <v>0.17700374315127393</v>
      </c>
      <c r="T795">
        <v>1.1624898703268163</v>
      </c>
      <c r="U795">
        <v>0</v>
      </c>
      <c r="V795">
        <v>1.6065880946232125E-2</v>
      </c>
      <c r="W795">
        <v>6.6200541289502882E-2</v>
      </c>
      <c r="X795">
        <v>-1.6762548715246777E-2</v>
      </c>
      <c r="Y795">
        <v>2.6977747894793024E-2</v>
      </c>
    </row>
    <row r="796" spans="1:25" x14ac:dyDescent="0.25">
      <c r="A796" s="879"/>
      <c r="B796" s="1133">
        <v>546</v>
      </c>
      <c r="C796" s="883">
        <v>1.0052095810317134</v>
      </c>
      <c r="D796" s="883">
        <v>1.0187939660105754</v>
      </c>
      <c r="E796" s="883">
        <v>1.0083191453675742</v>
      </c>
      <c r="F796" s="883">
        <v>1.0121803413956942</v>
      </c>
      <c r="G796" s="883">
        <v>0.97927831831234669</v>
      </c>
      <c r="H796" s="883">
        <v>0.95477528901016728</v>
      </c>
      <c r="I796" s="883">
        <v>0.99616848818788239</v>
      </c>
      <c r="K796">
        <v>1.6126005193447259</v>
      </c>
      <c r="L796">
        <v>0</v>
      </c>
      <c r="M796">
        <v>5.9945324744392599E-3</v>
      </c>
      <c r="N796">
        <v>0.11314654617368229</v>
      </c>
      <c r="O796">
        <v>3.0452999602035791E-2</v>
      </c>
      <c r="P796">
        <v>1.8581176279400431E-2</v>
      </c>
      <c r="Q796">
        <v>0</v>
      </c>
      <c r="R796">
        <v>5.9945324744392599E-3</v>
      </c>
      <c r="S796">
        <v>0.16443143862149381</v>
      </c>
      <c r="T796">
        <v>1.2002434849228383</v>
      </c>
      <c r="U796">
        <v>0</v>
      </c>
      <c r="V796">
        <v>1.5825658131573429E-2</v>
      </c>
      <c r="W796">
        <v>5.9307365921461797E-2</v>
      </c>
      <c r="X796">
        <v>-1.4072568050496732E-2</v>
      </c>
      <c r="Y796">
        <v>2.4684417742736015E-2</v>
      </c>
    </row>
    <row r="797" spans="1:25" x14ac:dyDescent="0.25">
      <c r="A797" s="879"/>
      <c r="B797" s="1133">
        <v>547</v>
      </c>
      <c r="C797" s="883">
        <v>1.0497066926362084</v>
      </c>
      <c r="D797" s="883">
        <v>0.98312822393451327</v>
      </c>
      <c r="E797" s="883">
        <v>1.0055680076202427</v>
      </c>
      <c r="F797" s="883">
        <v>1.0149692035308531</v>
      </c>
      <c r="G797" s="883">
        <v>1.0248517794006522</v>
      </c>
      <c r="H797" s="883">
        <v>0.97686220196751117</v>
      </c>
      <c r="I797" s="883">
        <v>0.96839507292378735</v>
      </c>
      <c r="K797">
        <v>1.6038289327866717</v>
      </c>
      <c r="L797">
        <v>0</v>
      </c>
      <c r="M797">
        <v>5.9816820219888702E-3</v>
      </c>
      <c r="N797">
        <v>0.11244499698211452</v>
      </c>
      <c r="O797">
        <v>2.9583052318884768E-2</v>
      </c>
      <c r="P797">
        <v>1.8451830575600615E-2</v>
      </c>
      <c r="Q797">
        <v>0</v>
      </c>
      <c r="R797">
        <v>5.9816820219888702E-3</v>
      </c>
      <c r="S797">
        <v>0.15455402869268756</v>
      </c>
      <c r="T797">
        <v>1.2036023284994264</v>
      </c>
      <c r="U797">
        <v>0</v>
      </c>
      <c r="V797">
        <v>1.559576114618264E-2</v>
      </c>
      <c r="W797">
        <v>5.9019995282860886E-2</v>
      </c>
      <c r="X797">
        <v>-1.4054562577925806E-2</v>
      </c>
      <c r="Y797">
        <v>2.4631501866840572E-2</v>
      </c>
    </row>
    <row r="798" spans="1:25" x14ac:dyDescent="0.25">
      <c r="A798" s="879"/>
      <c r="B798" s="1133">
        <v>548</v>
      </c>
      <c r="C798" s="883">
        <v>0.98363679036017149</v>
      </c>
      <c r="D798" s="883">
        <v>0.95955103027262079</v>
      </c>
      <c r="E798" s="883">
        <v>0.96916804588090344</v>
      </c>
      <c r="F798" s="883">
        <v>0.9727113622387854</v>
      </c>
      <c r="G798" s="883">
        <v>1.0169937795528574</v>
      </c>
      <c r="H798" s="883">
        <v>0.96316218948994636</v>
      </c>
      <c r="I798" s="883">
        <v>1.0055807424756082</v>
      </c>
      <c r="K798">
        <v>1.5813932695873898</v>
      </c>
      <c r="L798">
        <v>0</v>
      </c>
      <c r="M798">
        <v>6.5678495317114489E-3</v>
      </c>
      <c r="N798">
        <v>0.11697642726996266</v>
      </c>
      <c r="O798">
        <v>3.1908774674267455E-2</v>
      </c>
      <c r="P798">
        <v>1.7513590850801317E-2</v>
      </c>
      <c r="Q798">
        <v>0</v>
      </c>
      <c r="R798">
        <v>6.5678495317114489E-3</v>
      </c>
      <c r="S798">
        <v>0.17065279921611406</v>
      </c>
      <c r="T798">
        <v>1.1541508149363298</v>
      </c>
      <c r="U798">
        <v>0</v>
      </c>
      <c r="V798">
        <v>1.5944601706397759E-2</v>
      </c>
      <c r="W798">
        <v>6.2524328090406159E-2</v>
      </c>
      <c r="X798">
        <v>-1.5323302494840839E-2</v>
      </c>
      <c r="Y798">
        <v>2.7045235337950828E-2</v>
      </c>
    </row>
    <row r="799" spans="1:25" x14ac:dyDescent="0.25">
      <c r="A799" s="879"/>
      <c r="B799" s="1133">
        <v>549</v>
      </c>
      <c r="C799" s="883">
        <v>1.0028578301038518</v>
      </c>
      <c r="D799" s="883">
        <v>0.95570011882742922</v>
      </c>
      <c r="E799" s="883">
        <v>0.96323213888565717</v>
      </c>
      <c r="F799" s="883">
        <v>0.98601308421530076</v>
      </c>
      <c r="G799" s="883">
        <v>1.0289227903675131</v>
      </c>
      <c r="H799" s="883">
        <v>0.95585095052904745</v>
      </c>
      <c r="I799" s="883">
        <v>0.98650423955687616</v>
      </c>
      <c r="K799">
        <v>1.5849803649408511</v>
      </c>
      <c r="L799">
        <v>0</v>
      </c>
      <c r="M799">
        <v>6.4377466817562333E-3</v>
      </c>
      <c r="N799">
        <v>0.11365284139851242</v>
      </c>
      <c r="O799">
        <v>3.1352116627866411E-2</v>
      </c>
      <c r="P799">
        <v>1.7548718647494202E-2</v>
      </c>
      <c r="Q799">
        <v>0</v>
      </c>
      <c r="R799">
        <v>6.4377466817562333E-3</v>
      </c>
      <c r="S799">
        <v>0.16381468435080065</v>
      </c>
      <c r="T799">
        <v>1.1700433396736747</v>
      </c>
      <c r="U799">
        <v>0</v>
      </c>
      <c r="V799">
        <v>1.5838376206403548E-2</v>
      </c>
      <c r="W799">
        <v>6.0929705429643634E-2</v>
      </c>
      <c r="X799">
        <v>-1.4708912352824798E-2</v>
      </c>
      <c r="Y799">
        <v>2.6509494959279279E-2</v>
      </c>
    </row>
    <row r="800" spans="1:25" x14ac:dyDescent="0.25">
      <c r="A800" s="879"/>
      <c r="B800" s="1133">
        <v>550</v>
      </c>
      <c r="C800" s="883">
        <v>0.99399296786046321</v>
      </c>
      <c r="D800" s="883">
        <v>1.0068319256612037</v>
      </c>
      <c r="E800" s="883">
        <v>1.0247612300111302</v>
      </c>
      <c r="F800" s="883">
        <v>1.0043766207973284</v>
      </c>
      <c r="G800" s="883">
        <v>1.003788468158155</v>
      </c>
      <c r="H800" s="883">
        <v>1.0301873180443999</v>
      </c>
      <c r="I800" s="883">
        <v>1.0044570065716065</v>
      </c>
      <c r="K800">
        <v>1.6293858796639764</v>
      </c>
      <c r="L800">
        <v>0</v>
      </c>
      <c r="M800">
        <v>6.4815794939038661E-3</v>
      </c>
      <c r="N800">
        <v>0.12535241829309907</v>
      </c>
      <c r="O800">
        <v>3.0927648312754793E-2</v>
      </c>
      <c r="P800">
        <v>1.8787399953435695E-2</v>
      </c>
      <c r="Q800">
        <v>0</v>
      </c>
      <c r="R800">
        <v>6.4815794939038661E-3</v>
      </c>
      <c r="S800">
        <v>0.17219824147401672</v>
      </c>
      <c r="T800">
        <v>1.1906841183254717</v>
      </c>
      <c r="U800">
        <v>0</v>
      </c>
      <c r="V800">
        <v>1.5886857628513662E-2</v>
      </c>
      <c r="W800">
        <v>6.5174484818221023E-2</v>
      </c>
      <c r="X800">
        <v>-1.631527981929079E-2</v>
      </c>
      <c r="Y800">
        <v>2.6689990677753503E-2</v>
      </c>
    </row>
    <row r="801" spans="1:25" x14ac:dyDescent="0.25">
      <c r="A801" s="879"/>
      <c r="B801" s="1133">
        <v>551</v>
      </c>
      <c r="C801" s="883">
        <v>0.98540732305363943</v>
      </c>
      <c r="D801" s="883">
        <v>1.0403356903077956</v>
      </c>
      <c r="E801" s="883">
        <v>1.0158292836313165</v>
      </c>
      <c r="F801" s="883">
        <v>0.98214384152538359</v>
      </c>
      <c r="G801" s="883">
        <v>0.95862757743248073</v>
      </c>
      <c r="H801" s="883">
        <v>0.99127844451310221</v>
      </c>
      <c r="I801" s="883">
        <v>0.98714075459279149</v>
      </c>
      <c r="K801">
        <v>1.5895378548933481</v>
      </c>
      <c r="L801">
        <v>0</v>
      </c>
      <c r="M801">
        <v>6.2487211801418533E-3</v>
      </c>
      <c r="N801">
        <v>0.11926275310068382</v>
      </c>
      <c r="O801">
        <v>3.0799403676927264E-2</v>
      </c>
      <c r="P801">
        <v>1.8253887312511541E-2</v>
      </c>
      <c r="Q801">
        <v>0</v>
      </c>
      <c r="R801">
        <v>6.2487211801418533E-3</v>
      </c>
      <c r="S801">
        <v>0.16812937218040899</v>
      </c>
      <c r="T801">
        <v>1.1644895086785194</v>
      </c>
      <c r="U801">
        <v>0</v>
      </c>
      <c r="V801">
        <v>1.593464353855081E-2</v>
      </c>
      <c r="W801">
        <v>6.228167836774965E-2</v>
      </c>
      <c r="X801">
        <v>-1.5344513550919831E-2</v>
      </c>
      <c r="Y801">
        <v>2.57311215889163E-2</v>
      </c>
    </row>
    <row r="802" spans="1:25" x14ac:dyDescent="0.25">
      <c r="A802" s="879"/>
      <c r="B802" s="1133">
        <v>552</v>
      </c>
      <c r="C802" s="883">
        <v>0.96690548083422434</v>
      </c>
      <c r="D802" s="883">
        <v>0.98852924718169699</v>
      </c>
      <c r="E802" s="883">
        <v>0.98114664137919472</v>
      </c>
      <c r="F802" s="883">
        <v>0.97320246047369152</v>
      </c>
      <c r="G802" s="883">
        <v>0.98209159397881884</v>
      </c>
      <c r="H802" s="883">
        <v>1.0049443414826558</v>
      </c>
      <c r="I802" s="883">
        <v>1.00867701908202</v>
      </c>
      <c r="K802">
        <v>1.5973475238041959</v>
      </c>
      <c r="L802">
        <v>0</v>
      </c>
      <c r="M802">
        <v>6.8078844176938727E-3</v>
      </c>
      <c r="N802">
        <v>0.12342654161016153</v>
      </c>
      <c r="O802">
        <v>3.2067205353527806E-2</v>
      </c>
      <c r="P802">
        <v>1.7758761383848503E-2</v>
      </c>
      <c r="Q802">
        <v>0</v>
      </c>
      <c r="R802">
        <v>6.8078844176938727E-3</v>
      </c>
      <c r="S802">
        <v>0.17639247925704152</v>
      </c>
      <c r="T802">
        <v>1.1545155954888064</v>
      </c>
      <c r="U802">
        <v>0</v>
      </c>
      <c r="V802">
        <v>1.604050580960167E-2</v>
      </c>
      <c r="W802">
        <v>6.557665558081481E-2</v>
      </c>
      <c r="X802">
        <v>-1.6463876953416327E-2</v>
      </c>
      <c r="Y802">
        <v>2.8033656273809444E-2</v>
      </c>
    </row>
    <row r="803" spans="1:25" x14ac:dyDescent="0.25">
      <c r="A803" s="879"/>
      <c r="B803" s="1133">
        <v>553</v>
      </c>
      <c r="C803" s="883">
        <v>0.99184751260323623</v>
      </c>
      <c r="D803" s="883">
        <v>1.0036673167934012</v>
      </c>
      <c r="E803" s="883">
        <v>1.0119152916979166</v>
      </c>
      <c r="F803" s="883">
        <v>0.99928651945482216</v>
      </c>
      <c r="G803" s="883">
        <v>1.0109010390036974</v>
      </c>
      <c r="H803" s="883">
        <v>1.0269462209094566</v>
      </c>
      <c r="I803" s="883">
        <v>0.95422614104833681</v>
      </c>
      <c r="K803">
        <v>1.6142425049380347</v>
      </c>
      <c r="L803">
        <v>0</v>
      </c>
      <c r="M803">
        <v>6.5575804742606571E-3</v>
      </c>
      <c r="N803">
        <v>0.12443473817712772</v>
      </c>
      <c r="O803">
        <v>3.1045297651955617E-2</v>
      </c>
      <c r="P803">
        <v>1.8416414761875319E-2</v>
      </c>
      <c r="Q803">
        <v>0</v>
      </c>
      <c r="R803">
        <v>6.5575804742606571E-3</v>
      </c>
      <c r="S803">
        <v>0.16377970229927241</v>
      </c>
      <c r="T803">
        <v>1.1848873626994736</v>
      </c>
      <c r="U803">
        <v>0</v>
      </c>
      <c r="V803">
        <v>1.5898721250014614E-2</v>
      </c>
      <c r="W803">
        <v>6.5108326938773456E-2</v>
      </c>
      <c r="X803">
        <v>-1.6331008027650511E-2</v>
      </c>
      <c r="Y803">
        <v>2.7002949187192555E-2</v>
      </c>
    </row>
    <row r="804" spans="1:25" x14ac:dyDescent="0.25">
      <c r="A804" s="879"/>
      <c r="B804" s="1133">
        <v>554</v>
      </c>
      <c r="C804" s="883">
        <v>0.99696523254619418</v>
      </c>
      <c r="D804" s="883">
        <v>0.98831367277940341</v>
      </c>
      <c r="E804" s="883">
        <v>1.0000166757030049</v>
      </c>
      <c r="F804" s="883">
        <v>1.0018332102355059</v>
      </c>
      <c r="G804" s="883">
        <v>1.031652130717664</v>
      </c>
      <c r="H804" s="883">
        <v>0.99428428039550487</v>
      </c>
      <c r="I804" s="883">
        <v>1.0033981319853109</v>
      </c>
      <c r="K804">
        <v>1.6168926551394758</v>
      </c>
      <c r="L804">
        <v>0</v>
      </c>
      <c r="M804">
        <v>6.426513042434261E-3</v>
      </c>
      <c r="N804">
        <v>0.11981776752972355</v>
      </c>
      <c r="O804">
        <v>3.1087388798573413E-2</v>
      </c>
      <c r="P804">
        <v>1.8372578043174301E-2</v>
      </c>
      <c r="Q804">
        <v>0</v>
      </c>
      <c r="R804">
        <v>6.426513042434261E-3</v>
      </c>
      <c r="S804">
        <v>0.16957614110311872</v>
      </c>
      <c r="T804">
        <v>1.1881282904389567</v>
      </c>
      <c r="U804">
        <v>0</v>
      </c>
      <c r="V804">
        <v>1.5870506407178974E-2</v>
      </c>
      <c r="W804">
        <v>6.3063233159405804E-2</v>
      </c>
      <c r="X804">
        <v>-1.5486487172719948E-2</v>
      </c>
      <c r="Y804">
        <v>2.6463236832064651E-2</v>
      </c>
    </row>
    <row r="805" spans="1:25" x14ac:dyDescent="0.25">
      <c r="A805" s="879"/>
      <c r="B805" s="1133">
        <v>555</v>
      </c>
      <c r="C805" s="883">
        <v>1.0144097970113162</v>
      </c>
      <c r="D805" s="883">
        <v>1.0197644295619723</v>
      </c>
      <c r="E805" s="883">
        <v>0.98278962835636152</v>
      </c>
      <c r="F805" s="883">
        <v>1.0165329433257866</v>
      </c>
      <c r="G805" s="883">
        <v>0.96675930963351209</v>
      </c>
      <c r="H805" s="883">
        <v>1.0375618232683756</v>
      </c>
      <c r="I805" s="883">
        <v>0.98554523192347598</v>
      </c>
      <c r="K805">
        <v>1.6310080429704026</v>
      </c>
      <c r="L805">
        <v>0</v>
      </c>
      <c r="M805">
        <v>6.5979326109543626E-3</v>
      </c>
      <c r="N805">
        <v>0.11991203473569641</v>
      </c>
      <c r="O805">
        <v>3.0186245213375967E-2</v>
      </c>
      <c r="P805">
        <v>1.8315544521288155E-2</v>
      </c>
      <c r="Q805">
        <v>0</v>
      </c>
      <c r="R805">
        <v>6.5979326109543626E-3</v>
      </c>
      <c r="S805">
        <v>0.16579047415953035</v>
      </c>
      <c r="T805">
        <v>1.2058876212246212</v>
      </c>
      <c r="U805">
        <v>0</v>
      </c>
      <c r="V805">
        <v>1.577647071541155E-2</v>
      </c>
      <c r="W805">
        <v>6.3657046772214634E-2</v>
      </c>
      <c r="X805">
        <v>-1.5686506475420348E-2</v>
      </c>
      <c r="Y805">
        <v>2.7169112103684653E-2</v>
      </c>
    </row>
    <row r="806" spans="1:25" x14ac:dyDescent="0.25">
      <c r="A806" s="879"/>
      <c r="B806" s="1133">
        <v>556</v>
      </c>
      <c r="C806" s="883">
        <v>0.98209326862659185</v>
      </c>
      <c r="D806" s="883">
        <v>0.98516671636759767</v>
      </c>
      <c r="E806" s="883">
        <v>1.0256127418847871</v>
      </c>
      <c r="F806" s="883">
        <v>0.98954111796798516</v>
      </c>
      <c r="G806" s="883">
        <v>0.98694554710963278</v>
      </c>
      <c r="H806" s="883">
        <v>0.98206592255227199</v>
      </c>
      <c r="I806" s="883">
        <v>1.0211492629015058</v>
      </c>
      <c r="K806">
        <v>1.6096873299558594</v>
      </c>
      <c r="L806">
        <v>0</v>
      </c>
      <c r="M806">
        <v>6.3099623781810747E-3</v>
      </c>
      <c r="N806">
        <v>0.12218713356005838</v>
      </c>
      <c r="O806">
        <v>3.1575140825786677E-2</v>
      </c>
      <c r="P806">
        <v>1.8591797190390273E-2</v>
      </c>
      <c r="Q806">
        <v>0</v>
      </c>
      <c r="R806">
        <v>6.3099623781810747E-3</v>
      </c>
      <c r="S806">
        <v>0.17451050736047927</v>
      </c>
      <c r="T806">
        <v>1.1730811278005131</v>
      </c>
      <c r="U806">
        <v>0</v>
      </c>
      <c r="V806">
        <v>1.5953312370994049E-2</v>
      </c>
      <c r="W806">
        <v>6.3502173141852122E-2</v>
      </c>
      <c r="X806">
        <v>-1.5697164236129862E-2</v>
      </c>
      <c r="Y806">
        <v>2.5983301941914918E-2</v>
      </c>
    </row>
    <row r="807" spans="1:25" x14ac:dyDescent="0.25">
      <c r="A807" s="879"/>
      <c r="B807" s="1133">
        <v>557</v>
      </c>
      <c r="C807" s="883">
        <v>0.9985080269947163</v>
      </c>
      <c r="D807" s="883">
        <v>1.0296384471178737</v>
      </c>
      <c r="E807" s="883">
        <v>1.0092202712790128</v>
      </c>
      <c r="F807" s="883">
        <v>0.97247750924572718</v>
      </c>
      <c r="G807" s="883">
        <v>0.96925959596924949</v>
      </c>
      <c r="H807" s="883">
        <v>0.98678942572126715</v>
      </c>
      <c r="I807" s="883">
        <v>1.0129331429102097</v>
      </c>
      <c r="K807">
        <v>1.5767908901139587</v>
      </c>
      <c r="L807">
        <v>0</v>
      </c>
      <c r="M807">
        <v>6.2028777104191886E-3</v>
      </c>
      <c r="N807">
        <v>0.11723535713330627</v>
      </c>
      <c r="O807">
        <v>3.0527036911163978E-2</v>
      </c>
      <c r="P807">
        <v>1.8036412737510048E-2</v>
      </c>
      <c r="Q807">
        <v>0</v>
      </c>
      <c r="R807">
        <v>6.2028777104191886E-3</v>
      </c>
      <c r="S807">
        <v>0.17008851125643076</v>
      </c>
      <c r="T807">
        <v>1.1531476122166482</v>
      </c>
      <c r="U807">
        <v>0</v>
      </c>
      <c r="V807">
        <v>1.5862057461174174E-2</v>
      </c>
      <c r="W807">
        <v>6.1423177650770891E-2</v>
      </c>
      <c r="X807">
        <v>-1.5071621593477382E-2</v>
      </c>
      <c r="Y807">
        <v>2.5542346340431787E-2</v>
      </c>
    </row>
    <row r="808" spans="1:25" x14ac:dyDescent="0.25">
      <c r="A808" s="879"/>
      <c r="B808" s="1133">
        <v>558</v>
      </c>
      <c r="C808" s="883">
        <v>0.98057249901763444</v>
      </c>
      <c r="D808" s="883">
        <v>0.98646759283407637</v>
      </c>
      <c r="E808" s="883">
        <v>1.0080978123343074</v>
      </c>
      <c r="F808" s="883">
        <v>0.99868688777264036</v>
      </c>
      <c r="G808" s="883">
        <v>0.97945546908206993</v>
      </c>
      <c r="H808" s="883">
        <v>0.98177142346414359</v>
      </c>
      <c r="I808" s="883">
        <v>1.0342413753994935</v>
      </c>
      <c r="K808">
        <v>1.6225610013035929</v>
      </c>
      <c r="L808">
        <v>0</v>
      </c>
      <c r="M808">
        <v>6.411663741131981E-3</v>
      </c>
      <c r="N808">
        <v>0.12098022923469479</v>
      </c>
      <c r="O808">
        <v>3.1623587983222588E-2</v>
      </c>
      <c r="P808">
        <v>1.853372128803623E-2</v>
      </c>
      <c r="Q808">
        <v>0</v>
      </c>
      <c r="R808">
        <v>6.411663741131981E-3</v>
      </c>
      <c r="S808">
        <v>0.17697023506009474</v>
      </c>
      <c r="T808">
        <v>1.1842470472877662</v>
      </c>
      <c r="U808">
        <v>0</v>
      </c>
      <c r="V808">
        <v>1.596192145652868E-2</v>
      </c>
      <c r="W808">
        <v>6.3420449482484959E-2</v>
      </c>
      <c r="X808">
        <v>-1.5578280541615627E-2</v>
      </c>
      <c r="Y808">
        <v>2.6402090052378965E-2</v>
      </c>
    </row>
    <row r="809" spans="1:25" x14ac:dyDescent="0.25">
      <c r="A809" s="879"/>
      <c r="B809" s="1133">
        <v>559</v>
      </c>
      <c r="C809" s="883">
        <v>1.0006083922080127</v>
      </c>
      <c r="D809" s="883">
        <v>1.0115701159220281</v>
      </c>
      <c r="E809" s="883">
        <v>1.0413667462896701</v>
      </c>
      <c r="F809" s="883">
        <v>1.0357862765129193</v>
      </c>
      <c r="G809" s="883">
        <v>0.9909291203974544</v>
      </c>
      <c r="H809" s="883">
        <v>0.98347816536961619</v>
      </c>
      <c r="I809" s="883">
        <v>0.99665386150637225</v>
      </c>
      <c r="K809">
        <v>1.6521846015733643</v>
      </c>
      <c r="L809">
        <v>0</v>
      </c>
      <c r="M809">
        <v>6.0452909637286499E-3</v>
      </c>
      <c r="N809">
        <v>0.11981934693118677</v>
      </c>
      <c r="O809">
        <v>3.0649890829390958E-2</v>
      </c>
      <c r="P809">
        <v>1.9455524451684043E-2</v>
      </c>
      <c r="Q809">
        <v>0</v>
      </c>
      <c r="R809">
        <v>6.0452909637286499E-3</v>
      </c>
      <c r="S809">
        <v>0.1670142801528216</v>
      </c>
      <c r="T809">
        <v>1.227602980627575</v>
      </c>
      <c r="U809">
        <v>0</v>
      </c>
      <c r="V809">
        <v>1.5850596919196176E-2</v>
      </c>
      <c r="W809">
        <v>6.1792860500630695E-2</v>
      </c>
      <c r="X809">
        <v>-1.4894311006077483E-2</v>
      </c>
      <c r="Y809">
        <v>2.4893432166955422E-2</v>
      </c>
    </row>
    <row r="810" spans="1:25" x14ac:dyDescent="0.25">
      <c r="A810" s="879"/>
      <c r="B810" s="1133">
        <v>560</v>
      </c>
      <c r="C810" s="883">
        <v>1.0209170453339085</v>
      </c>
      <c r="D810" s="883">
        <v>1.0336105774543864</v>
      </c>
      <c r="E810" s="883">
        <v>1.0184621499927984</v>
      </c>
      <c r="F810" s="883">
        <v>1.0095661997473946</v>
      </c>
      <c r="G810" s="883">
        <v>0.97519490100735617</v>
      </c>
      <c r="H810" s="883">
        <v>1.0093376440779742</v>
      </c>
      <c r="I810" s="883">
        <v>0.98950540887211424</v>
      </c>
      <c r="K810">
        <v>1.6143924171559521</v>
      </c>
      <c r="L810">
        <v>0</v>
      </c>
      <c r="M810">
        <v>6.1448356358583646E-3</v>
      </c>
      <c r="N810">
        <v>0.11773776569870184</v>
      </c>
      <c r="O810">
        <v>2.98030594959704E-2</v>
      </c>
      <c r="P810">
        <v>1.8667627245758784E-2</v>
      </c>
      <c r="Q810">
        <v>0</v>
      </c>
      <c r="R810">
        <v>6.1448356358583646E-3</v>
      </c>
      <c r="S810">
        <v>0.16373127776648042</v>
      </c>
      <c r="T810">
        <v>1.1969539255723158</v>
      </c>
      <c r="U810">
        <v>0</v>
      </c>
      <c r="V810">
        <v>1.5742216065657635E-2</v>
      </c>
      <c r="W810">
        <v>6.1405512371185599E-2</v>
      </c>
      <c r="X810">
        <v>-1.4952306468613603E-2</v>
      </c>
      <c r="Y810">
        <v>2.5303339408494465E-2</v>
      </c>
    </row>
    <row r="811" spans="1:25" x14ac:dyDescent="0.25">
      <c r="A811" s="879"/>
      <c r="B811" s="1133">
        <v>561</v>
      </c>
      <c r="C811" s="883">
        <v>0.99919925463975123</v>
      </c>
      <c r="D811" s="883">
        <v>0.99109003323984923</v>
      </c>
      <c r="E811" s="883">
        <v>0.96289155252272574</v>
      </c>
      <c r="F811" s="883">
        <v>1.014408697889255</v>
      </c>
      <c r="G811" s="883">
        <v>0.99729991289702924</v>
      </c>
      <c r="H811" s="883">
        <v>0.99367157481775714</v>
      </c>
      <c r="I811" s="883">
        <v>0.98131609700360289</v>
      </c>
      <c r="K811">
        <v>1.6252219635378959</v>
      </c>
      <c r="L811">
        <v>0</v>
      </c>
      <c r="M811">
        <v>6.6107068387539648E-3</v>
      </c>
      <c r="N811">
        <v>0.11664726974661374</v>
      </c>
      <c r="O811">
        <v>3.1012807968428337E-2</v>
      </c>
      <c r="P811">
        <v>1.8002525871282964E-2</v>
      </c>
      <c r="Q811">
        <v>0</v>
      </c>
      <c r="R811">
        <v>6.6107068387539648E-3</v>
      </c>
      <c r="S811">
        <v>0.16537129968174133</v>
      </c>
      <c r="T811">
        <v>1.2037452095294729</v>
      </c>
      <c r="U811">
        <v>0</v>
      </c>
      <c r="V811">
        <v>1.5858280491671397E-2</v>
      </c>
      <c r="W811">
        <v>6.2545768906874272E-2</v>
      </c>
      <c r="X811">
        <v>-1.5182912758225971E-2</v>
      </c>
      <c r="Y811">
        <v>2.722171410003563E-2</v>
      </c>
    </row>
    <row r="812" spans="1:25" x14ac:dyDescent="0.25">
      <c r="A812" s="879"/>
      <c r="B812" s="1133">
        <v>562</v>
      </c>
      <c r="C812" s="883">
        <v>0.99990782974823478</v>
      </c>
      <c r="D812" s="883">
        <v>1.0189347832248816</v>
      </c>
      <c r="E812" s="883">
        <v>0.99546177568084526</v>
      </c>
      <c r="F812" s="883">
        <v>1.0326152852666501</v>
      </c>
      <c r="G812" s="883">
        <v>1.0031283035101264</v>
      </c>
      <c r="H812" s="883">
        <v>0.98469605000463167</v>
      </c>
      <c r="I812" s="883">
        <v>0.97096168743297917</v>
      </c>
      <c r="K812">
        <v>1.6416117083438848</v>
      </c>
      <c r="L812">
        <v>0</v>
      </c>
      <c r="M812">
        <v>6.2849979469693203E-3</v>
      </c>
      <c r="N812">
        <v>0.11639112347929277</v>
      </c>
      <c r="O812">
        <v>3.062371003863746E-2</v>
      </c>
      <c r="P812">
        <v>1.8705791196232682E-2</v>
      </c>
      <c r="Q812">
        <v>0</v>
      </c>
      <c r="R812">
        <v>6.2849979469693203E-3</v>
      </c>
      <c r="S812">
        <v>0.16277657319730895</v>
      </c>
      <c r="T812">
        <v>1.2247218827522148</v>
      </c>
      <c r="U812">
        <v>0</v>
      </c>
      <c r="V812">
        <v>1.5854414153275161E-2</v>
      </c>
      <c r="W812">
        <v>6.1398562396647378E-2</v>
      </c>
      <c r="X812">
        <v>-1.4740851727413115E-2</v>
      </c>
      <c r="Y812">
        <v>2.5880502857688014E-2</v>
      </c>
    </row>
    <row r="813" spans="1:25" x14ac:dyDescent="0.25">
      <c r="A813" s="879"/>
      <c r="B813" s="1133">
        <v>563</v>
      </c>
      <c r="C813" s="883">
        <v>1.02744806827137</v>
      </c>
      <c r="D813" s="883">
        <v>1.0015612591356038</v>
      </c>
      <c r="E813" s="883">
        <v>0.95403738958041517</v>
      </c>
      <c r="F813" s="883">
        <v>0.96951148817830279</v>
      </c>
      <c r="G813" s="883">
        <v>0.99701991312616345</v>
      </c>
      <c r="H813" s="883">
        <v>0.98280888254582921</v>
      </c>
      <c r="I813" s="883">
        <v>1.039968242193632</v>
      </c>
      <c r="K813">
        <v>1.5660299700871487</v>
      </c>
      <c r="L813">
        <v>0</v>
      </c>
      <c r="M813">
        <v>6.37784160576627E-3</v>
      </c>
      <c r="N813">
        <v>0.11106726204030211</v>
      </c>
      <c r="O813">
        <v>3.0039886430840206E-2</v>
      </c>
      <c r="P813">
        <v>1.724594459104211E-2</v>
      </c>
      <c r="Q813">
        <v>0</v>
      </c>
      <c r="R813">
        <v>6.37784160576627E-3</v>
      </c>
      <c r="S813">
        <v>0.16968340321075914</v>
      </c>
      <c r="T813">
        <v>1.1506291508131619</v>
      </c>
      <c r="U813">
        <v>0</v>
      </c>
      <c r="V813">
        <v>1.5708272542703836E-2</v>
      </c>
      <c r="W813">
        <v>5.9820748435680936E-2</v>
      </c>
      <c r="X813">
        <v>-1.4427514496400829E-2</v>
      </c>
      <c r="Y813">
        <v>2.6262816519058638E-2</v>
      </c>
    </row>
    <row r="814" spans="1:25" x14ac:dyDescent="0.25">
      <c r="A814" s="879"/>
      <c r="B814" s="1133">
        <v>564</v>
      </c>
      <c r="C814" s="883">
        <v>1.0175448728783045</v>
      </c>
      <c r="D814" s="883">
        <v>1.0146924923623042</v>
      </c>
      <c r="E814" s="883">
        <v>0.98901196350125542</v>
      </c>
      <c r="F814" s="883">
        <v>1.0418955179033447</v>
      </c>
      <c r="G814" s="883">
        <v>1.0112054452263619</v>
      </c>
      <c r="H814" s="883">
        <v>1.037172181895496</v>
      </c>
      <c r="I814" s="883">
        <v>0.99499604573665834</v>
      </c>
      <c r="K814">
        <v>1.6627658840577633</v>
      </c>
      <c r="L814">
        <v>0</v>
      </c>
      <c r="M814">
        <v>6.554091784321303E-3</v>
      </c>
      <c r="N814">
        <v>0.12021953592108983</v>
      </c>
      <c r="O814">
        <v>3.0148395225592449E-2</v>
      </c>
      <c r="P814">
        <v>1.8815126133717105E-2</v>
      </c>
      <c r="Q814">
        <v>0</v>
      </c>
      <c r="R814">
        <v>6.554091784321303E-3</v>
      </c>
      <c r="S814">
        <v>0.16690194625013594</v>
      </c>
      <c r="T814">
        <v>1.2358537213226799</v>
      </c>
      <c r="U814">
        <v>0</v>
      </c>
      <c r="V814">
        <v>1.575991274543774E-2</v>
      </c>
      <c r="W814">
        <v>6.3622237655610897E-2</v>
      </c>
      <c r="X814">
        <v>-1.5543574579486999E-2</v>
      </c>
      <c r="Y814">
        <v>2.6988583382985959E-2</v>
      </c>
    </row>
    <row r="815" spans="1:25" x14ac:dyDescent="0.25">
      <c r="A815" s="879"/>
      <c r="B815" s="1133">
        <v>565</v>
      </c>
      <c r="C815" s="883">
        <v>0.97360229215482086</v>
      </c>
      <c r="D815" s="883">
        <v>0.98175770183082978</v>
      </c>
      <c r="E815" s="883">
        <v>1.0069038856955241</v>
      </c>
      <c r="F815" s="883">
        <v>0.98860585319400085</v>
      </c>
      <c r="G815" s="883">
        <v>0.97255206815748463</v>
      </c>
      <c r="H815" s="883">
        <v>0.98645957218735558</v>
      </c>
      <c r="I815" s="883">
        <v>0.9602965567331424</v>
      </c>
      <c r="K815">
        <v>1.6019549786735758</v>
      </c>
      <c r="L815">
        <v>0</v>
      </c>
      <c r="M815">
        <v>6.5090714423295783E-3</v>
      </c>
      <c r="N815">
        <v>0.12260126710344871</v>
      </c>
      <c r="O815">
        <v>3.1912097200810521E-2</v>
      </c>
      <c r="P815">
        <v>1.8206908284466191E-2</v>
      </c>
      <c r="Q815">
        <v>0</v>
      </c>
      <c r="R815">
        <v>6.5090714423295783E-3</v>
      </c>
      <c r="S815">
        <v>0.16581004040976968</v>
      </c>
      <c r="T815">
        <v>1.1723148124195506</v>
      </c>
      <c r="U815">
        <v>0</v>
      </c>
      <c r="V815">
        <v>1.6001723962092335E-2</v>
      </c>
      <c r="W815">
        <v>6.4308235850110446E-2</v>
      </c>
      <c r="X815">
        <v>-1.6003304184658576E-2</v>
      </c>
      <c r="Y815">
        <v>2.6803197627986199E-2</v>
      </c>
    </row>
    <row r="816" spans="1:25" x14ac:dyDescent="0.25">
      <c r="A816" s="879"/>
      <c r="B816" s="1133">
        <v>566</v>
      </c>
      <c r="C816" s="883">
        <v>0.96703228052897972</v>
      </c>
      <c r="D816" s="883">
        <v>0.99009097640623167</v>
      </c>
      <c r="E816" s="883">
        <v>1.0298935178359949</v>
      </c>
      <c r="F816" s="883">
        <v>1.0009555006423483</v>
      </c>
      <c r="G816" s="883">
        <v>0.99475030471402182</v>
      </c>
      <c r="H816" s="883">
        <v>1.0068174989923619</v>
      </c>
      <c r="I816" s="883">
        <v>0.96541201781356922</v>
      </c>
      <c r="K816">
        <v>1.625840659188881</v>
      </c>
      <c r="L816">
        <v>0</v>
      </c>
      <c r="M816">
        <v>6.5306015490585656E-3</v>
      </c>
      <c r="N816">
        <v>0.12726251194544458</v>
      </c>
      <c r="O816">
        <v>3.1998876158005292E-2</v>
      </c>
      <c r="P816">
        <v>1.8759708671751182E-2</v>
      </c>
      <c r="Q816">
        <v>0</v>
      </c>
      <c r="R816">
        <v>6.5306015490585656E-3</v>
      </c>
      <c r="S816">
        <v>0.16894920798476951</v>
      </c>
      <c r="T816">
        <v>1.1865335389725276</v>
      </c>
      <c r="U816">
        <v>0</v>
      </c>
      <c r="V816">
        <v>1.6039766512071132E-2</v>
      </c>
      <c r="W816">
        <v>6.6001029206203807E-2</v>
      </c>
      <c r="X816">
        <v>-1.6595835037172737E-2</v>
      </c>
      <c r="Y816">
        <v>2.6891854775280017E-2</v>
      </c>
    </row>
    <row r="817" spans="1:25" x14ac:dyDescent="0.25">
      <c r="A817" s="879"/>
      <c r="B817" s="1133">
        <v>567</v>
      </c>
      <c r="C817" s="883">
        <v>0.98362127101776475</v>
      </c>
      <c r="D817" s="883">
        <v>0.99292864172321227</v>
      </c>
      <c r="E817" s="883">
        <v>1.0032753149015143</v>
      </c>
      <c r="F817" s="883">
        <v>0.97779033947221894</v>
      </c>
      <c r="G817" s="883">
        <v>0.99082041025334477</v>
      </c>
      <c r="H817" s="883">
        <v>0.98825935519829744</v>
      </c>
      <c r="I817" s="883">
        <v>1.0174232120683719</v>
      </c>
      <c r="K817">
        <v>1.5938441652142104</v>
      </c>
      <c r="L817">
        <v>0</v>
      </c>
      <c r="M817">
        <v>6.442410976359429E-3</v>
      </c>
      <c r="N817">
        <v>0.12069536893224402</v>
      </c>
      <c r="O817">
        <v>3.1447619577277416E-2</v>
      </c>
      <c r="P817">
        <v>1.80935914902195E-2</v>
      </c>
      <c r="Q817">
        <v>0</v>
      </c>
      <c r="R817">
        <v>6.442410976359429E-3</v>
      </c>
      <c r="S817">
        <v>0.17387110018376137</v>
      </c>
      <c r="T817">
        <v>1.1595553526808922</v>
      </c>
      <c r="U817">
        <v>0</v>
      </c>
      <c r="V817">
        <v>1.5944689151739702E-2</v>
      </c>
      <c r="W817">
        <v>6.3422484001687068E-2</v>
      </c>
      <c r="X817">
        <v>-1.5714742497854983E-2</v>
      </c>
      <c r="Y817">
        <v>2.6528701694241749E-2</v>
      </c>
    </row>
    <row r="818" spans="1:25" x14ac:dyDescent="0.25">
      <c r="A818" s="879"/>
      <c r="B818" s="1133">
        <v>568</v>
      </c>
      <c r="C818" s="883">
        <v>1.0111864731246973</v>
      </c>
      <c r="D818" s="883">
        <v>1.0344074035786353</v>
      </c>
      <c r="E818" s="883">
        <v>1.0142495924948456</v>
      </c>
      <c r="F818" s="883">
        <v>0.99893984273290282</v>
      </c>
      <c r="G818" s="883">
        <v>1.0016868602799667</v>
      </c>
      <c r="H818" s="883">
        <v>1.0331845552021139</v>
      </c>
      <c r="I818" s="883">
        <v>1.0027535279202002</v>
      </c>
      <c r="K818">
        <v>1.6129242429246282</v>
      </c>
      <c r="L818">
        <v>0</v>
      </c>
      <c r="M818">
        <v>6.3718116027400322E-3</v>
      </c>
      <c r="N818">
        <v>0.12132809232640669</v>
      </c>
      <c r="O818">
        <v>3.0084271923792861E-2</v>
      </c>
      <c r="P818">
        <v>1.8509868416252209E-2</v>
      </c>
      <c r="Q818">
        <v>0</v>
      </c>
      <c r="R818">
        <v>6.3718116027400322E-3</v>
      </c>
      <c r="S818">
        <v>0.16885876426046095</v>
      </c>
      <c r="T818">
        <v>1.1844330932138687</v>
      </c>
      <c r="U818">
        <v>0</v>
      </c>
      <c r="V818">
        <v>1.5793601817427831E-2</v>
      </c>
      <c r="W818">
        <v>6.3409667437586581E-2</v>
      </c>
      <c r="X818">
        <v>-1.5731102511065281E-2</v>
      </c>
      <c r="Y818">
        <v>2.6237986039897129E-2</v>
      </c>
    </row>
    <row r="819" spans="1:25" x14ac:dyDescent="0.25">
      <c r="A819" s="879"/>
      <c r="B819" s="1133">
        <v>569</v>
      </c>
      <c r="C819" s="883">
        <v>1.0056102426938758</v>
      </c>
      <c r="D819" s="883">
        <v>1.0016949768955543</v>
      </c>
      <c r="E819" s="883">
        <v>1.0123958940493618</v>
      </c>
      <c r="F819" s="883">
        <v>0.96673244519192325</v>
      </c>
      <c r="G819" s="883">
        <v>1.0264730888305871</v>
      </c>
      <c r="H819" s="883">
        <v>1.0003490441993677</v>
      </c>
      <c r="I819" s="883">
        <v>0.98384655000525956</v>
      </c>
      <c r="K819">
        <v>1.568412392669877</v>
      </c>
      <c r="L819">
        <v>0</v>
      </c>
      <c r="M819">
        <v>6.3032005152086311E-3</v>
      </c>
      <c r="N819">
        <v>0.1196928128804117</v>
      </c>
      <c r="O819">
        <v>3.0644092387507212E-2</v>
      </c>
      <c r="P819">
        <v>1.7918300697964698E-2</v>
      </c>
      <c r="Q819">
        <v>0</v>
      </c>
      <c r="R819">
        <v>6.3032005152086311E-3</v>
      </c>
      <c r="S819">
        <v>0.16506625034541061</v>
      </c>
      <c r="T819">
        <v>1.1462783007112134</v>
      </c>
      <c r="U819">
        <v>0</v>
      </c>
      <c r="V819">
        <v>1.5823497316892868E-2</v>
      </c>
      <c r="W819">
        <v>6.2612324190518778E-2</v>
      </c>
      <c r="X819">
        <v>-1.5578643653804299E-2</v>
      </c>
      <c r="Y819">
        <v>2.5955457793761145E-2</v>
      </c>
    </row>
    <row r="820" spans="1:25" x14ac:dyDescent="0.25">
      <c r="A820" s="879"/>
      <c r="B820" s="1133">
        <v>570</v>
      </c>
      <c r="C820" s="883">
        <v>0.99516273367069885</v>
      </c>
      <c r="D820" s="883">
        <v>0.99964437651525506</v>
      </c>
      <c r="E820" s="883">
        <v>0.95174256947067692</v>
      </c>
      <c r="F820" s="883">
        <v>0.97293568909436612</v>
      </c>
      <c r="G820" s="883">
        <v>1.0181546716746033</v>
      </c>
      <c r="H820" s="883">
        <v>0.98374723192105229</v>
      </c>
      <c r="I820" s="883">
        <v>0.99008976233879353</v>
      </c>
      <c r="K820">
        <v>1.5744233006204795</v>
      </c>
      <c r="L820">
        <v>0</v>
      </c>
      <c r="M820">
        <v>6.6098427839637146E-3</v>
      </c>
      <c r="N820">
        <v>0.11471542294627118</v>
      </c>
      <c r="O820">
        <v>3.1039865947531674E-2</v>
      </c>
      <c r="P820">
        <v>1.7233305842732433E-2</v>
      </c>
      <c r="Q820">
        <v>0</v>
      </c>
      <c r="R820">
        <v>6.6098427839637146E-3</v>
      </c>
      <c r="S820">
        <v>0.16685620938920445</v>
      </c>
      <c r="T820">
        <v>1.154734989749449</v>
      </c>
      <c r="U820">
        <v>0</v>
      </c>
      <c r="V820">
        <v>1.5880410778768558E-2</v>
      </c>
      <c r="W820">
        <v>6.1857472622816427E-2</v>
      </c>
      <c r="X820">
        <v>-1.5112532732500017E-2</v>
      </c>
      <c r="Y820">
        <v>2.7218156076205396E-2</v>
      </c>
    </row>
    <row r="821" spans="1:25" x14ac:dyDescent="0.25">
      <c r="A821" s="879"/>
      <c r="B821" s="1133">
        <v>571</v>
      </c>
      <c r="C821" s="883">
        <v>0.99633453031178221</v>
      </c>
      <c r="D821" s="883">
        <v>1.0042079352066149</v>
      </c>
      <c r="E821" s="883">
        <v>1.0373170306809045</v>
      </c>
      <c r="F821" s="883">
        <v>0.95721691784361518</v>
      </c>
      <c r="G821" s="883">
        <v>1.0101177959166652</v>
      </c>
      <c r="H821" s="883">
        <v>1.0132325169520242</v>
      </c>
      <c r="I821" s="883">
        <v>0.99305584074596842</v>
      </c>
      <c r="K821">
        <v>1.5662734182277784</v>
      </c>
      <c r="L821">
        <v>0</v>
      </c>
      <c r="M821">
        <v>6.2976398999688137E-3</v>
      </c>
      <c r="N821">
        <v>0.12407650473747595</v>
      </c>
      <c r="O821">
        <v>3.0875350114756318E-2</v>
      </c>
      <c r="P821">
        <v>1.8144938848446764E-2</v>
      </c>
      <c r="Q821">
        <v>0</v>
      </c>
      <c r="R821">
        <v>6.2976398999688137E-3</v>
      </c>
      <c r="S821">
        <v>0.16890727226648453</v>
      </c>
      <c r="T821">
        <v>1.1345547745491851</v>
      </c>
      <c r="U821">
        <v>0</v>
      </c>
      <c r="V821">
        <v>1.5873967914187048E-2</v>
      </c>
      <c r="W821">
        <v>6.41151181851079E-2</v>
      </c>
      <c r="X821">
        <v>-1.62070685578222E-2</v>
      </c>
      <c r="Y821">
        <v>2.5932560169956181E-2</v>
      </c>
    </row>
    <row r="822" spans="1:25" x14ac:dyDescent="0.25">
      <c r="A822" s="879"/>
      <c r="B822" s="1133">
        <v>572</v>
      </c>
      <c r="C822" s="883">
        <v>0.98352314281925857</v>
      </c>
      <c r="D822" s="883">
        <v>0.97551409320435034</v>
      </c>
      <c r="E822" s="883">
        <v>1.0212809534957807</v>
      </c>
      <c r="F822" s="883">
        <v>1.0180823874381535</v>
      </c>
      <c r="G822" s="883">
        <v>0.97142996286758909</v>
      </c>
      <c r="H822" s="883">
        <v>0.96924492171585253</v>
      </c>
      <c r="I822" s="883">
        <v>0.98886106638171145</v>
      </c>
      <c r="K822">
        <v>1.6355710539910175</v>
      </c>
      <c r="L822">
        <v>0</v>
      </c>
      <c r="M822">
        <v>6.2696734102038309E-3</v>
      </c>
      <c r="N822">
        <v>0.12063168341975627</v>
      </c>
      <c r="O822">
        <v>3.1657747731135354E-2</v>
      </c>
      <c r="P822">
        <v>1.8905376401415656E-2</v>
      </c>
      <c r="Q822">
        <v>0</v>
      </c>
      <c r="R822">
        <v>6.2696734102038309E-3</v>
      </c>
      <c r="S822">
        <v>0.16808612334502918</v>
      </c>
      <c r="T822">
        <v>1.2069977367892537</v>
      </c>
      <c r="U822">
        <v>0</v>
      </c>
      <c r="V822">
        <v>1.594524212912601E-2</v>
      </c>
      <c r="W822">
        <v>6.2827517267859886E-2</v>
      </c>
      <c r="X822">
        <v>-1.5297772235513101E-2</v>
      </c>
      <c r="Y822">
        <v>2.5817399142953605E-2</v>
      </c>
    </row>
    <row r="823" spans="1:25" x14ac:dyDescent="0.25">
      <c r="A823" s="879"/>
      <c r="B823" s="1133">
        <v>573</v>
      </c>
      <c r="C823" s="883">
        <v>0.9960480413509144</v>
      </c>
      <c r="D823" s="883">
        <v>1.0053522269968242</v>
      </c>
      <c r="E823" s="883">
        <v>0.9595814277184439</v>
      </c>
      <c r="F823" s="883">
        <v>1.018050581734639</v>
      </c>
      <c r="G823" s="883">
        <v>0.98495439248317307</v>
      </c>
      <c r="H823" s="883">
        <v>1.0003682736115347</v>
      </c>
      <c r="I823" s="883">
        <v>0.96311847812103535</v>
      </c>
      <c r="K823">
        <v>1.6276844352406554</v>
      </c>
      <c r="L823">
        <v>0</v>
      </c>
      <c r="M823">
        <v>6.6530253763285837E-3</v>
      </c>
      <c r="N823">
        <v>0.11681806151974934</v>
      </c>
      <c r="O823">
        <v>3.0936071104772811E-2</v>
      </c>
      <c r="P823">
        <v>1.7982751675489669E-2</v>
      </c>
      <c r="Q823">
        <v>0</v>
      </c>
      <c r="R823">
        <v>6.6530253763285837E-3</v>
      </c>
      <c r="S823">
        <v>0.16305057381364296</v>
      </c>
      <c r="T823">
        <v>1.2081300383129627</v>
      </c>
      <c r="U823">
        <v>0</v>
      </c>
      <c r="V823">
        <v>1.5875541710288991E-2</v>
      </c>
      <c r="W823">
        <v>6.2742049650868256E-2</v>
      </c>
      <c r="X823">
        <v>-1.5246626852468418E-2</v>
      </c>
      <c r="Y823">
        <v>2.7395974305349017E-2</v>
      </c>
    </row>
    <row r="824" spans="1:25" x14ac:dyDescent="0.25">
      <c r="A824" s="879"/>
      <c r="B824" s="1133">
        <v>574</v>
      </c>
      <c r="C824" s="883">
        <v>1.0085895264652929</v>
      </c>
      <c r="D824" s="883">
        <v>0.98041417254301888</v>
      </c>
      <c r="E824" s="883">
        <v>1.0195172428184429</v>
      </c>
      <c r="F824" s="883">
        <v>1.0185892553638487</v>
      </c>
      <c r="G824" s="883">
        <v>0.99623117741033873</v>
      </c>
      <c r="H824" s="883">
        <v>1.0154124216931479</v>
      </c>
      <c r="I824" s="883">
        <v>1.0173740668607878</v>
      </c>
      <c r="K824">
        <v>1.6419028403679827</v>
      </c>
      <c r="L824">
        <v>0</v>
      </c>
      <c r="M824">
        <v>6.400630375862618E-3</v>
      </c>
      <c r="N824">
        <v>0.12283048307306255</v>
      </c>
      <c r="O824">
        <v>3.0810755395917436E-2</v>
      </c>
      <c r="P824">
        <v>1.8931103977805903E-2</v>
      </c>
      <c r="Q824">
        <v>0</v>
      </c>
      <c r="R824">
        <v>6.400630375862618E-3</v>
      </c>
      <c r="S824">
        <v>0.1713078021010242</v>
      </c>
      <c r="T824">
        <v>1.2076318859374149</v>
      </c>
      <c r="U824">
        <v>0</v>
      </c>
      <c r="V824">
        <v>1.5807483540140277E-2</v>
      </c>
      <c r="W824">
        <v>6.4028292414589988E-2</v>
      </c>
      <c r="X824">
        <v>-1.5801622690039464E-2</v>
      </c>
      <c r="Y824">
        <v>2.6356656618065532E-2</v>
      </c>
    </row>
    <row r="825" spans="1:25" x14ac:dyDescent="0.25">
      <c r="A825" s="879"/>
      <c r="B825" s="1133">
        <v>575</v>
      </c>
      <c r="C825" s="883">
        <v>1.0180998879541994</v>
      </c>
      <c r="D825" s="883">
        <v>0.99434773268788945</v>
      </c>
      <c r="E825" s="883">
        <v>0.99471149686460114</v>
      </c>
      <c r="F825" s="883">
        <v>1.019521997755223</v>
      </c>
      <c r="G825" s="883">
        <v>0.96739503408894467</v>
      </c>
      <c r="H825" s="883">
        <v>0.98176276909392646</v>
      </c>
      <c r="I825" s="883">
        <v>0.98553285662776791</v>
      </c>
      <c r="K825">
        <v>1.6231305875444202</v>
      </c>
      <c r="L825">
        <v>0</v>
      </c>
      <c r="M825">
        <v>6.2257752804525208E-3</v>
      </c>
      <c r="N825">
        <v>0.11516625811049779</v>
      </c>
      <c r="O825">
        <v>3.0372425189542893E-2</v>
      </c>
      <c r="P825">
        <v>1.8481208962557755E-2</v>
      </c>
      <c r="Q825">
        <v>0</v>
      </c>
      <c r="R825">
        <v>6.2257752804525208E-3</v>
      </c>
      <c r="S825">
        <v>0.16232936486061408</v>
      </c>
      <c r="T825">
        <v>1.2092069674138588</v>
      </c>
      <c r="U825">
        <v>0</v>
      </c>
      <c r="V825">
        <v>1.5756992046040474E-2</v>
      </c>
      <c r="W825">
        <v>6.0775109211228258E-2</v>
      </c>
      <c r="X825">
        <v>-1.4594372708134424E-2</v>
      </c>
      <c r="Y825">
        <v>2.5636634458213521E-2</v>
      </c>
    </row>
    <row r="826" spans="1:25" x14ac:dyDescent="0.25">
      <c r="A826" s="879"/>
      <c r="B826" s="1133">
        <v>576</v>
      </c>
      <c r="C826" s="883">
        <v>1.012919175198342</v>
      </c>
      <c r="D826" s="883">
        <v>1.0003331281016048</v>
      </c>
      <c r="E826" s="883">
        <v>0.99867198656091483</v>
      </c>
      <c r="F826" s="883">
        <v>0.98531517488648113</v>
      </c>
      <c r="G826" s="883">
        <v>0.9908533951332702</v>
      </c>
      <c r="H826" s="883">
        <v>1.0122830102423319</v>
      </c>
      <c r="I826" s="883">
        <v>1.0209997194540694</v>
      </c>
      <c r="K826">
        <v>1.5967064107899311</v>
      </c>
      <c r="L826">
        <v>0</v>
      </c>
      <c r="M826">
        <v>6.4126819571250077E-3</v>
      </c>
      <c r="N826">
        <v>0.11932194321093909</v>
      </c>
      <c r="O826">
        <v>3.0451283330709036E-2</v>
      </c>
      <c r="P826">
        <v>1.810718403594349E-2</v>
      </c>
      <c r="Q826">
        <v>0</v>
      </c>
      <c r="R826">
        <v>6.4126819571250077E-3</v>
      </c>
      <c r="S826">
        <v>0.17075998345496135</v>
      </c>
      <c r="T826">
        <v>1.1685632854437236</v>
      </c>
      <c r="U826">
        <v>0</v>
      </c>
      <c r="V826">
        <v>1.5784379418758383E-2</v>
      </c>
      <c r="W826">
        <v>6.2844233559442242E-2</v>
      </c>
      <c r="X826">
        <v>-1.5532164549149749E-2</v>
      </c>
      <c r="Y826">
        <v>2.6406282884602564E-2</v>
      </c>
    </row>
    <row r="827" spans="1:25" x14ac:dyDescent="0.25">
      <c r="A827" s="879"/>
      <c r="B827" s="1133">
        <v>577</v>
      </c>
      <c r="C827" s="883">
        <v>1.0002195610391436</v>
      </c>
      <c r="D827" s="883">
        <v>1.0089421599635573</v>
      </c>
      <c r="E827" s="883">
        <v>1.0143721581931113</v>
      </c>
      <c r="F827" s="883">
        <v>0.9654002233686878</v>
      </c>
      <c r="G827" s="883">
        <v>0.98736311118951492</v>
      </c>
      <c r="H827" s="883">
        <v>0.97756161800551777</v>
      </c>
      <c r="I827" s="883">
        <v>0.99729612219483521</v>
      </c>
      <c r="K827">
        <v>1.5650073072996775</v>
      </c>
      <c r="L827">
        <v>0</v>
      </c>
      <c r="M827">
        <v>6.1622763169905158E-3</v>
      </c>
      <c r="N827">
        <v>0.11735953662822174</v>
      </c>
      <c r="O827">
        <v>3.0718784058548276E-2</v>
      </c>
      <c r="P827">
        <v>1.7947458270555609E-2</v>
      </c>
      <c r="Q827">
        <v>0</v>
      </c>
      <c r="R827">
        <v>6.1622763169905158E-3</v>
      </c>
      <c r="S827">
        <v>0.16684208022275115</v>
      </c>
      <c r="T827">
        <v>1.14466330655476</v>
      </c>
      <c r="U827">
        <v>0</v>
      </c>
      <c r="V827">
        <v>1.5852714927347307E-2</v>
      </c>
      <c r="W827">
        <v>6.1331870628420417E-2</v>
      </c>
      <c r="X827">
        <v>-1.5083601019998923E-2</v>
      </c>
      <c r="Y827">
        <v>2.5375157029071144E-2</v>
      </c>
    </row>
    <row r="828" spans="1:25" x14ac:dyDescent="0.25">
      <c r="A828" s="879"/>
      <c r="B828" s="1133">
        <v>578</v>
      </c>
      <c r="C828" s="883">
        <v>1.0313674499025973</v>
      </c>
      <c r="D828" s="883">
        <v>0.99801869156669243</v>
      </c>
      <c r="E828" s="883">
        <v>1.0011666860411716</v>
      </c>
      <c r="F828" s="883">
        <v>0.9947818098911696</v>
      </c>
      <c r="G828" s="883">
        <v>0.98541288512744518</v>
      </c>
      <c r="H828" s="883">
        <v>1.0204797755976145</v>
      </c>
      <c r="I828" s="883">
        <v>0.97885634149267486</v>
      </c>
      <c r="K828">
        <v>1.5962826933692624</v>
      </c>
      <c r="L828">
        <v>0</v>
      </c>
      <c r="M828">
        <v>6.3417017148936928E-3</v>
      </c>
      <c r="N828">
        <v>0.11843812527721566</v>
      </c>
      <c r="O828">
        <v>2.9932257667480332E-2</v>
      </c>
      <c r="P828">
        <v>1.8162421260803092E-2</v>
      </c>
      <c r="Q828">
        <v>0</v>
      </c>
      <c r="R828">
        <v>6.3417017148936928E-3</v>
      </c>
      <c r="S828">
        <v>0.16126031493786394</v>
      </c>
      <c r="T828">
        <v>1.1797443939543659</v>
      </c>
      <c r="U828">
        <v>0</v>
      </c>
      <c r="V828">
        <v>1.568810883965047E-2</v>
      </c>
      <c r="W828">
        <v>6.2301507196005322E-2</v>
      </c>
      <c r="X828">
        <v>-1.5358434645228335E-2</v>
      </c>
      <c r="Y828">
        <v>2.6113998881106135E-2</v>
      </c>
    </row>
    <row r="829" spans="1:25" x14ac:dyDescent="0.25">
      <c r="A829" s="879"/>
      <c r="B829" s="1133">
        <v>579</v>
      </c>
      <c r="C829" s="883">
        <v>1.0316265386980275</v>
      </c>
      <c r="D829" s="883">
        <v>1.0457101011069474</v>
      </c>
      <c r="E829" s="883">
        <v>0.97400886301437384</v>
      </c>
      <c r="F829" s="883">
        <v>0.98033687163208361</v>
      </c>
      <c r="G829" s="883">
        <v>1.0047495130335027</v>
      </c>
      <c r="H829" s="883">
        <v>1.0413345504214169</v>
      </c>
      <c r="I829" s="883">
        <v>1.0162504371575194</v>
      </c>
      <c r="K829">
        <v>1.5837616343190259</v>
      </c>
      <c r="L829">
        <v>0</v>
      </c>
      <c r="M829">
        <v>6.4884420163120486E-3</v>
      </c>
      <c r="N829">
        <v>0.11639564543272435</v>
      </c>
      <c r="O829">
        <v>2.9392246381480518E-2</v>
      </c>
      <c r="P829">
        <v>1.7659403109249398E-2</v>
      </c>
      <c r="Q829">
        <v>0</v>
      </c>
      <c r="R829">
        <v>6.4884420163120486E-3</v>
      </c>
      <c r="S829">
        <v>0.1680441769091158</v>
      </c>
      <c r="T829">
        <v>1.1631099213267013</v>
      </c>
      <c r="U829">
        <v>0</v>
      </c>
      <c r="V829">
        <v>1.568678132676242E-2</v>
      </c>
      <c r="W829">
        <v>6.2062765572026411E-2</v>
      </c>
      <c r="X829">
        <v>-1.5307555062581725E-2</v>
      </c>
      <c r="Y829">
        <v>2.6718249323546953E-2</v>
      </c>
    </row>
    <row r="830" spans="1:25" x14ac:dyDescent="0.25">
      <c r="A830" s="879"/>
      <c r="B830" s="1133">
        <v>580</v>
      </c>
      <c r="C830" s="883">
        <v>1.0008034355567292</v>
      </c>
      <c r="D830" s="883">
        <v>1.0009799842555964</v>
      </c>
      <c r="E830" s="883">
        <v>1.0247228326676532</v>
      </c>
      <c r="F830" s="883">
        <v>1.0285037734134883</v>
      </c>
      <c r="G830" s="883">
        <v>0.99686166335734194</v>
      </c>
      <c r="H830" s="883">
        <v>0.99832883923245486</v>
      </c>
      <c r="I830" s="883">
        <v>0.98768477664034959</v>
      </c>
      <c r="K830">
        <v>1.6457032987296871</v>
      </c>
      <c r="L830">
        <v>0</v>
      </c>
      <c r="M830">
        <v>6.2548418860965804E-3</v>
      </c>
      <c r="N830">
        <v>0.12096049101398902</v>
      </c>
      <c r="O830">
        <v>3.0788927280242216E-2</v>
      </c>
      <c r="P830">
        <v>1.9097013229051961E-2</v>
      </c>
      <c r="Q830">
        <v>0</v>
      </c>
      <c r="R830">
        <v>6.2548418860965804E-3</v>
      </c>
      <c r="S830">
        <v>0.16641081295557453</v>
      </c>
      <c r="T830">
        <v>1.2192874825351538</v>
      </c>
      <c r="U830">
        <v>0</v>
      </c>
      <c r="V830">
        <v>1.5849535115440336E-2</v>
      </c>
      <c r="W830">
        <v>6.2892177246354014E-2</v>
      </c>
      <c r="X830">
        <v>-1.5339466212712861E-2</v>
      </c>
      <c r="Y830">
        <v>2.5756325566592818E-2</v>
      </c>
    </row>
    <row r="831" spans="1:25" x14ac:dyDescent="0.25">
      <c r="A831" s="879"/>
      <c r="B831" s="1133">
        <v>581</v>
      </c>
      <c r="C831" s="883">
        <v>0.95530120918118366</v>
      </c>
      <c r="D831" s="883">
        <v>0.99829682328512515</v>
      </c>
      <c r="E831" s="883">
        <v>1.019817547664859</v>
      </c>
      <c r="F831" s="883">
        <v>1.0255581898670545</v>
      </c>
      <c r="G831" s="883">
        <v>1.0028452185793406</v>
      </c>
      <c r="H831" s="883">
        <v>1.0201529786788288</v>
      </c>
      <c r="I831" s="883">
        <v>1.0417530416263754</v>
      </c>
      <c r="K831">
        <v>1.6763078451300912</v>
      </c>
      <c r="L831">
        <v>0</v>
      </c>
      <c r="M831">
        <v>6.7328961411216451E-3</v>
      </c>
      <c r="N831">
        <v>0.12926419969793818</v>
      </c>
      <c r="O831">
        <v>3.2294798612309293E-2</v>
      </c>
      <c r="P831">
        <v>1.9241582600686993E-2</v>
      </c>
      <c r="Q831">
        <v>0</v>
      </c>
      <c r="R831">
        <v>6.7328961411216451E-3</v>
      </c>
      <c r="S831">
        <v>0.18528572938398996</v>
      </c>
      <c r="T831">
        <v>1.2158885059358824</v>
      </c>
      <c r="U831">
        <v>0</v>
      </c>
      <c r="V831">
        <v>1.6108994612999847E-2</v>
      </c>
      <c r="W831">
        <v>6.7372050953945592E-2</v>
      </c>
      <c r="X831">
        <v>-1.6872884565961924E-2</v>
      </c>
      <c r="Y831">
        <v>2.7724867898300684E-2</v>
      </c>
    </row>
    <row r="832" spans="1:25" x14ac:dyDescent="0.25">
      <c r="A832" s="879"/>
      <c r="B832" s="1133">
        <v>582</v>
      </c>
      <c r="C832" s="883">
        <v>0.96014489508481649</v>
      </c>
      <c r="D832" s="883">
        <v>1.0358954570223449</v>
      </c>
      <c r="E832" s="883">
        <v>1.0278945255416525</v>
      </c>
      <c r="F832" s="883">
        <v>0.99068793510866671</v>
      </c>
      <c r="G832" s="883">
        <v>0.99708408722741648</v>
      </c>
      <c r="H832" s="883">
        <v>1.0330428027351943</v>
      </c>
      <c r="I832" s="883">
        <v>1.0017933546019206</v>
      </c>
      <c r="K832">
        <v>1.6243682683344716</v>
      </c>
      <c r="L832">
        <v>0</v>
      </c>
      <c r="M832">
        <v>6.6256945250980307E-3</v>
      </c>
      <c r="N832">
        <v>0.12873460654638699</v>
      </c>
      <c r="O832">
        <v>3.1652564473984145E-2</v>
      </c>
      <c r="P832">
        <v>1.8685997751429737E-2</v>
      </c>
      <c r="Q832">
        <v>0</v>
      </c>
      <c r="R832">
        <v>6.6256945250980307E-3</v>
      </c>
      <c r="S832">
        <v>0.17765655951143589</v>
      </c>
      <c r="T832">
        <v>1.1743989108089168</v>
      </c>
      <c r="U832">
        <v>0</v>
      </c>
      <c r="V832">
        <v>1.6080205723734656E-2</v>
      </c>
      <c r="W832">
        <v>6.6830024774787833E-2</v>
      </c>
      <c r="X832">
        <v>-1.6954031980896435E-2</v>
      </c>
      <c r="Y832">
        <v>2.7283430724691773E-2</v>
      </c>
    </row>
    <row r="833" spans="1:25" x14ac:dyDescent="0.25">
      <c r="A833" s="879"/>
      <c r="B833" s="1133">
        <v>583</v>
      </c>
      <c r="C833" s="883">
        <v>1.0044797737830733</v>
      </c>
      <c r="D833" s="883">
        <v>1.0080974415136144</v>
      </c>
      <c r="E833" s="883">
        <v>1.0162438237885048</v>
      </c>
      <c r="F833" s="883">
        <v>1.0059404534985743</v>
      </c>
      <c r="G833" s="883">
        <v>1.0152559755843968</v>
      </c>
      <c r="H833" s="883">
        <v>1.0216704089715147</v>
      </c>
      <c r="I833" s="883">
        <v>1.005090216950816</v>
      </c>
      <c r="K833">
        <v>1.6245119264699563</v>
      </c>
      <c r="L833">
        <v>0</v>
      </c>
      <c r="M833">
        <v>6.4049080732626875E-3</v>
      </c>
      <c r="N833">
        <v>0.12231873556603746</v>
      </c>
      <c r="O833">
        <v>3.0597085546156994E-2</v>
      </c>
      <c r="P833">
        <v>1.8665216753367003E-2</v>
      </c>
      <c r="Q833">
        <v>0</v>
      </c>
      <c r="R833">
        <v>6.4049080732626875E-3</v>
      </c>
      <c r="S833">
        <v>0.16999268687565236</v>
      </c>
      <c r="T833">
        <v>1.1926964993665279</v>
      </c>
      <c r="U833">
        <v>0</v>
      </c>
      <c r="V833">
        <v>1.5829598496075931E-2</v>
      </c>
      <c r="W833">
        <v>6.3864517219801034E-2</v>
      </c>
      <c r="X833">
        <v>-1.5826684768219766E-2</v>
      </c>
      <c r="Y833">
        <v>2.6374271414557261E-2</v>
      </c>
    </row>
    <row r="834" spans="1:25" x14ac:dyDescent="0.25">
      <c r="A834" s="879"/>
      <c r="B834" s="1133">
        <v>584</v>
      </c>
      <c r="C834" s="883">
        <v>1.0151854317781948</v>
      </c>
      <c r="D834" s="883">
        <v>1.0162605316854241</v>
      </c>
      <c r="E834" s="883">
        <v>0.99239327219202045</v>
      </c>
      <c r="F834" s="883">
        <v>0.97967066740043662</v>
      </c>
      <c r="G834" s="883">
        <v>1.0202262047503405</v>
      </c>
      <c r="H834" s="883">
        <v>1.0125204176257021</v>
      </c>
      <c r="I834" s="883">
        <v>0.97654014498208486</v>
      </c>
      <c r="K834">
        <v>1.5795578826407826</v>
      </c>
      <c r="L834">
        <v>0</v>
      </c>
      <c r="M834">
        <v>6.3898883552874789E-3</v>
      </c>
      <c r="N834">
        <v>0.11779661996760853</v>
      </c>
      <c r="O834">
        <v>3.019707862115906E-2</v>
      </c>
      <c r="P834">
        <v>1.7827345401733165E-2</v>
      </c>
      <c r="Q834">
        <v>0</v>
      </c>
      <c r="R834">
        <v>6.3898883552874789E-3</v>
      </c>
      <c r="S834">
        <v>0.16280936626710854</v>
      </c>
      <c r="T834">
        <v>1.1619834566305303</v>
      </c>
      <c r="U834">
        <v>0</v>
      </c>
      <c r="V834">
        <v>1.5772364662922759E-2</v>
      </c>
      <c r="W834">
        <v>6.2234993250432934E-2</v>
      </c>
      <c r="X834">
        <v>-1.5375765050059557E-2</v>
      </c>
      <c r="Y834">
        <v>2.6312422889345492E-2</v>
      </c>
    </row>
    <row r="835" spans="1:25" x14ac:dyDescent="0.25">
      <c r="A835" s="879"/>
      <c r="B835" s="1133">
        <v>585</v>
      </c>
      <c r="C835" s="883">
        <v>0.98731925065279458</v>
      </c>
      <c r="D835" s="883">
        <v>1.0119419209373119</v>
      </c>
      <c r="E835" s="883">
        <v>0.99725119573721932</v>
      </c>
      <c r="F835" s="883">
        <v>0.97640267016364968</v>
      </c>
      <c r="G835" s="883">
        <v>1.0148102327626458</v>
      </c>
      <c r="H835" s="883">
        <v>1.0323333298775026</v>
      </c>
      <c r="I835" s="883">
        <v>1.0209989038783718</v>
      </c>
      <c r="K835">
        <v>1.5998541017556338</v>
      </c>
      <c r="L835">
        <v>0</v>
      </c>
      <c r="M835">
        <v>6.6831237077044315E-3</v>
      </c>
      <c r="N835">
        <v>0.12409258816699659</v>
      </c>
      <c r="O835">
        <v>3.1098204585794015E-2</v>
      </c>
      <c r="P835">
        <v>1.8022330231892265E-2</v>
      </c>
      <c r="Q835">
        <v>0</v>
      </c>
      <c r="R835">
        <v>6.6831237077044315E-3</v>
      </c>
      <c r="S835">
        <v>0.17625792510303837</v>
      </c>
      <c r="T835">
        <v>1.158019035414805</v>
      </c>
      <c r="U835">
        <v>0</v>
      </c>
      <c r="V835">
        <v>1.5923930218159871E-2</v>
      </c>
      <c r="W835">
        <v>6.540299828638324E-2</v>
      </c>
      <c r="X835">
        <v>-1.6482824128086944E-2</v>
      </c>
      <c r="Y835">
        <v>2.7519913876651484E-2</v>
      </c>
    </row>
    <row r="836" spans="1:25" x14ac:dyDescent="0.25">
      <c r="A836" s="879"/>
      <c r="B836" s="1133">
        <v>586</v>
      </c>
      <c r="C836" s="883">
        <v>1.0199856319225067</v>
      </c>
      <c r="D836" s="883">
        <v>0.99397049671208826</v>
      </c>
      <c r="E836" s="883">
        <v>0.97850767200585875</v>
      </c>
      <c r="F836" s="883">
        <v>0.96052279361533832</v>
      </c>
      <c r="G836" s="883">
        <v>0.9872883780929963</v>
      </c>
      <c r="H836" s="883">
        <v>0.95958019269725958</v>
      </c>
      <c r="I836" s="883">
        <v>1.0410082033067123</v>
      </c>
      <c r="K836">
        <v>1.5544315427051234</v>
      </c>
      <c r="L836">
        <v>0</v>
      </c>
      <c r="M836">
        <v>6.1613587644188776E-3</v>
      </c>
      <c r="N836">
        <v>0.11126855097032148</v>
      </c>
      <c r="O836">
        <v>3.0333805877029111E-2</v>
      </c>
      <c r="P836">
        <v>1.7434912970534188E-2</v>
      </c>
      <c r="Q836">
        <v>0</v>
      </c>
      <c r="R836">
        <v>6.1613587644188776E-3</v>
      </c>
      <c r="S836">
        <v>0.16982004114959129</v>
      </c>
      <c r="T836">
        <v>1.139520967740727</v>
      </c>
      <c r="U836">
        <v>0</v>
      </c>
      <c r="V836">
        <v>1.574709229382731E-2</v>
      </c>
      <c r="W836">
        <v>5.9195273972506221E-2</v>
      </c>
      <c r="X836">
        <v>-1.4260480980312089E-2</v>
      </c>
      <c r="Y836">
        <v>2.5371378710899398E-2</v>
      </c>
    </row>
    <row r="837" spans="1:25" x14ac:dyDescent="0.25">
      <c r="A837" s="879"/>
      <c r="B837" s="1133">
        <v>587</v>
      </c>
      <c r="C837" s="883">
        <v>1.0171159337455933</v>
      </c>
      <c r="D837" s="883">
        <v>1.0043739443625823</v>
      </c>
      <c r="E837" s="883">
        <v>0.9785769895973343</v>
      </c>
      <c r="F837" s="883">
        <v>0.99382742018227632</v>
      </c>
      <c r="G837" s="883">
        <v>1.0360899377305179</v>
      </c>
      <c r="H837" s="883">
        <v>0.99726380022170991</v>
      </c>
      <c r="I837" s="883">
        <v>0.96788066775219606</v>
      </c>
      <c r="K837">
        <v>1.5914290429291753</v>
      </c>
      <c r="L837">
        <v>0</v>
      </c>
      <c r="M837">
        <v>6.3912466061734445E-3</v>
      </c>
      <c r="N837">
        <v>0.11543198917228793</v>
      </c>
      <c r="O837">
        <v>3.0292906835122414E-2</v>
      </c>
      <c r="P837">
        <v>1.7830578482295995E-2</v>
      </c>
      <c r="Q837">
        <v>0</v>
      </c>
      <c r="R837">
        <v>6.3912466061734445E-3</v>
      </c>
      <c r="S837">
        <v>0.16032049701751533</v>
      </c>
      <c r="T837">
        <v>1.1790307894369327</v>
      </c>
      <c r="U837">
        <v>0</v>
      </c>
      <c r="V837">
        <v>1.5762172169149175E-2</v>
      </c>
      <c r="W837">
        <v>6.1408105584601566E-2</v>
      </c>
      <c r="X837">
        <v>-1.496601169346441E-2</v>
      </c>
      <c r="Y837">
        <v>2.6318015924734262E-2</v>
      </c>
    </row>
    <row r="838" spans="1:25" x14ac:dyDescent="0.25">
      <c r="A838" s="879"/>
      <c r="B838" s="1133">
        <v>588</v>
      </c>
      <c r="C838" s="883">
        <v>0.9962478286280968</v>
      </c>
      <c r="D838" s="883">
        <v>0.96669915173763243</v>
      </c>
      <c r="E838" s="883">
        <v>1.0034768608711779</v>
      </c>
      <c r="F838" s="883">
        <v>0.99436627747036632</v>
      </c>
      <c r="G838" s="883">
        <v>1.0025143552797371</v>
      </c>
      <c r="H838" s="883">
        <v>0.98293628476564476</v>
      </c>
      <c r="I838" s="883">
        <v>0.99803930067992008</v>
      </c>
      <c r="K838">
        <v>1.6069601223569607</v>
      </c>
      <c r="L838">
        <v>0</v>
      </c>
      <c r="M838">
        <v>6.4014590002409669E-3</v>
      </c>
      <c r="N838">
        <v>0.11996395933873656</v>
      </c>
      <c r="O838">
        <v>3.1383151108568312E-2</v>
      </c>
      <c r="P838">
        <v>1.828484655207788E-2</v>
      </c>
      <c r="Q838">
        <v>0</v>
      </c>
      <c r="R838">
        <v>6.4014590002409669E-3</v>
      </c>
      <c r="S838">
        <v>0.16835783857703551</v>
      </c>
      <c r="T838">
        <v>1.17920893055526</v>
      </c>
      <c r="U838">
        <v>0</v>
      </c>
      <c r="V838">
        <v>1.5874444104988963E-2</v>
      </c>
      <c r="W838">
        <v>6.3031845268434847E-2</v>
      </c>
      <c r="X838">
        <v>-1.5504961893908089E-2</v>
      </c>
      <c r="Y838">
        <v>2.6360068745765936E-2</v>
      </c>
    </row>
    <row r="839" spans="1:25" x14ac:dyDescent="0.25">
      <c r="A839" s="879"/>
      <c r="B839" s="1133">
        <v>589</v>
      </c>
      <c r="C839" s="883">
        <v>1.0207333089774646</v>
      </c>
      <c r="D839" s="883">
        <v>0.98721177192389953</v>
      </c>
      <c r="E839" s="883">
        <v>1.015506218226383</v>
      </c>
      <c r="F839" s="883">
        <v>1.0153869421533332</v>
      </c>
      <c r="G839" s="883">
        <v>1.0354729991034026</v>
      </c>
      <c r="H839" s="883">
        <v>1.0202938854209451</v>
      </c>
      <c r="I839" s="883">
        <v>1.0337080013455953</v>
      </c>
      <c r="K839">
        <v>1.6362753258198852</v>
      </c>
      <c r="L839">
        <v>0</v>
      </c>
      <c r="M839">
        <v>6.3575916636361236E-3</v>
      </c>
      <c r="N839">
        <v>0.1212826549174682</v>
      </c>
      <c r="O839">
        <v>3.0363733735987688E-2</v>
      </c>
      <c r="P839">
        <v>1.8835331294528627E-2</v>
      </c>
      <c r="Q839">
        <v>0</v>
      </c>
      <c r="R839">
        <v>6.3575916636361236E-3</v>
      </c>
      <c r="S839">
        <v>0.17219516638909532</v>
      </c>
      <c r="T839">
        <v>1.203910625862243</v>
      </c>
      <c r="U839">
        <v>0</v>
      </c>
      <c r="V839">
        <v>1.5743177275920069E-2</v>
      </c>
      <c r="W839">
        <v>6.3346614309996468E-2</v>
      </c>
      <c r="X839">
        <v>-1.5581408827076367E-2</v>
      </c>
      <c r="Y839">
        <v>2.6179430861722034E-2</v>
      </c>
    </row>
    <row r="840" spans="1:25" x14ac:dyDescent="0.25">
      <c r="A840" s="879"/>
      <c r="B840" s="1133">
        <v>590</v>
      </c>
      <c r="C840" s="883">
        <v>1.0152221784440671</v>
      </c>
      <c r="D840" s="883">
        <v>0.99614814879597935</v>
      </c>
      <c r="E840" s="883">
        <v>0.99594446049823238</v>
      </c>
      <c r="F840" s="883">
        <v>0.98516966274611217</v>
      </c>
      <c r="G840" s="883">
        <v>1.0246427372156846</v>
      </c>
      <c r="H840" s="883">
        <v>1.0120246697900361</v>
      </c>
      <c r="I840" s="883">
        <v>1.0113714679306356</v>
      </c>
      <c r="K840">
        <v>1.5942477524043328</v>
      </c>
      <c r="L840">
        <v>0</v>
      </c>
      <c r="M840">
        <v>6.4237587349233738E-3</v>
      </c>
      <c r="N840">
        <v>0.11904594292905094</v>
      </c>
      <c r="O840">
        <v>3.0435466878118218E-2</v>
      </c>
      <c r="P840">
        <v>1.8041622982687498E-2</v>
      </c>
      <c r="Q840">
        <v>0</v>
      </c>
      <c r="R840">
        <v>6.4237587349233738E-3</v>
      </c>
      <c r="S840">
        <v>0.16879199980954296</v>
      </c>
      <c r="T840">
        <v>1.1684406827376368</v>
      </c>
      <c r="U840">
        <v>0</v>
      </c>
      <c r="V840">
        <v>1.5772170289220025E-2</v>
      </c>
      <c r="W840">
        <v>6.2783952182373898E-2</v>
      </c>
      <c r="X840">
        <v>-1.5515980488280583E-2</v>
      </c>
      <c r="Y840">
        <v>2.6451895083983271E-2</v>
      </c>
    </row>
    <row r="841" spans="1:25" x14ac:dyDescent="0.25">
      <c r="A841" s="879"/>
      <c r="B841" s="1133">
        <v>591</v>
      </c>
      <c r="C841" s="883">
        <v>0.95390521871573042</v>
      </c>
      <c r="D841" s="883">
        <v>0.9802524646367794</v>
      </c>
      <c r="E841" s="883">
        <v>1.00668093695783</v>
      </c>
      <c r="F841" s="883">
        <v>0.99070861269476795</v>
      </c>
      <c r="G841" s="883">
        <v>1.0031953161952649</v>
      </c>
      <c r="H841" s="883">
        <v>1.0189783558516181</v>
      </c>
      <c r="I841" s="883">
        <v>0.99842590162130751</v>
      </c>
      <c r="K841">
        <v>1.6281023879333774</v>
      </c>
      <c r="L841">
        <v>0</v>
      </c>
      <c r="M841">
        <v>6.8685216500285612E-3</v>
      </c>
      <c r="N841">
        <v>0.12932897006582184</v>
      </c>
      <c r="O841">
        <v>3.2591248193901905E-2</v>
      </c>
      <c r="P841">
        <v>1.8402587823359431E-2</v>
      </c>
      <c r="Q841">
        <v>0</v>
      </c>
      <c r="R841">
        <v>6.8685216500285612E-3</v>
      </c>
      <c r="S841">
        <v>0.17796055253459658</v>
      </c>
      <c r="T841">
        <v>1.17481241838524</v>
      </c>
      <c r="U841">
        <v>0</v>
      </c>
      <c r="V841">
        <v>1.6117346083297169E-2</v>
      </c>
      <c r="W841">
        <v>6.7844619276594839E-2</v>
      </c>
      <c r="X841">
        <v>-1.7238704032973458E-2</v>
      </c>
      <c r="Y841">
        <v>2.8283349603538694E-2</v>
      </c>
    </row>
    <row r="842" spans="1:25" x14ac:dyDescent="0.25">
      <c r="A842" s="879"/>
      <c r="B842" s="1133">
        <v>592</v>
      </c>
      <c r="C842" s="883">
        <v>1.0093491949481206</v>
      </c>
      <c r="D842" s="883">
        <v>1.0163386799702783</v>
      </c>
      <c r="E842" s="883">
        <v>1.0095439880780395</v>
      </c>
      <c r="F842" s="883">
        <v>0.98274572456776432</v>
      </c>
      <c r="G842" s="883">
        <v>1.0422837370053619</v>
      </c>
      <c r="H842" s="883">
        <v>1.0170559923566296</v>
      </c>
      <c r="I842" s="883">
        <v>0.9686019257696763</v>
      </c>
      <c r="K842">
        <v>1.5860359587415005</v>
      </c>
      <c r="L842">
        <v>0</v>
      </c>
      <c r="M842">
        <v>6.35939786265728E-3</v>
      </c>
      <c r="N842">
        <v>0.12025122872575283</v>
      </c>
      <c r="O842">
        <v>3.0356331712184777E-2</v>
      </c>
      <c r="P842">
        <v>1.8104048187795173E-2</v>
      </c>
      <c r="Q842">
        <v>0</v>
      </c>
      <c r="R842">
        <v>6.35939786265728E-3</v>
      </c>
      <c r="S842">
        <v>0.16268717656337361</v>
      </c>
      <c r="T842">
        <v>1.1653175912738549</v>
      </c>
      <c r="U842">
        <v>0</v>
      </c>
      <c r="V842">
        <v>1.580341541545971E-2</v>
      </c>
      <c r="W842">
        <v>6.2993195320132214E-2</v>
      </c>
      <c r="X842">
        <v>-1.5663896924852583E-2</v>
      </c>
      <c r="Y842">
        <v>2.6186868467799707E-2</v>
      </c>
    </row>
    <row r="843" spans="1:25" x14ac:dyDescent="0.25">
      <c r="A843" s="879"/>
      <c r="B843" s="1133">
        <v>593</v>
      </c>
      <c r="C843" s="883">
        <v>0.98684920085540118</v>
      </c>
      <c r="D843" s="883">
        <v>1.0256899249411437</v>
      </c>
      <c r="E843" s="883">
        <v>0.9798842559480323</v>
      </c>
      <c r="F843" s="883">
        <v>1.020255105548088</v>
      </c>
      <c r="G843" s="883">
        <v>0.99142349834108989</v>
      </c>
      <c r="H843" s="883">
        <v>0.97502638354862259</v>
      </c>
      <c r="I843" s="883">
        <v>1.0447154117401747</v>
      </c>
      <c r="K843">
        <v>1.640732678793263</v>
      </c>
      <c r="L843">
        <v>0</v>
      </c>
      <c r="M843">
        <v>6.3731185408333977E-3</v>
      </c>
      <c r="N843">
        <v>0.11532806122880486</v>
      </c>
      <c r="O843">
        <v>3.0959775831623619E-2</v>
      </c>
      <c r="P843">
        <v>1.848054848523091E-2</v>
      </c>
      <c r="Q843">
        <v>0</v>
      </c>
      <c r="R843">
        <v>6.3731185408333977E-3</v>
      </c>
      <c r="S843">
        <v>0.17678879065270706</v>
      </c>
      <c r="T843">
        <v>1.2103584615935603</v>
      </c>
      <c r="U843">
        <v>0</v>
      </c>
      <c r="V843">
        <v>1.5926560253063528E-2</v>
      </c>
      <c r="W843">
        <v>6.1312658803128521E-2</v>
      </c>
      <c r="X843">
        <v>-1.4665545833194757E-2</v>
      </c>
      <c r="Y843">
        <v>2.6243367778339296E-2</v>
      </c>
    </row>
    <row r="844" spans="1:25" x14ac:dyDescent="0.25">
      <c r="A844" s="879"/>
      <c r="B844" s="1133">
        <v>594</v>
      </c>
      <c r="C844" s="883">
        <v>1.0137919781737266</v>
      </c>
      <c r="D844" s="883">
        <v>1.0148514209641148</v>
      </c>
      <c r="E844" s="883">
        <v>1.0108049346280614</v>
      </c>
      <c r="F844" s="883">
        <v>0.96417523053975507</v>
      </c>
      <c r="G844" s="883">
        <v>1.0204183553773116</v>
      </c>
      <c r="H844" s="883">
        <v>1.005294121839057</v>
      </c>
      <c r="I844" s="883">
        <v>0.98614393132044653</v>
      </c>
      <c r="K844">
        <v>1.562306563576384</v>
      </c>
      <c r="L844">
        <v>0</v>
      </c>
      <c r="M844">
        <v>6.2554906826175049E-3</v>
      </c>
      <c r="N844">
        <v>0.1185074323987008</v>
      </c>
      <c r="O844">
        <v>3.0239919886966327E-2</v>
      </c>
      <c r="P844">
        <v>1.78450157775898E-2</v>
      </c>
      <c r="Q844">
        <v>0</v>
      </c>
      <c r="R844">
        <v>6.2554906826175049E-3</v>
      </c>
      <c r="S844">
        <v>0.16426467525030183</v>
      </c>
      <c r="T844">
        <v>1.1432745795839103</v>
      </c>
      <c r="U844">
        <v>0</v>
      </c>
      <c r="V844">
        <v>1.5779745817950032E-2</v>
      </c>
      <c r="W844">
        <v>6.2041010796492234E-2</v>
      </c>
      <c r="X844">
        <v>-1.5404813130712819E-2</v>
      </c>
      <c r="Y844">
        <v>2.5758997195184499E-2</v>
      </c>
    </row>
    <row r="845" spans="1:25" x14ac:dyDescent="0.25">
      <c r="A845" s="879"/>
      <c r="B845" s="1133">
        <v>595</v>
      </c>
      <c r="C845" s="883">
        <v>1.0140037137249596</v>
      </c>
      <c r="D845" s="883">
        <v>1.0043069189987979</v>
      </c>
      <c r="E845" s="883">
        <v>1.0235259401974255</v>
      </c>
      <c r="F845" s="883">
        <v>1.0252505238670921</v>
      </c>
      <c r="G845" s="883">
        <v>0.99369164631904094</v>
      </c>
      <c r="H845" s="883">
        <v>0.99387971924654084</v>
      </c>
      <c r="I845" s="883">
        <v>1.0030285213968257</v>
      </c>
      <c r="K845">
        <v>1.637773904677857</v>
      </c>
      <c r="L845">
        <v>0</v>
      </c>
      <c r="M845">
        <v>6.1432527426905177E-3</v>
      </c>
      <c r="N845">
        <v>0.1185924066494474</v>
      </c>
      <c r="O845">
        <v>3.0348896550406693E-2</v>
      </c>
      <c r="P845">
        <v>1.9028222742340981E-2</v>
      </c>
      <c r="Q845">
        <v>0</v>
      </c>
      <c r="R845">
        <v>6.1432527426905177E-3</v>
      </c>
      <c r="S845">
        <v>0.16650698993275381</v>
      </c>
      <c r="T845">
        <v>1.215453442677801</v>
      </c>
      <c r="U845">
        <v>0</v>
      </c>
      <c r="V845">
        <v>1.577862294290824E-2</v>
      </c>
      <c r="W845">
        <v>6.1697219489493221E-2</v>
      </c>
      <c r="X845">
        <v>-1.4928717643469515E-2</v>
      </c>
      <c r="Y845">
        <v>2.5296821336173749E-2</v>
      </c>
    </row>
    <row r="846" spans="1:25" x14ac:dyDescent="0.25">
      <c r="A846" s="879"/>
      <c r="B846" s="1133">
        <v>596</v>
      </c>
      <c r="C846" s="883">
        <v>1.0029483044520036</v>
      </c>
      <c r="D846" s="883">
        <v>1.0220680858653275</v>
      </c>
      <c r="E846" s="883">
        <v>0.9573067565104818</v>
      </c>
      <c r="F846" s="883">
        <v>1.0017584997189906</v>
      </c>
      <c r="G846" s="883">
        <v>0.97960801695698951</v>
      </c>
      <c r="H846" s="883">
        <v>1.0175814993593038</v>
      </c>
      <c r="I846" s="883">
        <v>1.001665939599065</v>
      </c>
      <c r="K846">
        <v>1.6142328830708237</v>
      </c>
      <c r="L846">
        <v>0</v>
      </c>
      <c r="M846">
        <v>6.6849375077577032E-3</v>
      </c>
      <c r="N846">
        <v>0.1169822920757487</v>
      </c>
      <c r="O846">
        <v>3.0522883956257543E-2</v>
      </c>
      <c r="P846">
        <v>1.7780642432777362E-2</v>
      </c>
      <c r="Q846">
        <v>0</v>
      </c>
      <c r="R846">
        <v>6.6849375077577032E-3</v>
      </c>
      <c r="S846">
        <v>0.16923081623243064</v>
      </c>
      <c r="T846">
        <v>1.1888388348426011</v>
      </c>
      <c r="U846">
        <v>0</v>
      </c>
      <c r="V846">
        <v>1.5837885825459294E-2</v>
      </c>
      <c r="W846">
        <v>6.2902492187327991E-2</v>
      </c>
      <c r="X846">
        <v>-1.5390347264205247E-2</v>
      </c>
      <c r="Y846">
        <v>2.7527382782426481E-2</v>
      </c>
    </row>
    <row r="847" spans="1:25" x14ac:dyDescent="0.25">
      <c r="A847" s="879"/>
      <c r="B847" s="1133">
        <v>597</v>
      </c>
      <c r="C847" s="883">
        <v>1.0053265374916176</v>
      </c>
      <c r="D847" s="883">
        <v>1.0137660263114221</v>
      </c>
      <c r="E847" s="883">
        <v>1.0006262463595537</v>
      </c>
      <c r="F847" s="883">
        <v>0.96880206345032482</v>
      </c>
      <c r="G847" s="883">
        <v>1.0090859244384234</v>
      </c>
      <c r="H847" s="883">
        <v>1.0284125520648013</v>
      </c>
      <c r="I847" s="883">
        <v>0.96898654752079427</v>
      </c>
      <c r="K847">
        <v>1.5733810658333467</v>
      </c>
      <c r="L847">
        <v>0</v>
      </c>
      <c r="M847">
        <v>6.514010728220514E-3</v>
      </c>
      <c r="N847">
        <v>0.1215588233609205</v>
      </c>
      <c r="O847">
        <v>3.0516352102951397E-2</v>
      </c>
      <c r="P847">
        <v>1.7782149875388238E-2</v>
      </c>
      <c r="Q847">
        <v>0</v>
      </c>
      <c r="R847">
        <v>6.514010728220514E-3</v>
      </c>
      <c r="S847">
        <v>0.16404969911222572</v>
      </c>
      <c r="T847">
        <v>1.1489438888613923</v>
      </c>
      <c r="U847">
        <v>0</v>
      </c>
      <c r="V847">
        <v>1.5825027193857467E-2</v>
      </c>
      <c r="W847">
        <v>6.3960233215564863E-2</v>
      </c>
      <c r="X847">
        <v>-1.6078644617079564E-2</v>
      </c>
      <c r="Y847">
        <v>2.6823536728124948E-2</v>
      </c>
    </row>
    <row r="848" spans="1:25" x14ac:dyDescent="0.25">
      <c r="A848" s="879"/>
      <c r="B848" s="1133">
        <v>598</v>
      </c>
      <c r="C848" s="883">
        <v>0.98165707632717625</v>
      </c>
      <c r="D848" s="883">
        <v>0.9903901627948386</v>
      </c>
      <c r="E848" s="883">
        <v>0.991067262485816</v>
      </c>
      <c r="F848" s="883">
        <v>1.0020997158097678</v>
      </c>
      <c r="G848" s="883">
        <v>0.99233889496853012</v>
      </c>
      <c r="H848" s="883">
        <v>0.97866521837809328</v>
      </c>
      <c r="I848" s="883">
        <v>1.0193151121210655</v>
      </c>
      <c r="K848">
        <v>1.6216153893781107</v>
      </c>
      <c r="L848">
        <v>0</v>
      </c>
      <c r="M848">
        <v>6.4685357657197655E-3</v>
      </c>
      <c r="N848">
        <v>0.11901230486796921</v>
      </c>
      <c r="O848">
        <v>3.1553347998887912E-2</v>
      </c>
      <c r="P848">
        <v>1.8314002534861928E-2</v>
      </c>
      <c r="Q848">
        <v>0</v>
      </c>
      <c r="R848">
        <v>6.4685357657197655E-3</v>
      </c>
      <c r="S848">
        <v>0.17397597288393937</v>
      </c>
      <c r="T848">
        <v>1.1886112052236708</v>
      </c>
      <c r="U848">
        <v>0</v>
      </c>
      <c r="V848">
        <v>1.5955778929943362E-2</v>
      </c>
      <c r="W848">
        <v>6.2918832113255468E-2</v>
      </c>
      <c r="X848">
        <v>-1.536233410120616E-2</v>
      </c>
      <c r="Y848">
        <v>2.6636278926788447E-2</v>
      </c>
    </row>
    <row r="849" spans="1:25" x14ac:dyDescent="0.25">
      <c r="A849" s="879"/>
      <c r="B849" s="1133">
        <v>599</v>
      </c>
      <c r="C849" s="883">
        <v>0.99388220496811852</v>
      </c>
      <c r="D849" s="883">
        <v>0.9845264829540129</v>
      </c>
      <c r="E849" s="883">
        <v>1.0073613023587737</v>
      </c>
      <c r="F849" s="883">
        <v>0.97243001828136233</v>
      </c>
      <c r="G849" s="883">
        <v>0.99417894120589989</v>
      </c>
      <c r="H849" s="883">
        <v>0.97093105408370395</v>
      </c>
      <c r="I849" s="883">
        <v>0.95368221126329933</v>
      </c>
      <c r="K849">
        <v>1.5690945857324019</v>
      </c>
      <c r="L849">
        <v>0</v>
      </c>
      <c r="M849">
        <v>6.2654903132703171E-3</v>
      </c>
      <c r="N849">
        <v>0.11809326484303555</v>
      </c>
      <c r="O849">
        <v>3.122533937171627E-2</v>
      </c>
      <c r="P849">
        <v>1.7880863115297845E-2</v>
      </c>
      <c r="Q849">
        <v>0</v>
      </c>
      <c r="R849">
        <v>6.2654903132703171E-3</v>
      </c>
      <c r="S849">
        <v>0.16041110055901858</v>
      </c>
      <c r="T849">
        <v>1.1531248292151908</v>
      </c>
      <c r="U849">
        <v>0</v>
      </c>
      <c r="V849">
        <v>1.5887468854911158E-2</v>
      </c>
      <c r="W849">
        <v>6.1929617203413126E-2</v>
      </c>
      <c r="X849">
        <v>-1.5258071324527184E-2</v>
      </c>
      <c r="Y849">
        <v>2.5800173894344896E-2</v>
      </c>
    </row>
    <row r="850" spans="1:25" x14ac:dyDescent="0.25">
      <c r="A850" s="879"/>
      <c r="B850" s="1133">
        <v>600</v>
      </c>
      <c r="C850" s="883">
        <v>1.0053892732917959</v>
      </c>
      <c r="D850" s="883">
        <v>1.0290648696605007</v>
      </c>
      <c r="E850" s="883">
        <v>0.97552803302076263</v>
      </c>
      <c r="F850" s="883">
        <v>0.96701853101079061</v>
      </c>
      <c r="G850" s="883">
        <v>1.0387598033640544</v>
      </c>
      <c r="H850" s="883">
        <v>1.0190787343059733</v>
      </c>
      <c r="I850" s="883">
        <v>1.0052796716713117</v>
      </c>
      <c r="K850">
        <v>1.572430360967406</v>
      </c>
      <c r="L850">
        <v>0</v>
      </c>
      <c r="M850">
        <v>6.5534982201177119E-3</v>
      </c>
      <c r="N850">
        <v>0.11782806721975218</v>
      </c>
      <c r="O850">
        <v>3.0352317290272535E-2</v>
      </c>
      <c r="P850">
        <v>1.749297101311903E-2</v>
      </c>
      <c r="Q850">
        <v>0</v>
      </c>
      <c r="R850">
        <v>6.5534982201177119E-3</v>
      </c>
      <c r="S850">
        <v>0.16946506887956603</v>
      </c>
      <c r="T850">
        <v>1.1472810577148911</v>
      </c>
      <c r="U850">
        <v>0</v>
      </c>
      <c r="V850">
        <v>1.5824688817439567E-2</v>
      </c>
      <c r="W850">
        <v>6.2778666415717999E-2</v>
      </c>
      <c r="X850">
        <v>-1.5578615574598604E-2</v>
      </c>
      <c r="Y850">
        <v>2.698613919124606E-2</v>
      </c>
    </row>
    <row r="851" spans="1:25" x14ac:dyDescent="0.25">
      <c r="A851" s="879"/>
      <c r="B851" s="1133">
        <v>601</v>
      </c>
      <c r="C851" s="883">
        <v>1.0058939124389747</v>
      </c>
      <c r="D851" s="883">
        <v>1.0208748227893858</v>
      </c>
      <c r="E851" s="883">
        <v>1.0123745509521243</v>
      </c>
      <c r="F851" s="883">
        <v>0.9797862026403209</v>
      </c>
      <c r="G851" s="883">
        <v>0.98647047507017549</v>
      </c>
      <c r="H851" s="883">
        <v>0.96385741148656423</v>
      </c>
      <c r="I851" s="883">
        <v>0.97735292368936744</v>
      </c>
      <c r="K851">
        <v>1.5722287969939504</v>
      </c>
      <c r="L851">
        <v>0</v>
      </c>
      <c r="M851">
        <v>6.0205516051779658E-3</v>
      </c>
      <c r="N851">
        <v>0.11432192118102988</v>
      </c>
      <c r="O851">
        <v>3.0403930585601386E-2</v>
      </c>
      <c r="P851">
        <v>1.8081526364040933E-2</v>
      </c>
      <c r="Q851">
        <v>0</v>
      </c>
      <c r="R851">
        <v>6.0205516051779658E-3</v>
      </c>
      <c r="S851">
        <v>0.16170992498511016</v>
      </c>
      <c r="T851">
        <v>1.161756847643129</v>
      </c>
      <c r="U851">
        <v>0</v>
      </c>
      <c r="V851">
        <v>1.5821968493950553E-2</v>
      </c>
      <c r="W851">
        <v>5.9803395948118614E-2</v>
      </c>
      <c r="X851">
        <v>-1.4462278098914845E-2</v>
      </c>
      <c r="Y851">
        <v>2.4791559891885383E-2</v>
      </c>
    </row>
    <row r="852" spans="1:25" x14ac:dyDescent="0.25">
      <c r="A852" s="879"/>
      <c r="B852" s="1133">
        <v>602</v>
      </c>
      <c r="C852" s="883">
        <v>0.98378452460538102</v>
      </c>
      <c r="D852" s="883">
        <v>1.0009616089911886</v>
      </c>
      <c r="E852" s="883">
        <v>1.0264174144795217</v>
      </c>
      <c r="F852" s="883">
        <v>0.96928319436474464</v>
      </c>
      <c r="G852" s="883">
        <v>0.98205965205087786</v>
      </c>
      <c r="H852" s="883">
        <v>0.99232149911967649</v>
      </c>
      <c r="I852" s="883">
        <v>0.9741772151748167</v>
      </c>
      <c r="K852">
        <v>1.5772581336478639</v>
      </c>
      <c r="L852">
        <v>0</v>
      </c>
      <c r="M852">
        <v>6.3154281889460876E-3</v>
      </c>
      <c r="N852">
        <v>0.12243856698357886</v>
      </c>
      <c r="O852">
        <v>3.1320195074163337E-2</v>
      </c>
      <c r="P852">
        <v>1.8167332399248833E-2</v>
      </c>
      <c r="Q852">
        <v>0</v>
      </c>
      <c r="R852">
        <v>6.3154281889460876E-3</v>
      </c>
      <c r="S852">
        <v>0.16663161710235685</v>
      </c>
      <c r="T852">
        <v>1.1490513599702177</v>
      </c>
      <c r="U852">
        <v>0</v>
      </c>
      <c r="V852">
        <v>1.5943769420630343E-2</v>
      </c>
      <c r="W852">
        <v>6.3607690510507048E-2</v>
      </c>
      <c r="X852">
        <v>-1.5908206990608069E-2</v>
      </c>
      <c r="Y852">
        <v>2.6005809177767191E-2</v>
      </c>
    </row>
    <row r="853" spans="1:25" x14ac:dyDescent="0.25">
      <c r="A853" s="879"/>
      <c r="B853" s="1133">
        <v>603</v>
      </c>
      <c r="C853" s="883">
        <v>1.009206615813526</v>
      </c>
      <c r="D853" s="883">
        <v>1.0142003502179409</v>
      </c>
      <c r="E853" s="883">
        <v>1.0473292707214157</v>
      </c>
      <c r="F853" s="883">
        <v>1.0274152819429914</v>
      </c>
      <c r="G853" s="883">
        <v>1.0211944246944691</v>
      </c>
      <c r="H853" s="883">
        <v>1.0293624609348022</v>
      </c>
      <c r="I853" s="883">
        <v>1.019546118265547</v>
      </c>
      <c r="K853">
        <v>1.6538119265986835</v>
      </c>
      <c r="L853">
        <v>0</v>
      </c>
      <c r="M853">
        <v>6.2334622760320032E-3</v>
      </c>
      <c r="N853">
        <v>0.1246415375612558</v>
      </c>
      <c r="O853">
        <v>3.0351460888630416E-2</v>
      </c>
      <c r="P853">
        <v>1.9470531613207491E-2</v>
      </c>
      <c r="Q853">
        <v>0</v>
      </c>
      <c r="R853">
        <v>6.2334622760320032E-3</v>
      </c>
      <c r="S853">
        <v>0.17204785583587312</v>
      </c>
      <c r="T853">
        <v>1.2175691167893088</v>
      </c>
      <c r="U853">
        <v>0</v>
      </c>
      <c r="V853">
        <v>1.5804178478617644E-2</v>
      </c>
      <c r="W853">
        <v>6.4093088113920449E-2</v>
      </c>
      <c r="X853">
        <v>-1.5834130819905461E-2</v>
      </c>
      <c r="Y853">
        <v>2.5668288137775625E-2</v>
      </c>
    </row>
    <row r="854" spans="1:25" x14ac:dyDescent="0.25">
      <c r="A854" s="879"/>
      <c r="B854" s="1133">
        <v>604</v>
      </c>
      <c r="C854" s="883">
        <v>1.0009836857755365</v>
      </c>
      <c r="D854" s="883">
        <v>0.9840679139083135</v>
      </c>
      <c r="E854" s="883">
        <v>0.99754643768315743</v>
      </c>
      <c r="F854" s="883">
        <v>0.98525511348743411</v>
      </c>
      <c r="G854" s="883">
        <v>0.97971196552229289</v>
      </c>
      <c r="H854" s="883">
        <v>0.98694654514447533</v>
      </c>
      <c r="I854" s="883">
        <v>1.004297648742237</v>
      </c>
      <c r="K854">
        <v>1.5939774062982224</v>
      </c>
      <c r="L854">
        <v>0</v>
      </c>
      <c r="M854">
        <v>6.3794487236661845E-3</v>
      </c>
      <c r="N854">
        <v>0.11850576782592376</v>
      </c>
      <c r="O854">
        <v>3.101806001997065E-2</v>
      </c>
      <c r="P854">
        <v>1.8063800814839187E-2</v>
      </c>
      <c r="Q854">
        <v>0</v>
      </c>
      <c r="R854">
        <v>6.3794487236661845E-3</v>
      </c>
      <c r="S854">
        <v>0.16865861621052874</v>
      </c>
      <c r="T854">
        <v>1.1685126732244138</v>
      </c>
      <c r="U854">
        <v>0</v>
      </c>
      <c r="V854">
        <v>1.5848554212458531E-2</v>
      </c>
      <c r="W854">
        <v>6.24492974683626E-2</v>
      </c>
      <c r="X854">
        <v>-1.5348797822788657E-2</v>
      </c>
      <c r="Y854">
        <v>2.6269434344514168E-2</v>
      </c>
    </row>
    <row r="855" spans="1:25" x14ac:dyDescent="0.25">
      <c r="A855" s="879"/>
      <c r="B855" s="1133">
        <v>605</v>
      </c>
      <c r="C855" s="883">
        <v>1.0225989596377238</v>
      </c>
      <c r="D855" s="883">
        <v>1.0202990217654211</v>
      </c>
      <c r="E855" s="883">
        <v>1.0230953451780005</v>
      </c>
      <c r="F855" s="883">
        <v>0.98844835454253754</v>
      </c>
      <c r="G855" s="883">
        <v>0.96849812041780692</v>
      </c>
      <c r="H855" s="883">
        <v>1.0192556052232586</v>
      </c>
      <c r="I855" s="883">
        <v>0.9916430796541974</v>
      </c>
      <c r="K855">
        <v>1.5925324080207555</v>
      </c>
      <c r="L855">
        <v>0</v>
      </c>
      <c r="M855">
        <v>6.2056528672583622E-3</v>
      </c>
      <c r="N855">
        <v>0.11972074497334179</v>
      </c>
      <c r="O855">
        <v>2.9904618443288258E-2</v>
      </c>
      <c r="P855">
        <v>1.840061351008911E-2</v>
      </c>
      <c r="Q855">
        <v>0</v>
      </c>
      <c r="R855">
        <v>6.2056528672583622E-3</v>
      </c>
      <c r="S855">
        <v>0.16449721636990847</v>
      </c>
      <c r="T855">
        <v>1.1718316573536007</v>
      </c>
      <c r="U855">
        <v>0</v>
      </c>
      <c r="V855">
        <v>1.5733433243202397E-2</v>
      </c>
      <c r="W855">
        <v>6.2297427482425616E-2</v>
      </c>
      <c r="X855">
        <v>-1.5407077297438766E-2</v>
      </c>
      <c r="Y855">
        <v>2.5553773942335996E-2</v>
      </c>
    </row>
    <row r="856" spans="1:25" x14ac:dyDescent="0.25">
      <c r="A856" s="879"/>
      <c r="B856" s="1133">
        <v>606</v>
      </c>
      <c r="C856" s="883">
        <v>0.96720324109672784</v>
      </c>
      <c r="D856" s="883">
        <v>0.96173290495363695</v>
      </c>
      <c r="E856" s="883">
        <v>1.0231319690455376</v>
      </c>
      <c r="F856" s="883">
        <v>0.95482073515941035</v>
      </c>
      <c r="G856" s="883">
        <v>1.029400409673209</v>
      </c>
      <c r="H856" s="883">
        <v>0.98347326307356242</v>
      </c>
      <c r="I856" s="883">
        <v>0.97758580781977766</v>
      </c>
      <c r="K856">
        <v>1.5691761455174864</v>
      </c>
      <c r="L856">
        <v>0</v>
      </c>
      <c r="M856">
        <v>6.4997705838683792E-3</v>
      </c>
      <c r="N856">
        <v>0.12540171727576491</v>
      </c>
      <c r="O856">
        <v>3.2373869723083551E-2</v>
      </c>
      <c r="P856">
        <v>1.7937399074880612E-2</v>
      </c>
      <c r="Q856">
        <v>0</v>
      </c>
      <c r="R856">
        <v>6.4997705838683792E-3</v>
      </c>
      <c r="S856">
        <v>0.16996713659943222</v>
      </c>
      <c r="T856">
        <v>1.1319645791654704</v>
      </c>
      <c r="U856">
        <v>0</v>
      </c>
      <c r="V856">
        <v>1.6038770044252075E-2</v>
      </c>
      <c r="W856">
        <v>6.5252380720101422E-2</v>
      </c>
      <c r="X856">
        <v>-1.6524605433834084E-2</v>
      </c>
      <c r="Y856">
        <v>2.6764898348334069E-2</v>
      </c>
    </row>
    <row r="857" spans="1:25" x14ac:dyDescent="0.25">
      <c r="A857" s="879"/>
      <c r="B857" s="1133">
        <v>607</v>
      </c>
      <c r="C857" s="883">
        <v>1.0052607880146998</v>
      </c>
      <c r="D857" s="883">
        <v>1.0007987931067153</v>
      </c>
      <c r="E857" s="883">
        <v>0.99908560540920377</v>
      </c>
      <c r="F857" s="883">
        <v>0.99445141351878763</v>
      </c>
      <c r="G857" s="883">
        <v>1.0127530179494926</v>
      </c>
      <c r="H857" s="883">
        <v>0.96310795817939865</v>
      </c>
      <c r="I857" s="883">
        <v>0.99396989539658887</v>
      </c>
      <c r="K857">
        <v>1.5941879148063285</v>
      </c>
      <c r="L857">
        <v>0</v>
      </c>
      <c r="M857">
        <v>6.1441487626226017E-3</v>
      </c>
      <c r="N857">
        <v>0.11439537931519569</v>
      </c>
      <c r="O857">
        <v>3.0677210333986633E-2</v>
      </c>
      <c r="P857">
        <v>1.8176748118487594E-2</v>
      </c>
      <c r="Q857">
        <v>0</v>
      </c>
      <c r="R857">
        <v>6.1441487626226017E-3</v>
      </c>
      <c r="S857">
        <v>0.1646833964625633</v>
      </c>
      <c r="T857">
        <v>1.179391027690603</v>
      </c>
      <c r="U857">
        <v>0</v>
      </c>
      <c r="V857">
        <v>1.5825381870389919E-2</v>
      </c>
      <c r="W857">
        <v>6.0237140424817696E-2</v>
      </c>
      <c r="X857">
        <v>-1.449888039648406E-2</v>
      </c>
      <c r="Y857">
        <v>2.5300510986768467E-2</v>
      </c>
    </row>
    <row r="858" spans="1:25" x14ac:dyDescent="0.25">
      <c r="A858" s="879"/>
      <c r="B858" s="1133">
        <v>608</v>
      </c>
      <c r="C858" s="883">
        <v>1.0103036182011391</v>
      </c>
      <c r="D858" s="883">
        <v>0.95543053464851657</v>
      </c>
      <c r="E858" s="883">
        <v>0.97993182118037636</v>
      </c>
      <c r="F858" s="883">
        <v>1.0088121649422084</v>
      </c>
      <c r="G858" s="883">
        <v>0.98494743036072163</v>
      </c>
      <c r="H858" s="883">
        <v>0.99751283163907312</v>
      </c>
      <c r="I858" s="883">
        <v>0.99362028196899677</v>
      </c>
      <c r="K858">
        <v>1.621850977926637</v>
      </c>
      <c r="L858">
        <v>0</v>
      </c>
      <c r="M858">
        <v>6.5733784718802852E-3</v>
      </c>
      <c r="N858">
        <v>0.11896036331786949</v>
      </c>
      <c r="O858">
        <v>3.1111645209877588E-2</v>
      </c>
      <c r="P858">
        <v>1.816137410673806E-2</v>
      </c>
      <c r="Q858">
        <v>0</v>
      </c>
      <c r="R858">
        <v>6.5733784718802852E-3</v>
      </c>
      <c r="S858">
        <v>0.16622453634489215</v>
      </c>
      <c r="T858">
        <v>1.1967824705774757</v>
      </c>
      <c r="U858">
        <v>0</v>
      </c>
      <c r="V858">
        <v>1.5798313024841189E-2</v>
      </c>
      <c r="W858">
        <v>6.324221853443876E-2</v>
      </c>
      <c r="X858">
        <v>-1.5497945718947458E-2</v>
      </c>
      <c r="Y858">
        <v>2.7068002529451431E-2</v>
      </c>
    </row>
    <row r="859" spans="1:25" x14ac:dyDescent="0.25">
      <c r="A859" s="879"/>
      <c r="B859" s="1133">
        <v>609</v>
      </c>
      <c r="C859" s="883">
        <v>0.99893814809836878</v>
      </c>
      <c r="D859" s="883">
        <v>1.0034970581061893</v>
      </c>
      <c r="E859" s="883">
        <v>0.96491571082380811</v>
      </c>
      <c r="F859" s="883">
        <v>0.98278685939127952</v>
      </c>
      <c r="G859" s="883">
        <v>1.0296629078892685</v>
      </c>
      <c r="H859" s="883">
        <v>1.0014413551228938</v>
      </c>
      <c r="I859" s="883">
        <v>1.006559267745742</v>
      </c>
      <c r="K859">
        <v>1.592143902286437</v>
      </c>
      <c r="L859">
        <v>0</v>
      </c>
      <c r="M859">
        <v>6.615594069757055E-3</v>
      </c>
      <c r="N859">
        <v>0.11708502758977522</v>
      </c>
      <c r="O859">
        <v>3.0865419333035243E-2</v>
      </c>
      <c r="P859">
        <v>1.7602550278634107E-2</v>
      </c>
      <c r="Q859">
        <v>0</v>
      </c>
      <c r="R859">
        <v>6.615594069757055E-3</v>
      </c>
      <c r="S859">
        <v>0.16999893340084785</v>
      </c>
      <c r="T859">
        <v>1.1661839602033937</v>
      </c>
      <c r="U859">
        <v>0</v>
      </c>
      <c r="V859">
        <v>1.5859706601894574E-2</v>
      </c>
      <c r="W859">
        <v>6.2716476246407041E-2</v>
      </c>
      <c r="X859">
        <v>-1.5410010214961986E-2</v>
      </c>
      <c r="Y859">
        <v>2.7241838847411669E-2</v>
      </c>
    </row>
    <row r="860" spans="1:25" x14ac:dyDescent="0.25">
      <c r="A860" s="879"/>
      <c r="B860" s="1133">
        <v>610</v>
      </c>
      <c r="C860" s="883">
        <v>0.99206517167236541</v>
      </c>
      <c r="D860" s="883">
        <v>0.99402733321047809</v>
      </c>
      <c r="E860" s="883">
        <v>1.0127253218155829</v>
      </c>
      <c r="F860" s="883">
        <v>0.98151255292710438</v>
      </c>
      <c r="G860" s="883">
        <v>0.99969060805165222</v>
      </c>
      <c r="H860" s="883">
        <v>0.98042892657955938</v>
      </c>
      <c r="I860" s="883">
        <v>1.0019691458700977</v>
      </c>
      <c r="K860">
        <v>1.5906462297273849</v>
      </c>
      <c r="L860">
        <v>0</v>
      </c>
      <c r="M860">
        <v>6.2817218855848074E-3</v>
      </c>
      <c r="N860">
        <v>0.11934312665196672</v>
      </c>
      <c r="O860">
        <v>3.1157815410799022E-2</v>
      </c>
      <c r="P860">
        <v>1.8217683855915105E-2</v>
      </c>
      <c r="Q860">
        <v>0</v>
      </c>
      <c r="R860">
        <v>6.2817218855848074E-3</v>
      </c>
      <c r="S860">
        <v>0.16931198250493801</v>
      </c>
      <c r="T860">
        <v>1.1637974444464496</v>
      </c>
      <c r="U860">
        <v>0</v>
      </c>
      <c r="V860">
        <v>1.5897515332239175E-2</v>
      </c>
      <c r="W860">
        <v>6.2419239703236387E-2</v>
      </c>
      <c r="X860">
        <v>-1.5365590798183094E-2</v>
      </c>
      <c r="Y860">
        <v>2.5867012620023791E-2</v>
      </c>
    </row>
    <row r="861" spans="1:25" x14ac:dyDescent="0.25">
      <c r="A861" s="879"/>
      <c r="B861" s="1133">
        <v>611</v>
      </c>
      <c r="C861" s="883">
        <v>0.99604108886216747</v>
      </c>
      <c r="D861" s="883">
        <v>0.99060344462411321</v>
      </c>
      <c r="E861" s="883">
        <v>1.006617273985299</v>
      </c>
      <c r="F861" s="883">
        <v>0.95915003527144604</v>
      </c>
      <c r="G861" s="883">
        <v>1.0034621888972537</v>
      </c>
      <c r="H861" s="883">
        <v>1.0018645768605876</v>
      </c>
      <c r="I861" s="883">
        <v>0.9851241854547601</v>
      </c>
      <c r="K861">
        <v>1.5645121011355558</v>
      </c>
      <c r="L861">
        <v>0</v>
      </c>
      <c r="M861">
        <v>6.4375849785536874E-3</v>
      </c>
      <c r="N861">
        <v>0.12120333833792182</v>
      </c>
      <c r="O861">
        <v>3.108171573553796E-2</v>
      </c>
      <c r="P861">
        <v>1.7748787498292059E-2</v>
      </c>
      <c r="Q861">
        <v>0</v>
      </c>
      <c r="R861">
        <v>6.4375849785536874E-3</v>
      </c>
      <c r="S861">
        <v>0.1670624337275361</v>
      </c>
      <c r="T861">
        <v>1.1373904300815507</v>
      </c>
      <c r="U861">
        <v>0</v>
      </c>
      <c r="V861">
        <v>1.5875579914285384E-2</v>
      </c>
      <c r="W861">
        <v>6.3584003082449866E-2</v>
      </c>
      <c r="X861">
        <v>-1.5943016336291006E-2</v>
      </c>
      <c r="Y861">
        <v>2.6508829094273278E-2</v>
      </c>
    </row>
    <row r="862" spans="1:25" x14ac:dyDescent="0.25">
      <c r="A862" s="879"/>
      <c r="B862" s="1133">
        <v>612</v>
      </c>
      <c r="C862" s="883">
        <v>1.0165088871981074</v>
      </c>
      <c r="D862" s="883">
        <v>0.99535386097247902</v>
      </c>
      <c r="E862" s="883">
        <v>1.0218209432524437</v>
      </c>
      <c r="F862" s="883">
        <v>0.97144584015121438</v>
      </c>
      <c r="G862" s="883">
        <v>0.99671244712726315</v>
      </c>
      <c r="H862" s="883">
        <v>0.98028189689309897</v>
      </c>
      <c r="I862" s="883">
        <v>0.99088028374320214</v>
      </c>
      <c r="K862">
        <v>1.5673848446284515</v>
      </c>
      <c r="L862">
        <v>0</v>
      </c>
      <c r="M862">
        <v>6.0775281849742794E-3</v>
      </c>
      <c r="N862">
        <v>0.11702814643582712</v>
      </c>
      <c r="O862">
        <v>3.0384274931547828E-2</v>
      </c>
      <c r="P862">
        <v>1.8095010520542812E-2</v>
      </c>
      <c r="Q862">
        <v>0</v>
      </c>
      <c r="R862">
        <v>6.0775281849742794E-3</v>
      </c>
      <c r="S862">
        <v>0.16340033336786136</v>
      </c>
      <c r="T862">
        <v>1.1516976131934809</v>
      </c>
      <c r="U862">
        <v>0</v>
      </c>
      <c r="V862">
        <v>1.5765373027065894E-2</v>
      </c>
      <c r="W862">
        <v>6.0934519246593759E-2</v>
      </c>
      <c r="X862">
        <v>-1.4946605400501885E-2</v>
      </c>
      <c r="Y862">
        <v>2.5026179306033448E-2</v>
      </c>
    </row>
    <row r="863" spans="1:25" x14ac:dyDescent="0.25">
      <c r="A863" s="879"/>
      <c r="B863" s="1133">
        <v>613</v>
      </c>
      <c r="C863" s="883">
        <v>1.0297897785272692</v>
      </c>
      <c r="D863" s="883">
        <v>1.0060152803883922</v>
      </c>
      <c r="E863" s="883">
        <v>1.0061879799307099</v>
      </c>
      <c r="F863" s="883">
        <v>1.0060796415921807</v>
      </c>
      <c r="G863" s="883">
        <v>1.0086853307456438</v>
      </c>
      <c r="H863" s="883">
        <v>0.97755989604663862</v>
      </c>
      <c r="I863" s="883">
        <v>0.9640890200549439</v>
      </c>
      <c r="K863">
        <v>1.5973747655876183</v>
      </c>
      <c r="L863">
        <v>0</v>
      </c>
      <c r="M863">
        <v>6.0361234485998803E-3</v>
      </c>
      <c r="N863">
        <v>0.11357261974784633</v>
      </c>
      <c r="O863">
        <v>2.9878377976404052E-2</v>
      </c>
      <c r="P863">
        <v>1.8348547602271562E-2</v>
      </c>
      <c r="Q863">
        <v>0</v>
      </c>
      <c r="R863">
        <v>6.0361234485998803E-3</v>
      </c>
      <c r="S863">
        <v>0.1566728193480891</v>
      </c>
      <c r="T863">
        <v>1.1930490555706594</v>
      </c>
      <c r="U863">
        <v>0</v>
      </c>
      <c r="V863">
        <v>1.5696206892173624E-2</v>
      </c>
      <c r="W863">
        <v>5.9593552960711046E-2</v>
      </c>
      <c r="X863">
        <v>-1.4292096481950508E-2</v>
      </c>
      <c r="Y863">
        <v>2.4855681971412021E-2</v>
      </c>
    </row>
    <row r="864" spans="1:25" x14ac:dyDescent="0.25">
      <c r="A864" s="879"/>
      <c r="B864" s="1133">
        <v>614</v>
      </c>
      <c r="C864" s="883">
        <v>1.0224992980575691</v>
      </c>
      <c r="D864" s="883">
        <v>1.0330127477536561</v>
      </c>
      <c r="E864" s="883">
        <v>1.0062463078254917</v>
      </c>
      <c r="F864" s="883">
        <v>0.98620400529294616</v>
      </c>
      <c r="G864" s="883">
        <v>1.0026220255547831</v>
      </c>
      <c r="H864" s="883">
        <v>1.0479923469727463</v>
      </c>
      <c r="I864" s="883">
        <v>0.98536095714979</v>
      </c>
      <c r="K864">
        <v>1.5934443640058749</v>
      </c>
      <c r="L864">
        <v>0</v>
      </c>
      <c r="M864">
        <v>6.4403864564891349E-3</v>
      </c>
      <c r="N864">
        <v>0.12118949320450703</v>
      </c>
      <c r="O864">
        <v>2.9774289745509646E-2</v>
      </c>
      <c r="P864">
        <v>1.814412936206487E-2</v>
      </c>
      <c r="Q864">
        <v>0</v>
      </c>
      <c r="R864">
        <v>6.4403864564891349E-3</v>
      </c>
      <c r="S864">
        <v>0.16491471950055095</v>
      </c>
      <c r="T864">
        <v>1.1694786719379304</v>
      </c>
      <c r="U864">
        <v>0</v>
      </c>
      <c r="V864">
        <v>1.5733952862707103E-2</v>
      </c>
      <c r="W864">
        <v>6.358842319592152E-2</v>
      </c>
      <c r="X864">
        <v>-1.5899680885083697E-2</v>
      </c>
      <c r="Y864">
        <v>2.6520365081766965E-2</v>
      </c>
    </row>
    <row r="865" spans="1:25" x14ac:dyDescent="0.25">
      <c r="A865" s="879"/>
      <c r="B865" s="1133">
        <v>615</v>
      </c>
      <c r="C865" s="883">
        <v>1.0288183475561024</v>
      </c>
      <c r="D865" s="883">
        <v>0.96740190695467454</v>
      </c>
      <c r="E865" s="883">
        <v>0.97797010236944903</v>
      </c>
      <c r="F865" s="883">
        <v>1.0054586955828222</v>
      </c>
      <c r="G865" s="883">
        <v>1.0129380550004035</v>
      </c>
      <c r="H865" s="883">
        <v>1.041479899417495</v>
      </c>
      <c r="I865" s="883">
        <v>1.000346372039667</v>
      </c>
      <c r="K865">
        <v>1.6209842740177212</v>
      </c>
      <c r="L865">
        <v>0</v>
      </c>
      <c r="M865">
        <v>6.7136576165812102E-3</v>
      </c>
      <c r="N865">
        <v>0.12114589246086394</v>
      </c>
      <c r="O865">
        <v>3.0401488241636868E-2</v>
      </c>
      <c r="P865">
        <v>1.8087308598496631E-2</v>
      </c>
      <c r="Q865">
        <v>0</v>
      </c>
      <c r="R865">
        <v>6.7136576165812102E-3</v>
      </c>
      <c r="S865">
        <v>0.16671997332237182</v>
      </c>
      <c r="T865">
        <v>1.1928409940575944</v>
      </c>
      <c r="U865">
        <v>0</v>
      </c>
      <c r="V865">
        <v>1.5701205518924372E-2</v>
      </c>
      <c r="W865">
        <v>6.4467418208762145E-2</v>
      </c>
      <c r="X865">
        <v>-1.6025653469502382E-2</v>
      </c>
      <c r="Y865">
        <v>2.7645647078572887E-2</v>
      </c>
    </row>
    <row r="866" spans="1:25" x14ac:dyDescent="0.25">
      <c r="A866" s="879"/>
      <c r="B866" s="1133">
        <v>616</v>
      </c>
      <c r="C866" s="883">
        <v>0.99622701487980592</v>
      </c>
      <c r="D866" s="883">
        <v>0.98366696106638329</v>
      </c>
      <c r="E866" s="883">
        <v>1.0050134946932729</v>
      </c>
      <c r="F866" s="883">
        <v>0.97185059922536654</v>
      </c>
      <c r="G866" s="883">
        <v>0.9841245180421283</v>
      </c>
      <c r="H866" s="883">
        <v>0.97548270209779475</v>
      </c>
      <c r="I866" s="883">
        <v>1.0391331169044236</v>
      </c>
      <c r="K866">
        <v>1.5832035974283509</v>
      </c>
      <c r="L866">
        <v>0</v>
      </c>
      <c r="M866">
        <v>6.2954026468344934E-3</v>
      </c>
      <c r="N866">
        <v>0.11824524710910783</v>
      </c>
      <c r="O866">
        <v>3.1164791909178188E-2</v>
      </c>
      <c r="P866">
        <v>1.803199920303504E-2</v>
      </c>
      <c r="Q866">
        <v>0</v>
      </c>
      <c r="R866">
        <v>6.2954026468344934E-3</v>
      </c>
      <c r="S866">
        <v>0.17465624226797272</v>
      </c>
      <c r="T866">
        <v>1.1524800880507586</v>
      </c>
      <c r="U866">
        <v>0</v>
      </c>
      <c r="V866">
        <v>1.5874558432470549E-2</v>
      </c>
      <c r="W866">
        <v>6.2081480971047633E-2</v>
      </c>
      <c r="X866">
        <v>-1.5254158074986278E-2</v>
      </c>
      <c r="Y866">
        <v>2.5923347559765275E-2</v>
      </c>
    </row>
    <row r="867" spans="1:25" x14ac:dyDescent="0.25">
      <c r="A867" s="879"/>
      <c r="B867" s="1133">
        <v>617</v>
      </c>
      <c r="C867" s="883">
        <v>0.98164319448287685</v>
      </c>
      <c r="D867" s="883">
        <v>1.0093379141386472</v>
      </c>
      <c r="E867" s="883">
        <v>0.99547302531305559</v>
      </c>
      <c r="F867" s="883">
        <v>0.98625353028106166</v>
      </c>
      <c r="G867" s="883">
        <v>0.9822905260023318</v>
      </c>
      <c r="H867" s="883">
        <v>0.980686464461754</v>
      </c>
      <c r="I867" s="883">
        <v>0.98021021310418421</v>
      </c>
      <c r="K867">
        <v>1.5944052662767401</v>
      </c>
      <c r="L867">
        <v>0</v>
      </c>
      <c r="M867">
        <v>6.4027543108356021E-3</v>
      </c>
      <c r="N867">
        <v>0.11857381627696967</v>
      </c>
      <c r="O867">
        <v>3.1311790608986541E-2</v>
      </c>
      <c r="P867">
        <v>1.8034172974811906E-2</v>
      </c>
      <c r="Q867">
        <v>0</v>
      </c>
      <c r="R867">
        <v>6.4027543108356021E-3</v>
      </c>
      <c r="S867">
        <v>0.16724323079389025</v>
      </c>
      <c r="T867">
        <v>1.1697348320860304</v>
      </c>
      <c r="U867">
        <v>0</v>
      </c>
      <c r="V867">
        <v>1.5955857464310504E-2</v>
      </c>
      <c r="W867">
        <v>6.2549624833356104E-2</v>
      </c>
      <c r="X867">
        <v>-1.5363461365853466E-2</v>
      </c>
      <c r="Y867">
        <v>2.6365402604237947E-2</v>
      </c>
    </row>
    <row r="868" spans="1:25" x14ac:dyDescent="0.25">
      <c r="A868" s="879"/>
      <c r="B868" s="1133">
        <v>618</v>
      </c>
      <c r="C868" s="883">
        <v>0.97954947543026516</v>
      </c>
      <c r="D868" s="883">
        <v>0.99119128100180898</v>
      </c>
      <c r="E868" s="883">
        <v>0.99743808393569666</v>
      </c>
      <c r="F868" s="883">
        <v>0.97485757951943464</v>
      </c>
      <c r="G868" s="883">
        <v>1.0002524300620015</v>
      </c>
      <c r="H868" s="883">
        <v>0.9660519060144992</v>
      </c>
      <c r="I868" s="883">
        <v>0.99065114330742021</v>
      </c>
      <c r="K868">
        <v>1.5816719410230262</v>
      </c>
      <c r="L868">
        <v>0</v>
      </c>
      <c r="M868">
        <v>6.3611191195172721E-3</v>
      </c>
      <c r="N868">
        <v>0.11814630348529583</v>
      </c>
      <c r="O868">
        <v>3.1605566494352311E-2</v>
      </c>
      <c r="P868">
        <v>1.7899959998599165E-2</v>
      </c>
      <c r="Q868">
        <v>0</v>
      </c>
      <c r="R868">
        <v>6.3611191195172721E-3</v>
      </c>
      <c r="S868">
        <v>0.16870381113835486</v>
      </c>
      <c r="T868">
        <v>1.1561831611025908</v>
      </c>
      <c r="U868">
        <v>0</v>
      </c>
      <c r="V868">
        <v>1.5967727838505981E-2</v>
      </c>
      <c r="W868">
        <v>6.2263223456708129E-2</v>
      </c>
      <c r="X868">
        <v>-1.5291768788557267E-2</v>
      </c>
      <c r="Y868">
        <v>2.6193956297176857E-2</v>
      </c>
    </row>
    <row r="869" spans="1:25" x14ac:dyDescent="0.25">
      <c r="A869" s="879"/>
      <c r="B869" s="1133">
        <v>619</v>
      </c>
      <c r="C869" s="883">
        <v>1.009120569738305</v>
      </c>
      <c r="D869" s="883">
        <v>1.0082945018861231</v>
      </c>
      <c r="E869" s="883">
        <v>1.0057359252851084</v>
      </c>
      <c r="F869" s="883">
        <v>0.97732800623352345</v>
      </c>
      <c r="G869" s="883">
        <v>1.0301857608061427</v>
      </c>
      <c r="H869" s="883">
        <v>1.0396468696657895</v>
      </c>
      <c r="I869" s="883">
        <v>0.99985594858970428</v>
      </c>
      <c r="K869">
        <v>1.5910336897772634</v>
      </c>
      <c r="L869">
        <v>0</v>
      </c>
      <c r="M869">
        <v>6.5469574721212726E-3</v>
      </c>
      <c r="N869">
        <v>0.12310177839551197</v>
      </c>
      <c r="O869">
        <v>3.0463158786706961E-2</v>
      </c>
      <c r="P869">
        <v>1.8056482119066592E-2</v>
      </c>
      <c r="Q869">
        <v>0</v>
      </c>
      <c r="R869">
        <v>6.5469574721212726E-3</v>
      </c>
      <c r="S869">
        <v>0.16934527507190372</v>
      </c>
      <c r="T869">
        <v>1.1589624279837751</v>
      </c>
      <c r="U869">
        <v>0</v>
      </c>
      <c r="V869">
        <v>1.5804639089250529E-2</v>
      </c>
      <c r="W869">
        <v>6.4608138240865795E-2</v>
      </c>
      <c r="X869">
        <v>-1.6267415465022986E-2</v>
      </c>
      <c r="Y869">
        <v>2.6959205555206468E-2</v>
      </c>
    </row>
    <row r="870" spans="1:25" x14ac:dyDescent="0.25">
      <c r="A870" s="879"/>
      <c r="B870" s="1133">
        <v>620</v>
      </c>
      <c r="C870" s="883">
        <v>0.99595317343794665</v>
      </c>
      <c r="D870" s="883">
        <v>1.02410801305414</v>
      </c>
      <c r="E870" s="883">
        <v>0.99626878942565422</v>
      </c>
      <c r="F870" s="883">
        <v>0.99146863528641904</v>
      </c>
      <c r="G870" s="883">
        <v>0.99218531958461242</v>
      </c>
      <c r="H870" s="883">
        <v>0.95680808303152332</v>
      </c>
      <c r="I870" s="883">
        <v>0.99544175590503425</v>
      </c>
      <c r="K870">
        <v>1.590427067815142</v>
      </c>
      <c r="L870">
        <v>0</v>
      </c>
      <c r="M870">
        <v>6.1131207992034097E-3</v>
      </c>
      <c r="N870">
        <v>0.11334362258388155</v>
      </c>
      <c r="O870">
        <v>3.0682416989049176E-2</v>
      </c>
      <c r="P870">
        <v>1.8108330114771823E-2</v>
      </c>
      <c r="Q870">
        <v>0</v>
      </c>
      <c r="R870">
        <v>6.1131207992034097E-3</v>
      </c>
      <c r="S870">
        <v>0.1658976456629796</v>
      </c>
      <c r="T870">
        <v>1.1759054707553664</v>
      </c>
      <c r="U870">
        <v>0</v>
      </c>
      <c r="V870">
        <v>1.5876063056452415E-2</v>
      </c>
      <c r="W870">
        <v>5.9766947565672746E-2</v>
      </c>
      <c r="X870">
        <v>-1.432617226921119E-2</v>
      </c>
      <c r="Y870">
        <v>2.517274335617984E-2</v>
      </c>
    </row>
    <row r="871" spans="1:25" x14ac:dyDescent="0.25">
      <c r="A871" s="879"/>
      <c r="B871" s="1133">
        <v>621</v>
      </c>
      <c r="C871" s="883">
        <v>0.9854454025714926</v>
      </c>
      <c r="D871" s="883">
        <v>1.026902060825293</v>
      </c>
      <c r="E871" s="883">
        <v>0.96952714829971087</v>
      </c>
      <c r="F871" s="883">
        <v>1.0010367513374578</v>
      </c>
      <c r="G871" s="883">
        <v>1.0099198006080836</v>
      </c>
      <c r="H871" s="883">
        <v>1.0326745864598532</v>
      </c>
      <c r="I871" s="883">
        <v>0.97569874339511176</v>
      </c>
      <c r="K871">
        <v>1.6195322216065751</v>
      </c>
      <c r="L871">
        <v>0</v>
      </c>
      <c r="M871">
        <v>6.8172199867765279E-3</v>
      </c>
      <c r="N871">
        <v>0.1214825889926099</v>
      </c>
      <c r="O871">
        <v>3.0997314829531525E-2</v>
      </c>
      <c r="P871">
        <v>1.7930333581142745E-2</v>
      </c>
      <c r="Q871">
        <v>0</v>
      </c>
      <c r="R871">
        <v>6.8172199867765279E-3</v>
      </c>
      <c r="S871">
        <v>0.16859309758387345</v>
      </c>
      <c r="T871">
        <v>1.1877529983757809</v>
      </c>
      <c r="U871">
        <v>0</v>
      </c>
      <c r="V871">
        <v>1.5934429757538743E-2</v>
      </c>
      <c r="W871">
        <v>6.492116277319307E-2</v>
      </c>
      <c r="X871">
        <v>-1.6151802772719132E-2</v>
      </c>
      <c r="Y871">
        <v>2.807209848562248E-2</v>
      </c>
    </row>
    <row r="872" spans="1:25" x14ac:dyDescent="0.25">
      <c r="A872" s="879"/>
      <c r="B872" s="1133">
        <v>622</v>
      </c>
      <c r="C872" s="883">
        <v>1.0074809934845803</v>
      </c>
      <c r="D872" s="883">
        <v>1.0193834120267768</v>
      </c>
      <c r="E872" s="883">
        <v>1.024187425392173</v>
      </c>
      <c r="F872" s="883">
        <v>0.95902706573002072</v>
      </c>
      <c r="G872" s="883">
        <v>1.0151701898184522</v>
      </c>
      <c r="H872" s="883">
        <v>1.0302453300083636</v>
      </c>
      <c r="I872" s="883">
        <v>1.0308772416233509</v>
      </c>
      <c r="K872">
        <v>1.5723914191956065</v>
      </c>
      <c r="L872">
        <v>0</v>
      </c>
      <c r="M872">
        <v>6.3631454633452395E-3</v>
      </c>
      <c r="N872">
        <v>0.12295754943293931</v>
      </c>
      <c r="O872">
        <v>3.0363271599290059E-2</v>
      </c>
      <c r="P872">
        <v>1.8074173510672687E-2</v>
      </c>
      <c r="Q872">
        <v>0</v>
      </c>
      <c r="R872">
        <v>6.3631454633452395E-3</v>
      </c>
      <c r="S872">
        <v>0.17422873470990058</v>
      </c>
      <c r="T872">
        <v>1.1369325858501156</v>
      </c>
      <c r="U872">
        <v>0</v>
      </c>
      <c r="V872">
        <v>1.5813430888038351E-2</v>
      </c>
      <c r="W872">
        <v>6.3947359945551382E-2</v>
      </c>
      <c r="X872">
        <v>-1.612798716128681E-2</v>
      </c>
      <c r="Y872">
        <v>2.6202300420384687E-2</v>
      </c>
    </row>
    <row r="873" spans="1:25" x14ac:dyDescent="0.25">
      <c r="A873" s="879"/>
      <c r="B873" s="1133">
        <v>623</v>
      </c>
      <c r="C873" s="883">
        <v>0.96694183139091305</v>
      </c>
      <c r="D873" s="883">
        <v>0.96818620463715943</v>
      </c>
      <c r="E873" s="883">
        <v>0.96084604695755838</v>
      </c>
      <c r="F873" s="883">
        <v>1.0246451664901968</v>
      </c>
      <c r="G873" s="883">
        <v>1.0259423698954753</v>
      </c>
      <c r="H873" s="883">
        <v>0.96941580594072563</v>
      </c>
      <c r="I873" s="883">
        <v>1.0027796657128329</v>
      </c>
      <c r="K873">
        <v>1.6506905709746631</v>
      </c>
      <c r="L873">
        <v>0</v>
      </c>
      <c r="M873">
        <v>6.7464329927295549E-3</v>
      </c>
      <c r="N873">
        <v>0.1186809698290935</v>
      </c>
      <c r="O873">
        <v>3.2350112527867313E-2</v>
      </c>
      <c r="P873">
        <v>1.8238470675160764E-2</v>
      </c>
      <c r="Q873">
        <v>0</v>
      </c>
      <c r="R873">
        <v>6.7464329927295549E-3</v>
      </c>
      <c r="S873">
        <v>0.17339609533713227</v>
      </c>
      <c r="T873">
        <v>1.215931586525447</v>
      </c>
      <c r="U873">
        <v>0</v>
      </c>
      <c r="V873">
        <v>1.604029385017491E-2</v>
      </c>
      <c r="W873">
        <v>6.3701925661344028E-2</v>
      </c>
      <c r="X873">
        <v>-1.5429493675310166E-2</v>
      </c>
      <c r="Y873">
        <v>2.7780610243752279E-2</v>
      </c>
    </row>
    <row r="874" spans="1:25" x14ac:dyDescent="0.25">
      <c r="A874" s="879"/>
      <c r="B874" s="1133">
        <v>624</v>
      </c>
      <c r="C874" s="883">
        <v>1.0060298460819652</v>
      </c>
      <c r="D874" s="883">
        <v>1.0204512506774723</v>
      </c>
      <c r="E874" s="883">
        <v>1.0216578232085294</v>
      </c>
      <c r="F874" s="883">
        <v>1.0244341504943628</v>
      </c>
      <c r="G874" s="883">
        <v>0.98205808005214978</v>
      </c>
      <c r="H874" s="883">
        <v>1.010562444965593</v>
      </c>
      <c r="I874" s="883">
        <v>0.9845040682466133</v>
      </c>
      <c r="K874">
        <v>1.6389760303564693</v>
      </c>
      <c r="L874">
        <v>0</v>
      </c>
      <c r="M874">
        <v>6.2615208822192738E-3</v>
      </c>
      <c r="N874">
        <v>0.12054200074950866</v>
      </c>
      <c r="O874">
        <v>3.0396626066667012E-2</v>
      </c>
      <c r="P874">
        <v>1.8976171149591471E-2</v>
      </c>
      <c r="Q874">
        <v>0</v>
      </c>
      <c r="R874">
        <v>6.2615208822192738E-3</v>
      </c>
      <c r="S874">
        <v>0.16551082093061842</v>
      </c>
      <c r="T874">
        <v>1.2145209940649</v>
      </c>
      <c r="U874">
        <v>0</v>
      </c>
      <c r="V874">
        <v>1.5821236192402933E-2</v>
      </c>
      <c r="W874">
        <v>6.2769161871170751E-2</v>
      </c>
      <c r="X874">
        <v>-1.5344809152199979E-2</v>
      </c>
      <c r="Y874">
        <v>2.5783828483809074E-2</v>
      </c>
    </row>
    <row r="875" spans="1:25" x14ac:dyDescent="0.25">
      <c r="A875" s="879"/>
      <c r="B875" s="1133">
        <v>625</v>
      </c>
      <c r="C875" s="883">
        <v>0.98867912230329391</v>
      </c>
      <c r="D875" s="883">
        <v>1.0001405631604441</v>
      </c>
      <c r="E875" s="883">
        <v>0.98803316580371459</v>
      </c>
      <c r="F875" s="883">
        <v>1.0193847737694814</v>
      </c>
      <c r="G875" s="883">
        <v>0.99351844420181079</v>
      </c>
      <c r="H875" s="883">
        <v>1.0311052835409811</v>
      </c>
      <c r="I875" s="883">
        <v>1.0162909074406452</v>
      </c>
      <c r="K875">
        <v>1.6508933680384312</v>
      </c>
      <c r="L875">
        <v>0</v>
      </c>
      <c r="M875">
        <v>6.7550841626374657E-3</v>
      </c>
      <c r="N875">
        <v>0.12372657727227514</v>
      </c>
      <c r="O875">
        <v>3.1209228885409012E-2</v>
      </c>
      <c r="P875">
        <v>1.8560395949134972E-2</v>
      </c>
      <c r="Q875">
        <v>0</v>
      </c>
      <c r="R875">
        <v>6.7550841626374657E-3</v>
      </c>
      <c r="S875">
        <v>0.17525163637166061</v>
      </c>
      <c r="T875">
        <v>1.209170994019455</v>
      </c>
      <c r="U875">
        <v>0</v>
      </c>
      <c r="V875">
        <v>1.5916335511700238E-2</v>
      </c>
      <c r="W875">
        <v>6.5510210685797959E-2</v>
      </c>
      <c r="X875">
        <v>-1.6268244878583808E-2</v>
      </c>
      <c r="Y875">
        <v>2.7816234221582224E-2</v>
      </c>
    </row>
    <row r="876" spans="1:25" x14ac:dyDescent="0.25">
      <c r="A876" s="879"/>
      <c r="B876" s="1133">
        <v>626</v>
      </c>
      <c r="C876" s="883">
        <v>1.0045774553331124</v>
      </c>
      <c r="D876" s="883">
        <v>0.97654743443003977</v>
      </c>
      <c r="E876" s="883">
        <v>1.0017847467557137</v>
      </c>
      <c r="F876" s="883">
        <v>0.96593153375491747</v>
      </c>
      <c r="G876" s="883">
        <v>0.98734226818374893</v>
      </c>
      <c r="H876" s="883">
        <v>0.99893301057246486</v>
      </c>
      <c r="I876" s="883">
        <v>1.0317244713127005</v>
      </c>
      <c r="K876">
        <v>1.5778865565342737</v>
      </c>
      <c r="L876">
        <v>0</v>
      </c>
      <c r="M876">
        <v>6.4320490404599822E-3</v>
      </c>
      <c r="N876">
        <v>0.1202354897860631</v>
      </c>
      <c r="O876">
        <v>3.0998463275193372E-2</v>
      </c>
      <c r="P876">
        <v>1.7878071896542024E-2</v>
      </c>
      <c r="Q876">
        <v>0</v>
      </c>
      <c r="R876">
        <v>6.4320490404599822E-3</v>
      </c>
      <c r="S876">
        <v>0.1734510793616636</v>
      </c>
      <c r="T876">
        <v>1.1455188131050034</v>
      </c>
      <c r="U876">
        <v>0</v>
      </c>
      <c r="V876">
        <v>1.5829070763431236E-2</v>
      </c>
      <c r="W876">
        <v>6.3227568294290798E-2</v>
      </c>
      <c r="X876">
        <v>-1.5738033034477312E-2</v>
      </c>
      <c r="Y876">
        <v>2.6486033086563655E-2</v>
      </c>
    </row>
    <row r="877" spans="1:25" x14ac:dyDescent="0.25">
      <c r="A877" s="879"/>
      <c r="B877" s="1133">
        <v>627</v>
      </c>
      <c r="C877" s="883">
        <v>0.98808040353902249</v>
      </c>
      <c r="D877" s="883">
        <v>1.0198709984271632</v>
      </c>
      <c r="E877" s="883">
        <v>0.98310345593547455</v>
      </c>
      <c r="F877" s="883">
        <v>1.0011906308036254</v>
      </c>
      <c r="G877" s="883">
        <v>1.0026037620226433</v>
      </c>
      <c r="H877" s="883">
        <v>1.0333071610662248</v>
      </c>
      <c r="I877" s="883">
        <v>0.99690842470461905</v>
      </c>
      <c r="K877">
        <v>1.6239241499401234</v>
      </c>
      <c r="L877">
        <v>0</v>
      </c>
      <c r="M877">
        <v>6.7438114725777553E-3</v>
      </c>
      <c r="N877">
        <v>0.12262033252650928</v>
      </c>
      <c r="O877">
        <v>3.0989070689685514E-2</v>
      </c>
      <c r="P877">
        <v>1.8162643038710062E-2</v>
      </c>
      <c r="Q877">
        <v>0</v>
      </c>
      <c r="R877">
        <v>6.7438114725777553E-3</v>
      </c>
      <c r="S877">
        <v>0.17192330359841962</v>
      </c>
      <c r="T877">
        <v>1.1876815564632959</v>
      </c>
      <c r="U877">
        <v>0</v>
      </c>
      <c r="V877">
        <v>1.5919676702377983E-2</v>
      </c>
      <c r="W877">
        <v>6.5084570368103709E-2</v>
      </c>
      <c r="X877">
        <v>-1.6226818737359504E-2</v>
      </c>
      <c r="Y877">
        <v>2.7769815290380379E-2</v>
      </c>
    </row>
    <row r="878" spans="1:25" x14ac:dyDescent="0.25">
      <c r="A878" s="879"/>
      <c r="B878" s="1133">
        <v>628</v>
      </c>
      <c r="C878" s="883">
        <v>0.97854564601888661</v>
      </c>
      <c r="D878" s="883">
        <v>0.97154506725681056</v>
      </c>
      <c r="E878" s="883">
        <v>0.96916196350817851</v>
      </c>
      <c r="F878" s="883">
        <v>0.97777630640095781</v>
      </c>
      <c r="G878" s="883">
        <v>0.99968609575192746</v>
      </c>
      <c r="H878" s="883">
        <v>1.0003579144551762</v>
      </c>
      <c r="I878" s="883">
        <v>1.0052013457554816</v>
      </c>
      <c r="K878">
        <v>1.5975326173347888</v>
      </c>
      <c r="L878">
        <v>0</v>
      </c>
      <c r="M878">
        <v>6.8190513279936284E-3</v>
      </c>
      <c r="N878">
        <v>0.12144935015922215</v>
      </c>
      <c r="O878">
        <v>3.1915813072043643E-2</v>
      </c>
      <c r="P878">
        <v>1.7630848128152771E-2</v>
      </c>
      <c r="Q878">
        <v>0</v>
      </c>
      <c r="R878">
        <v>6.8190513279936284E-3</v>
      </c>
      <c r="S878">
        <v>0.17359375202425684</v>
      </c>
      <c r="T878">
        <v>1.1601606323908948</v>
      </c>
      <c r="U878">
        <v>0</v>
      </c>
      <c r="V878">
        <v>1.5973437081027702E-2</v>
      </c>
      <c r="W878">
        <v>6.4915320306929578E-2</v>
      </c>
      <c r="X878">
        <v>-1.6186175450527238E-2</v>
      </c>
      <c r="Y878">
        <v>2.8079639622787905E-2</v>
      </c>
    </row>
    <row r="879" spans="1:25" x14ac:dyDescent="0.25">
      <c r="A879" s="879"/>
      <c r="B879" s="1133">
        <v>629</v>
      </c>
      <c r="C879" s="883">
        <v>1.0326015259147978</v>
      </c>
      <c r="D879" s="883">
        <v>1.0155519391606136</v>
      </c>
      <c r="E879" s="883">
        <v>0.99130913027039902</v>
      </c>
      <c r="F879" s="883">
        <v>1.0203914149661921</v>
      </c>
      <c r="G879" s="883">
        <v>0.98788797899330127</v>
      </c>
      <c r="H879" s="883">
        <v>1.037642813018625</v>
      </c>
      <c r="I879" s="883">
        <v>0.99822890648496365</v>
      </c>
      <c r="K879">
        <v>1.631727047199895</v>
      </c>
      <c r="L879">
        <v>0</v>
      </c>
      <c r="M879">
        <v>6.4460832627104732E-3</v>
      </c>
      <c r="N879">
        <v>0.11864174135903673</v>
      </c>
      <c r="O879">
        <v>2.9696915167777005E-2</v>
      </c>
      <c r="P879">
        <v>1.8482722354290382E-2</v>
      </c>
      <c r="Q879">
        <v>0</v>
      </c>
      <c r="R879">
        <v>6.4460832627104732E-3</v>
      </c>
      <c r="S879">
        <v>0.16502241599024334</v>
      </c>
      <c r="T879">
        <v>1.2103027716733576</v>
      </c>
      <c r="U879">
        <v>0</v>
      </c>
      <c r="V879">
        <v>1.5681791681228973E-2</v>
      </c>
      <c r="W879">
        <v>6.2715363462257215E-2</v>
      </c>
      <c r="X879">
        <v>-1.5360498004089363E-2</v>
      </c>
      <c r="Y879">
        <v>2.6543823515792736E-2</v>
      </c>
    </row>
    <row r="880" spans="1:25" x14ac:dyDescent="0.25">
      <c r="A880" s="879"/>
      <c r="B880" s="1133">
        <v>630</v>
      </c>
      <c r="C880" s="883">
        <v>1.0120533987419691</v>
      </c>
      <c r="D880" s="883">
        <v>0.99157335602414065</v>
      </c>
      <c r="E880" s="883">
        <v>0.96669513874248836</v>
      </c>
      <c r="F880" s="883">
        <v>0.99806954516217261</v>
      </c>
      <c r="G880" s="883">
        <v>1.0305728599590878</v>
      </c>
      <c r="H880" s="883">
        <v>0.98661028069262391</v>
      </c>
      <c r="I880" s="883">
        <v>1.0276108608335215</v>
      </c>
      <c r="K880">
        <v>1.6067935973139615</v>
      </c>
      <c r="L880">
        <v>0</v>
      </c>
      <c r="M880">
        <v>6.4575447175836912E-3</v>
      </c>
      <c r="N880">
        <v>0.11459026545756661</v>
      </c>
      <c r="O880">
        <v>3.0610122805028842E-2</v>
      </c>
      <c r="P880">
        <v>1.7869313344395149E-2</v>
      </c>
      <c r="Q880">
        <v>0</v>
      </c>
      <c r="R880">
        <v>6.4575447175836912E-3</v>
      </c>
      <c r="S880">
        <v>0.17055532806989351</v>
      </c>
      <c r="T880">
        <v>1.1842852647478403</v>
      </c>
      <c r="U880">
        <v>0</v>
      </c>
      <c r="V880">
        <v>1.5788983612521439E-2</v>
      </c>
      <c r="W880">
        <v>6.1325177429013826E-2</v>
      </c>
      <c r="X880">
        <v>-1.4821877899195698E-2</v>
      </c>
      <c r="Y880">
        <v>2.6591019746897732E-2</v>
      </c>
    </row>
    <row r="881" spans="1:25" x14ac:dyDescent="0.25">
      <c r="A881" s="879"/>
      <c r="B881" s="1133">
        <v>631</v>
      </c>
      <c r="C881" s="883">
        <v>0.99922533881863695</v>
      </c>
      <c r="D881" s="883">
        <v>1.0111065588552988</v>
      </c>
      <c r="E881" s="883">
        <v>0.98836177919383061</v>
      </c>
      <c r="F881" s="883">
        <v>0.99646969013025599</v>
      </c>
      <c r="G881" s="883">
        <v>0.97176615795953736</v>
      </c>
      <c r="H881" s="883">
        <v>0.98752938945439317</v>
      </c>
      <c r="I881" s="883">
        <v>1.0224453347415969</v>
      </c>
      <c r="K881">
        <v>1.6081859858453289</v>
      </c>
      <c r="L881">
        <v>0</v>
      </c>
      <c r="M881">
        <v>6.3684461159877696E-3</v>
      </c>
      <c r="N881">
        <v>0.1167017390373641</v>
      </c>
      <c r="O881">
        <v>3.0745164958645311E-2</v>
      </c>
      <c r="P881">
        <v>1.8157568440735378E-2</v>
      </c>
      <c r="Q881">
        <v>0</v>
      </c>
      <c r="R881">
        <v>6.3684461159877696E-3</v>
      </c>
      <c r="S881">
        <v>0.17175900934124522</v>
      </c>
      <c r="T881">
        <v>1.1819835411760253</v>
      </c>
      <c r="U881">
        <v>0</v>
      </c>
      <c r="V881">
        <v>1.5858138066198197E-2</v>
      </c>
      <c r="W881">
        <v>6.1780597648945119E-2</v>
      </c>
      <c r="X881">
        <v>-1.5023900388314918E-2</v>
      </c>
      <c r="Y881">
        <v>2.6224127564485618E-2</v>
      </c>
    </row>
    <row r="882" spans="1:25" x14ac:dyDescent="0.25">
      <c r="A882" s="879"/>
      <c r="B882" s="1133">
        <v>632</v>
      </c>
      <c r="C882" s="883">
        <v>0.98032459909692138</v>
      </c>
      <c r="D882" s="883">
        <v>1.0170339214473358</v>
      </c>
      <c r="E882" s="883">
        <v>1.0313738209919969</v>
      </c>
      <c r="F882" s="883">
        <v>0.96200014614009544</v>
      </c>
      <c r="G882" s="883">
        <v>0.98580318544092482</v>
      </c>
      <c r="H882" s="883">
        <v>0.97880297050803466</v>
      </c>
      <c r="I882" s="883">
        <v>0.95317355746936638</v>
      </c>
      <c r="K882">
        <v>1.5614179045779777</v>
      </c>
      <c r="L882">
        <v>0</v>
      </c>
      <c r="M882">
        <v>6.1802405131348619E-3</v>
      </c>
      <c r="N882">
        <v>0.1206987994785871</v>
      </c>
      <c r="O882">
        <v>3.122640948094706E-2</v>
      </c>
      <c r="P882">
        <v>1.8061096336160418E-2</v>
      </c>
      <c r="Q882">
        <v>0</v>
      </c>
      <c r="R882">
        <v>6.1802405131348619E-3</v>
      </c>
      <c r="S882">
        <v>0.16271130286148058</v>
      </c>
      <c r="T882">
        <v>1.1403295535156432</v>
      </c>
      <c r="U882">
        <v>0</v>
      </c>
      <c r="V882">
        <v>1.5963327351312114E-2</v>
      </c>
      <c r="W882">
        <v>6.2551518475457119E-2</v>
      </c>
      <c r="X882">
        <v>-1.5573233312895597E-2</v>
      </c>
      <c r="Y882">
        <v>2.5449130391285841E-2</v>
      </c>
    </row>
    <row r="883" spans="1:25" x14ac:dyDescent="0.25">
      <c r="A883" s="879"/>
      <c r="B883" s="1133">
        <v>633</v>
      </c>
      <c r="C883" s="883">
        <v>1.0294556230682963</v>
      </c>
      <c r="D883" s="883">
        <v>1.0030455443712092</v>
      </c>
      <c r="E883" s="883">
        <v>1.0469648145788082</v>
      </c>
      <c r="F883" s="883">
        <v>1.0029533768276016</v>
      </c>
      <c r="G883" s="883">
        <v>1.007086060899431</v>
      </c>
      <c r="H883" s="883">
        <v>0.97707344724425338</v>
      </c>
      <c r="I883" s="883">
        <v>1.0210741364844842</v>
      </c>
      <c r="K883">
        <v>1.6052300183447468</v>
      </c>
      <c r="L883">
        <v>0</v>
      </c>
      <c r="M883">
        <v>5.8309722430020128E-3</v>
      </c>
      <c r="N883">
        <v>0.11653080901866093</v>
      </c>
      <c r="O883">
        <v>2.988672819774672E-2</v>
      </c>
      <c r="P883">
        <v>1.8979103254959835E-2</v>
      </c>
      <c r="Q883">
        <v>0</v>
      </c>
      <c r="R883">
        <v>5.8309722430020128E-3</v>
      </c>
      <c r="S883">
        <v>0.16603045569104283</v>
      </c>
      <c r="T883">
        <v>1.188586523800486</v>
      </c>
      <c r="U883">
        <v>0</v>
      </c>
      <c r="V883">
        <v>1.5697925268949368E-2</v>
      </c>
      <c r="W883">
        <v>5.9933034896429101E-2</v>
      </c>
      <c r="X883">
        <v>-1.4425467605841352E-2</v>
      </c>
      <c r="Y883">
        <v>2.4010905822313355E-2</v>
      </c>
    </row>
    <row r="884" spans="1:25" x14ac:dyDescent="0.25">
      <c r="A884" s="879"/>
      <c r="B884" s="1133">
        <v>634</v>
      </c>
      <c r="C884" s="883">
        <v>0.95541490272024843</v>
      </c>
      <c r="D884" s="883">
        <v>1.0439685239130776</v>
      </c>
      <c r="E884" s="883">
        <v>0.97309661888773613</v>
      </c>
      <c r="F884" s="883">
        <v>1.0210424476662876</v>
      </c>
      <c r="G884" s="883">
        <v>0.99938378728010391</v>
      </c>
      <c r="H884" s="883">
        <v>1.0152117562979914</v>
      </c>
      <c r="I884" s="883">
        <v>0.98325795597154986</v>
      </c>
      <c r="K884">
        <v>1.6516481690876268</v>
      </c>
      <c r="L884">
        <v>0</v>
      </c>
      <c r="M884">
        <v>6.8407616000538693E-3</v>
      </c>
      <c r="N884">
        <v>0.12254981817988254</v>
      </c>
      <c r="O884">
        <v>3.1758703305389657E-2</v>
      </c>
      <c r="P884">
        <v>1.8364050938951538E-2</v>
      </c>
      <c r="Q884">
        <v>0</v>
      </c>
      <c r="R884">
        <v>6.8407616000538693E-3</v>
      </c>
      <c r="S884">
        <v>0.17404602607947078</v>
      </c>
      <c r="T884">
        <v>1.2114220236525683</v>
      </c>
      <c r="U884">
        <v>0</v>
      </c>
      <c r="V884">
        <v>1.6108315519634007E-2</v>
      </c>
      <c r="W884">
        <v>6.537413547854011E-2</v>
      </c>
      <c r="X884">
        <v>-1.6143942725657799E-2</v>
      </c>
      <c r="Y884">
        <v>2.8169038658847605E-2</v>
      </c>
    </row>
    <row r="885" spans="1:25" x14ac:dyDescent="0.25">
      <c r="A885" s="879"/>
      <c r="B885" s="1133">
        <v>635</v>
      </c>
      <c r="C885" s="883">
        <v>0.98165503857663394</v>
      </c>
      <c r="D885" s="883">
        <v>0.98958184084631395</v>
      </c>
      <c r="E885" s="883">
        <v>0.96564148301464725</v>
      </c>
      <c r="F885" s="883">
        <v>0.9849098840394892</v>
      </c>
      <c r="G885" s="883">
        <v>1.0044865409006296</v>
      </c>
      <c r="H885" s="883">
        <v>1.0232788198423821</v>
      </c>
      <c r="I885" s="883">
        <v>1.002860591281366</v>
      </c>
      <c r="K885">
        <v>1.6079682179499593</v>
      </c>
      <c r="L885">
        <v>0</v>
      </c>
      <c r="M885">
        <v>6.9174847930274777E-3</v>
      </c>
      <c r="N885">
        <v>0.12256003938468633</v>
      </c>
      <c r="O885">
        <v>3.1584208158221584E-2</v>
      </c>
      <c r="P885">
        <v>1.7696060559979281E-2</v>
      </c>
      <c r="Q885">
        <v>0</v>
      </c>
      <c r="R885">
        <v>6.9174847930274777E-3</v>
      </c>
      <c r="S885">
        <v>0.1738026805347708</v>
      </c>
      <c r="T885">
        <v>1.1686897677725723</v>
      </c>
      <c r="U885">
        <v>0</v>
      </c>
      <c r="V885">
        <v>1.5955790458059869E-2</v>
      </c>
      <c r="W885">
        <v>6.5625164117539325E-2</v>
      </c>
      <c r="X885">
        <v>-1.6430464147164967E-2</v>
      </c>
      <c r="Y885">
        <v>2.8484971111293663E-2</v>
      </c>
    </row>
    <row r="886" spans="1:25" x14ac:dyDescent="0.25">
      <c r="A886" s="879"/>
      <c r="B886" s="1133">
        <v>636</v>
      </c>
      <c r="C886" s="883">
        <v>0.98593495644347573</v>
      </c>
      <c r="D886" s="883">
        <v>0.99497241471403419</v>
      </c>
      <c r="E886" s="883">
        <v>0.99103079818566731</v>
      </c>
      <c r="F886" s="883">
        <v>0.96012836720274697</v>
      </c>
      <c r="G886" s="883">
        <v>0.97751482927047528</v>
      </c>
      <c r="H886" s="883">
        <v>1.0007945429966378</v>
      </c>
      <c r="I886" s="883">
        <v>1.0139213090825063</v>
      </c>
      <c r="K886">
        <v>1.5732726901397853</v>
      </c>
      <c r="L886">
        <v>0</v>
      </c>
      <c r="M886">
        <v>6.5727566641326264E-3</v>
      </c>
      <c r="N886">
        <v>0.12092329143674334</v>
      </c>
      <c r="O886">
        <v>3.1358517066724274E-2</v>
      </c>
      <c r="P886">
        <v>1.7646739876700204E-2</v>
      </c>
      <c r="Q886">
        <v>0</v>
      </c>
      <c r="R886">
        <v>6.5727566641326264E-3</v>
      </c>
      <c r="S886">
        <v>0.17358049702073228</v>
      </c>
      <c r="T886">
        <v>1.1388287723501718</v>
      </c>
      <c r="U886">
        <v>0</v>
      </c>
      <c r="V886">
        <v>1.593168283951938E-2</v>
      </c>
      <c r="W886">
        <v>6.3930284938146703E-2</v>
      </c>
      <c r="X886">
        <v>-1.5992537424777273E-2</v>
      </c>
      <c r="Y886">
        <v>2.7065442035824224E-2</v>
      </c>
    </row>
    <row r="887" spans="1:25" x14ac:dyDescent="0.25">
      <c r="A887" s="879"/>
      <c r="B887" s="1133">
        <v>637</v>
      </c>
      <c r="C887" s="883">
        <v>0.97654355287295458</v>
      </c>
      <c r="D887" s="883">
        <v>0.97651672314739779</v>
      </c>
      <c r="E887" s="883">
        <v>0.99253834809757768</v>
      </c>
      <c r="F887" s="883">
        <v>0.96193102286108534</v>
      </c>
      <c r="G887" s="883">
        <v>1.0066925832356994</v>
      </c>
      <c r="H887" s="883">
        <v>1.0210110943239437</v>
      </c>
      <c r="I887" s="883">
        <v>1.0026396511755715</v>
      </c>
      <c r="K887">
        <v>1.5845646207196351</v>
      </c>
      <c r="L887">
        <v>0</v>
      </c>
      <c r="M887">
        <v>6.817862059852629E-3</v>
      </c>
      <c r="N887">
        <v>0.12571328151212632</v>
      </c>
      <c r="O887">
        <v>3.1896803305566268E-2</v>
      </c>
      <c r="P887">
        <v>1.7711001408820742E-2</v>
      </c>
      <c r="Q887">
        <v>0</v>
      </c>
      <c r="R887">
        <v>6.817862059852629E-3</v>
      </c>
      <c r="S887">
        <v>0.17471866666877722</v>
      </c>
      <c r="T887">
        <v>1.1409399370300537</v>
      </c>
      <c r="U887">
        <v>0</v>
      </c>
      <c r="V887">
        <v>1.5984858961571639E-2</v>
      </c>
      <c r="W887">
        <v>6.6412769837877875E-2</v>
      </c>
      <c r="X887">
        <v>-1.6887440433423578E-2</v>
      </c>
      <c r="Y887">
        <v>2.8074742428265107E-2</v>
      </c>
    </row>
    <row r="888" spans="1:25" x14ac:dyDescent="0.25">
      <c r="A888" s="879"/>
      <c r="B888" s="1133">
        <v>638</v>
      </c>
      <c r="C888" s="883">
        <v>0.9721691437816723</v>
      </c>
      <c r="D888" s="883">
        <v>1.0021123599971018</v>
      </c>
      <c r="E888" s="883">
        <v>0.98655893799696026</v>
      </c>
      <c r="F888" s="883">
        <v>0.98348885604120506</v>
      </c>
      <c r="G888" s="883">
        <v>0.97361356032656865</v>
      </c>
      <c r="H888" s="883">
        <v>0.99828975635228001</v>
      </c>
      <c r="I888" s="883">
        <v>1.0441973725561389</v>
      </c>
      <c r="K888">
        <v>1.610907211752612</v>
      </c>
      <c r="L888">
        <v>0</v>
      </c>
      <c r="M888">
        <v>6.6538792093225997E-3</v>
      </c>
      <c r="N888">
        <v>0.12160676537267098</v>
      </c>
      <c r="O888">
        <v>3.17154813750892E-2</v>
      </c>
      <c r="P888">
        <v>1.8054439005583942E-2</v>
      </c>
      <c r="Q888">
        <v>0</v>
      </c>
      <c r="R888">
        <v>6.6538792093225997E-3</v>
      </c>
      <c r="S888">
        <v>0.18105556267165496</v>
      </c>
      <c r="T888">
        <v>1.1666191012755098</v>
      </c>
      <c r="U888">
        <v>0</v>
      </c>
      <c r="V888">
        <v>1.6009978519185217E-2</v>
      </c>
      <c r="W888">
        <v>6.4435226335810517E-2</v>
      </c>
      <c r="X888">
        <v>-1.5988833040534941E-2</v>
      </c>
      <c r="Y888">
        <v>2.7399490237641766E-2</v>
      </c>
    </row>
    <row r="889" spans="1:25" x14ac:dyDescent="0.25">
      <c r="A889" s="879"/>
      <c r="B889" s="1133">
        <v>639</v>
      </c>
      <c r="C889" s="883">
        <v>0.99842706283662841</v>
      </c>
      <c r="D889" s="883">
        <v>0.99444898673866178</v>
      </c>
      <c r="E889" s="883">
        <v>1.0098703431978795</v>
      </c>
      <c r="F889" s="883">
        <v>1.0391349389672702</v>
      </c>
      <c r="G889" s="883">
        <v>0.98328794204409919</v>
      </c>
      <c r="H889" s="883">
        <v>1.0208190859791708</v>
      </c>
      <c r="I889" s="883">
        <v>1.0267372193229711</v>
      </c>
      <c r="K889">
        <v>1.6717195687847906</v>
      </c>
      <c r="L889">
        <v>0</v>
      </c>
      <c r="M889">
        <v>6.5138463831162872E-3</v>
      </c>
      <c r="N889">
        <v>0.12323125295432989</v>
      </c>
      <c r="O889">
        <v>3.0956562575096363E-2</v>
      </c>
      <c r="P889">
        <v>1.9173493719744788E-2</v>
      </c>
      <c r="Q889">
        <v>0</v>
      </c>
      <c r="R889">
        <v>6.5138463831162872E-3</v>
      </c>
      <c r="S889">
        <v>0.17479861464284013</v>
      </c>
      <c r="T889">
        <v>1.2321763545025102</v>
      </c>
      <c r="U889">
        <v>0</v>
      </c>
      <c r="V889">
        <v>1.5862500203396274E-2</v>
      </c>
      <c r="W889">
        <v>6.4543850190940166E-2</v>
      </c>
      <c r="X889">
        <v>-1.5845919988305625E-2</v>
      </c>
      <c r="Y889">
        <v>2.6822859984238074E-2</v>
      </c>
    </row>
    <row r="890" spans="1:25" x14ac:dyDescent="0.25">
      <c r="A890" s="879"/>
      <c r="B890" s="1133">
        <v>640</v>
      </c>
      <c r="C890" s="883">
        <v>0.99142640454276343</v>
      </c>
      <c r="D890" s="883">
        <v>1.0151594214998059</v>
      </c>
      <c r="E890" s="883">
        <v>1.002254099698364</v>
      </c>
      <c r="F890" s="883">
        <v>0.98559438677849798</v>
      </c>
      <c r="G890" s="883">
        <v>0.9963166162914584</v>
      </c>
      <c r="H890" s="883">
        <v>1.0274408204769248</v>
      </c>
      <c r="I890" s="883">
        <v>1.0037104258976894</v>
      </c>
      <c r="K890">
        <v>1.6049281306859511</v>
      </c>
      <c r="L890">
        <v>0</v>
      </c>
      <c r="M890">
        <v>6.5856864654690759E-3</v>
      </c>
      <c r="N890">
        <v>0.12319308098042632</v>
      </c>
      <c r="O890">
        <v>3.0925809072369945E-2</v>
      </c>
      <c r="P890">
        <v>1.8181387332176488E-2</v>
      </c>
      <c r="Q890">
        <v>0</v>
      </c>
      <c r="R890">
        <v>6.5856864654690759E-3</v>
      </c>
      <c r="S890">
        <v>0.17224127356326757</v>
      </c>
      <c r="T890">
        <v>1.1688288167161087</v>
      </c>
      <c r="U890">
        <v>0</v>
      </c>
      <c r="V890">
        <v>1.5901055859284467E-2</v>
      </c>
      <c r="W890">
        <v>6.4767773877239213E-2</v>
      </c>
      <c r="X890">
        <v>-1.6229751371230797E-2</v>
      </c>
      <c r="Y890">
        <v>2.7118684656308876E-2</v>
      </c>
    </row>
    <row r="891" spans="1:25" x14ac:dyDescent="0.25">
      <c r="A891" s="879"/>
      <c r="B891" s="1133">
        <v>641</v>
      </c>
      <c r="C891" s="883">
        <v>1.0165390759715942</v>
      </c>
      <c r="D891" s="883">
        <v>1.0180274228307238</v>
      </c>
      <c r="E891" s="883">
        <v>0.99050327633901858</v>
      </c>
      <c r="F891" s="883">
        <v>0.95886400692383456</v>
      </c>
      <c r="G891" s="883">
        <v>0.95845912415321877</v>
      </c>
      <c r="H891" s="883">
        <v>1.019622145337393</v>
      </c>
      <c r="I891" s="883">
        <v>1.0031128505647848</v>
      </c>
      <c r="K891">
        <v>1.5598449990233669</v>
      </c>
      <c r="L891">
        <v>0</v>
      </c>
      <c r="M891">
        <v>6.4317659295547646E-3</v>
      </c>
      <c r="N891">
        <v>0.11823688975819821</v>
      </c>
      <c r="O891">
        <v>3.0137445710117009E-2</v>
      </c>
      <c r="P891">
        <v>1.7535427591583028E-2</v>
      </c>
      <c r="Q891">
        <v>0</v>
      </c>
      <c r="R891">
        <v>6.4317659295547646E-3</v>
      </c>
      <c r="S891">
        <v>0.16740050387701413</v>
      </c>
      <c r="T891">
        <v>1.1373385088672976</v>
      </c>
      <c r="U891">
        <v>0</v>
      </c>
      <c r="V891">
        <v>1.5765213756232636E-2</v>
      </c>
      <c r="W891">
        <v>6.2526466441375508E-2</v>
      </c>
      <c r="X891">
        <v>-1.5580324264699135E-2</v>
      </c>
      <c r="Y891">
        <v>2.648486728624783E-2</v>
      </c>
    </row>
    <row r="892" spans="1:25" x14ac:dyDescent="0.25">
      <c r="A892" s="879"/>
      <c r="B892" s="1133">
        <v>642</v>
      </c>
      <c r="C892" s="883">
        <v>1.0364812343341723</v>
      </c>
      <c r="D892" s="883">
        <v>1.0037551853444735</v>
      </c>
      <c r="E892" s="883">
        <v>0.97682642369825223</v>
      </c>
      <c r="F892" s="883">
        <v>0.99121167667296217</v>
      </c>
      <c r="G892" s="883">
        <v>1.0108055576225723</v>
      </c>
      <c r="H892" s="883">
        <v>1.0253862174300721</v>
      </c>
      <c r="I892" s="883">
        <v>1.0148561203377797</v>
      </c>
      <c r="K892">
        <v>1.5955076205377905</v>
      </c>
      <c r="L892">
        <v>0</v>
      </c>
      <c r="M892">
        <v>6.4603176492763204E-3</v>
      </c>
      <c r="N892">
        <v>0.11637677040394129</v>
      </c>
      <c r="O892">
        <v>2.9735577227442578E-2</v>
      </c>
      <c r="P892">
        <v>1.7846916290915695E-2</v>
      </c>
      <c r="Q892">
        <v>0</v>
      </c>
      <c r="R892">
        <v>6.4603176492763204E-3</v>
      </c>
      <c r="S892">
        <v>0.16655854120061953</v>
      </c>
      <c r="T892">
        <v>1.175960010164272</v>
      </c>
      <c r="U892">
        <v>0</v>
      </c>
      <c r="V892">
        <v>1.5662029679986068E-2</v>
      </c>
      <c r="W892">
        <v>6.1965056359585657E-2</v>
      </c>
      <c r="X892">
        <v>-1.5199718975017583E-2</v>
      </c>
      <c r="Y892">
        <v>2.6602438186044537E-2</v>
      </c>
    </row>
    <row r="893" spans="1:25" x14ac:dyDescent="0.25">
      <c r="A893" s="879"/>
      <c r="B893" s="1133">
        <v>643</v>
      </c>
      <c r="C893" s="883">
        <v>1.0203334812971216</v>
      </c>
      <c r="D893" s="883">
        <v>1.0420670462804029</v>
      </c>
      <c r="E893" s="883">
        <v>0.99613108727655642</v>
      </c>
      <c r="F893" s="883">
        <v>1.0050995689906677</v>
      </c>
      <c r="G893" s="883">
        <v>0.99577305682613471</v>
      </c>
      <c r="H893" s="883">
        <v>0.99417831666573797</v>
      </c>
      <c r="I893" s="883">
        <v>1.03245832553082</v>
      </c>
      <c r="K893">
        <v>1.6109956398385521</v>
      </c>
      <c r="L893">
        <v>0</v>
      </c>
      <c r="M893">
        <v>6.1530449425928673E-3</v>
      </c>
      <c r="N893">
        <v>0.11406058011007847</v>
      </c>
      <c r="O893">
        <v>2.9741852330156377E-2</v>
      </c>
      <c r="P893">
        <v>1.8374520952797981E-2</v>
      </c>
      <c r="Q893">
        <v>0</v>
      </c>
      <c r="R893">
        <v>6.1530449425928673E-3</v>
      </c>
      <c r="S893">
        <v>0.1699587828603753</v>
      </c>
      <c r="T893">
        <v>1.1920746581233193</v>
      </c>
      <c r="U893">
        <v>0</v>
      </c>
      <c r="V893">
        <v>1.5745270156621673E-2</v>
      </c>
      <c r="W893">
        <v>6.0149124381490358E-2</v>
      </c>
      <c r="X893">
        <v>-1.4446292948712355E-2</v>
      </c>
      <c r="Y893">
        <v>2.5337143872425024E-2</v>
      </c>
    </row>
    <row r="894" spans="1:25" x14ac:dyDescent="0.25">
      <c r="A894" s="879"/>
      <c r="B894" s="1133">
        <v>644</v>
      </c>
      <c r="C894" s="883">
        <v>0.99873237833373474</v>
      </c>
      <c r="D894" s="883">
        <v>1.0072702914106784</v>
      </c>
      <c r="E894" s="883">
        <v>1.0168948753026972</v>
      </c>
      <c r="F894" s="883">
        <v>0.99214410770603101</v>
      </c>
      <c r="G894" s="883">
        <v>0.98370716357369015</v>
      </c>
      <c r="H894" s="883">
        <v>1.0153142120012979</v>
      </c>
      <c r="I894" s="883">
        <v>0.97113639484474035</v>
      </c>
      <c r="K894">
        <v>1.6028536263170556</v>
      </c>
      <c r="L894">
        <v>0</v>
      </c>
      <c r="M894">
        <v>6.4003852152405344E-3</v>
      </c>
      <c r="N894">
        <v>0.12235016743720724</v>
      </c>
      <c r="O894">
        <v>3.0782683417048578E-2</v>
      </c>
      <c r="P894">
        <v>1.8383201906308495E-2</v>
      </c>
      <c r="Q894">
        <v>0</v>
      </c>
      <c r="R894">
        <v>6.4003852152405344E-3</v>
      </c>
      <c r="S894">
        <v>0.16484713973289564</v>
      </c>
      <c r="T894">
        <v>1.1763268603139663</v>
      </c>
      <c r="U894">
        <v>0</v>
      </c>
      <c r="V894">
        <v>1.5860830999400381E-2</v>
      </c>
      <c r="W894">
        <v>6.3860416020758343E-2</v>
      </c>
      <c r="X894">
        <v>-1.5913320600790686E-2</v>
      </c>
      <c r="Y894">
        <v>2.635564709026076E-2</v>
      </c>
    </row>
    <row r="895" spans="1:25" x14ac:dyDescent="0.25">
      <c r="A895" s="879"/>
      <c r="B895" s="1133">
        <v>645</v>
      </c>
      <c r="C895" s="883">
        <v>0.98052984866636306</v>
      </c>
      <c r="D895" s="883">
        <v>0.99332821278804295</v>
      </c>
      <c r="E895" s="883">
        <v>1.0141701780667873</v>
      </c>
      <c r="F895" s="883">
        <v>0.98918024551127448</v>
      </c>
      <c r="G895" s="883">
        <v>0.99806380716824272</v>
      </c>
      <c r="H895" s="883">
        <v>1.0038771479772013</v>
      </c>
      <c r="I895" s="883">
        <v>0.99836405728905231</v>
      </c>
      <c r="K895">
        <v>1.6099307137826175</v>
      </c>
      <c r="L895">
        <v>0</v>
      </c>
      <c r="M895">
        <v>6.5014454741214459E-3</v>
      </c>
      <c r="N895">
        <v>0.12378195164750397</v>
      </c>
      <c r="O895">
        <v>3.1531925424719554E-2</v>
      </c>
      <c r="P895">
        <v>1.8398349837604917E-2</v>
      </c>
      <c r="Q895">
        <v>0</v>
      </c>
      <c r="R895">
        <v>6.5014454741214459E-3</v>
      </c>
      <c r="S895">
        <v>0.17208451268281943</v>
      </c>
      <c r="T895">
        <v>1.1728626903534012</v>
      </c>
      <c r="U895">
        <v>0</v>
      </c>
      <c r="V895">
        <v>1.5962163285387104E-2</v>
      </c>
      <c r="W895">
        <v>6.469466399057576E-2</v>
      </c>
      <c r="X895">
        <v>-1.6157338687672187E-2</v>
      </c>
      <c r="Y895">
        <v>2.6771795248276838E-2</v>
      </c>
    </row>
    <row r="896" spans="1:25" x14ac:dyDescent="0.25">
      <c r="A896" s="879"/>
      <c r="B896" s="1133">
        <v>646</v>
      </c>
      <c r="C896" s="883">
        <v>1.0073698967988838</v>
      </c>
      <c r="D896" s="883">
        <v>0.98193602895348508</v>
      </c>
      <c r="E896" s="883">
        <v>1.0088954698425501</v>
      </c>
      <c r="F896" s="883">
        <v>1.0306105872516866</v>
      </c>
      <c r="G896" s="883">
        <v>1.0208723800360355</v>
      </c>
      <c r="H896" s="883">
        <v>0.98985715476600566</v>
      </c>
      <c r="I896" s="883">
        <v>0.96524846546835885</v>
      </c>
      <c r="K896">
        <v>1.6410714297321369</v>
      </c>
      <c r="L896">
        <v>0</v>
      </c>
      <c r="M896">
        <v>6.3010575660188825E-3</v>
      </c>
      <c r="N896">
        <v>0.1190337188572529</v>
      </c>
      <c r="O896">
        <v>3.0838404228228401E-2</v>
      </c>
      <c r="P896">
        <v>1.8840483537567163E-2</v>
      </c>
      <c r="Q896">
        <v>0</v>
      </c>
      <c r="R896">
        <v>6.3010575660188825E-3</v>
      </c>
      <c r="S896">
        <v>0.16126893436642734</v>
      </c>
      <c r="T896">
        <v>1.2220870545828673</v>
      </c>
      <c r="U896">
        <v>0</v>
      </c>
      <c r="V896">
        <v>1.5814027650248232E-2</v>
      </c>
      <c r="W896">
        <v>6.2375417829060711E-2</v>
      </c>
      <c r="X896">
        <v>-1.5133244829943769E-2</v>
      </c>
      <c r="Y896">
        <v>2.5946633510428491E-2</v>
      </c>
    </row>
    <row r="897" spans="1:25" x14ac:dyDescent="0.25">
      <c r="A897" s="879"/>
      <c r="B897" s="1133">
        <v>647</v>
      </c>
      <c r="C897" s="883">
        <v>0.99660226130273166</v>
      </c>
      <c r="D897" s="883">
        <v>1.0089994126685355</v>
      </c>
      <c r="E897" s="883">
        <v>1.0105322585652241</v>
      </c>
      <c r="F897" s="883">
        <v>0.98592506378378852</v>
      </c>
      <c r="G897" s="883">
        <v>1.0398242213270381</v>
      </c>
      <c r="H897" s="883">
        <v>1.0193902341287888</v>
      </c>
      <c r="I897" s="883">
        <v>0.98878852502602221</v>
      </c>
      <c r="K897">
        <v>1.5997416518782606</v>
      </c>
      <c r="L897">
        <v>0</v>
      </c>
      <c r="M897">
        <v>6.4708115518657293E-3</v>
      </c>
      <c r="N897">
        <v>0.12253711701363433</v>
      </c>
      <c r="O897">
        <v>3.0832989047045463E-2</v>
      </c>
      <c r="P897">
        <v>1.8246298786667749E-2</v>
      </c>
      <c r="Q897">
        <v>0</v>
      </c>
      <c r="R897">
        <v>6.4708115518657293E-3</v>
      </c>
      <c r="S897">
        <v>0.16841128155989427</v>
      </c>
      <c r="T897">
        <v>1.1690695138828575</v>
      </c>
      <c r="U897">
        <v>0</v>
      </c>
      <c r="V897">
        <v>1.5872497980861478E-2</v>
      </c>
      <c r="W897">
        <v>6.4159281370539153E-2</v>
      </c>
      <c r="X897">
        <v>-1.6032977972301621E-2</v>
      </c>
      <c r="Y897">
        <v>2.6645650209062694E-2</v>
      </c>
    </row>
    <row r="898" spans="1:25" x14ac:dyDescent="0.25">
      <c r="A898" s="879"/>
      <c r="B898" s="1133">
        <v>648</v>
      </c>
      <c r="C898" s="883">
        <v>1.026999550113364</v>
      </c>
      <c r="D898" s="883">
        <v>0.96486556725550454</v>
      </c>
      <c r="E898" s="883">
        <v>1.0135881251165921</v>
      </c>
      <c r="F898" s="883">
        <v>1.0018095394970608</v>
      </c>
      <c r="G898" s="883">
        <v>1.0294183125804526</v>
      </c>
      <c r="H898" s="883">
        <v>1.0006781780860849</v>
      </c>
      <c r="I898" s="883">
        <v>0.99763053676690183</v>
      </c>
      <c r="K898">
        <v>1.6089825106657911</v>
      </c>
      <c r="L898">
        <v>0</v>
      </c>
      <c r="M898">
        <v>6.2715380522657014E-3</v>
      </c>
      <c r="N898">
        <v>0.11930189858304485</v>
      </c>
      <c r="O898">
        <v>3.0457816102917829E-2</v>
      </c>
      <c r="P898">
        <v>1.8483939612701467E-2</v>
      </c>
      <c r="Q898">
        <v>0</v>
      </c>
      <c r="R898">
        <v>6.2715380522657014E-3</v>
      </c>
      <c r="S898">
        <v>0.16429480345199843</v>
      </c>
      <c r="T898">
        <v>1.1878479394769084</v>
      </c>
      <c r="U898">
        <v>0</v>
      </c>
      <c r="V898">
        <v>1.5710589808960396E-2</v>
      </c>
      <c r="W898">
        <v>6.2371088207836288E-2</v>
      </c>
      <c r="X898">
        <v>-1.5310641985647511E-2</v>
      </c>
      <c r="Y898">
        <v>2.5825077407070463E-2</v>
      </c>
    </row>
    <row r="899" spans="1:25" x14ac:dyDescent="0.25">
      <c r="A899" s="879"/>
      <c r="B899" s="1133">
        <v>649</v>
      </c>
      <c r="C899" s="883">
        <v>1.0036136812656768</v>
      </c>
      <c r="D899" s="883">
        <v>1.025972246067405</v>
      </c>
      <c r="E899" s="883">
        <v>0.95072862473124187</v>
      </c>
      <c r="F899" s="883">
        <v>0.97976731757679825</v>
      </c>
      <c r="G899" s="883">
        <v>1.0364862384977744</v>
      </c>
      <c r="H899" s="883">
        <v>1.0038567426566951</v>
      </c>
      <c r="I899" s="883">
        <v>1.0048578922442968</v>
      </c>
      <c r="K899">
        <v>1.5839977931306175</v>
      </c>
      <c r="L899">
        <v>0</v>
      </c>
      <c r="M899">
        <v>6.6169412793090909E-3</v>
      </c>
      <c r="N899">
        <v>0.11466562039360255</v>
      </c>
      <c r="O899">
        <v>3.046080711727402E-2</v>
      </c>
      <c r="P899">
        <v>1.7348865530586337E-2</v>
      </c>
      <c r="Q899">
        <v>0</v>
      </c>
      <c r="R899">
        <v>6.6169412793090909E-3</v>
      </c>
      <c r="S899">
        <v>0.16882426587417146</v>
      </c>
      <c r="T899">
        <v>1.1628618251655021</v>
      </c>
      <c r="U899">
        <v>0</v>
      </c>
      <c r="V899">
        <v>1.583428212585165E-2</v>
      </c>
      <c r="W899">
        <v>6.1862388347614213E-2</v>
      </c>
      <c r="X899">
        <v>-1.5107647840536873E-2</v>
      </c>
      <c r="Y899">
        <v>2.7247386416552586E-2</v>
      </c>
    </row>
    <row r="900" spans="1:25" x14ac:dyDescent="0.25">
      <c r="A900" s="879"/>
      <c r="B900" s="1133">
        <v>650</v>
      </c>
      <c r="C900" s="883">
        <v>0.99677609680671841</v>
      </c>
      <c r="D900" s="883">
        <v>1.0218733071402617</v>
      </c>
      <c r="E900" s="883">
        <v>1.0363814347638518</v>
      </c>
      <c r="F900" s="883">
        <v>0.96821356979487161</v>
      </c>
      <c r="G900" s="883">
        <v>1.0144295921433293</v>
      </c>
      <c r="H900" s="883">
        <v>0.97928718048902352</v>
      </c>
      <c r="I900" s="883">
        <v>1.0416216284510205</v>
      </c>
      <c r="K900">
        <v>1.5774827293784524</v>
      </c>
      <c r="L900">
        <v>0</v>
      </c>
      <c r="M900">
        <v>6.0418111887812383E-3</v>
      </c>
      <c r="N900">
        <v>0.11887172168171707</v>
      </c>
      <c r="O900">
        <v>3.064804067859318E-2</v>
      </c>
      <c r="P900">
        <v>1.8393764468967563E-2</v>
      </c>
      <c r="Q900">
        <v>0</v>
      </c>
      <c r="R900">
        <v>6.0418111887812383E-3</v>
      </c>
      <c r="S900">
        <v>0.17486383341872996</v>
      </c>
      <c r="T900">
        <v>1.147605398390229</v>
      </c>
      <c r="U900">
        <v>0</v>
      </c>
      <c r="V900">
        <v>1.5871543988189015E-2</v>
      </c>
      <c r="W900">
        <v>6.1453727422328949E-2</v>
      </c>
      <c r="X900">
        <v>-1.5104403743401147E-2</v>
      </c>
      <c r="Y900">
        <v>2.4879103073098829E-2</v>
      </c>
    </row>
    <row r="901" spans="1:25" x14ac:dyDescent="0.25">
      <c r="A901" s="879"/>
      <c r="B901" s="1133">
        <v>651</v>
      </c>
      <c r="C901" s="883">
        <v>0.97946048173642597</v>
      </c>
      <c r="D901" s="883">
        <v>0.99986693604799226</v>
      </c>
      <c r="E901" s="883">
        <v>0.99094963429661542</v>
      </c>
      <c r="F901" s="883">
        <v>1.0028456825069296</v>
      </c>
      <c r="G901" s="883">
        <v>1.0252362121731577</v>
      </c>
      <c r="H901" s="883">
        <v>1.0341071692344097</v>
      </c>
      <c r="I901" s="883">
        <v>0.98917254205154992</v>
      </c>
      <c r="K901">
        <v>1.6308942341755772</v>
      </c>
      <c r="L901">
        <v>0</v>
      </c>
      <c r="M901">
        <v>6.8219661164275582E-3</v>
      </c>
      <c r="N901">
        <v>0.12549305965513702</v>
      </c>
      <c r="O901">
        <v>3.1503973775576045E-2</v>
      </c>
      <c r="P901">
        <v>1.8302836429501194E-2</v>
      </c>
      <c r="Q901">
        <v>0</v>
      </c>
      <c r="R901">
        <v>6.8219661164275582E-3</v>
      </c>
      <c r="S901">
        <v>0.17236271819799476</v>
      </c>
      <c r="T901">
        <v>1.1894982087686992</v>
      </c>
      <c r="U901">
        <v>0</v>
      </c>
      <c r="V901">
        <v>1.5968233514084159E-2</v>
      </c>
      <c r="W901">
        <v>6.6348935384826557E-2</v>
      </c>
      <c r="X901">
        <v>-1.6675373752987853E-2</v>
      </c>
      <c r="Y901">
        <v>2.8091642202745831E-2</v>
      </c>
    </row>
    <row r="902" spans="1:25" x14ac:dyDescent="0.25">
      <c r="A902" s="879"/>
      <c r="B902" s="1133">
        <v>652</v>
      </c>
      <c r="C902" s="883">
        <v>0.96732328666189571</v>
      </c>
      <c r="D902" s="883">
        <v>1.01297562380256</v>
      </c>
      <c r="E902" s="883">
        <v>0.99596825194544236</v>
      </c>
      <c r="F902" s="883">
        <v>1.0001125946479408</v>
      </c>
      <c r="G902" s="883">
        <v>0.98990733900468331</v>
      </c>
      <c r="H902" s="883">
        <v>1.0175214249122568</v>
      </c>
      <c r="I902" s="883">
        <v>1.0128290488919687</v>
      </c>
      <c r="K902">
        <v>1.6315982714312793</v>
      </c>
      <c r="L902">
        <v>0</v>
      </c>
      <c r="M902">
        <v>6.7278761397247472E-3</v>
      </c>
      <c r="N902">
        <v>0.1246862827345486</v>
      </c>
      <c r="O902">
        <v>3.1729199106179364E-2</v>
      </c>
      <c r="P902">
        <v>1.8398807320298645E-2</v>
      </c>
      <c r="Q902">
        <v>0</v>
      </c>
      <c r="R902">
        <v>6.7278761397247472E-3</v>
      </c>
      <c r="S902">
        <v>0.1775549525970857</v>
      </c>
      <c r="T902">
        <v>1.186163004218874</v>
      </c>
      <c r="U902">
        <v>0</v>
      </c>
      <c r="V902">
        <v>1.6038070552213856E-2</v>
      </c>
      <c r="W902">
        <v>6.5757847530718394E-2</v>
      </c>
      <c r="X902">
        <v>-1.6434089054714971E-2</v>
      </c>
      <c r="Y902">
        <v>2.7704196426075193E-2</v>
      </c>
    </row>
    <row r="903" spans="1:25" x14ac:dyDescent="0.25">
      <c r="A903" s="879"/>
      <c r="B903" s="1133">
        <v>653</v>
      </c>
      <c r="C903" s="883">
        <v>0.96397722937263286</v>
      </c>
      <c r="D903" s="883">
        <v>0.99210798288822899</v>
      </c>
      <c r="E903" s="883">
        <v>1.0279884582904044</v>
      </c>
      <c r="F903" s="883">
        <v>0.9735106149040369</v>
      </c>
      <c r="G903" s="883">
        <v>1.0157480703414936</v>
      </c>
      <c r="H903" s="883">
        <v>1.0422829544212862</v>
      </c>
      <c r="I903" s="883">
        <v>0.97524170031461499</v>
      </c>
      <c r="K903">
        <v>1.6044270538428458</v>
      </c>
      <c r="L903">
        <v>0</v>
      </c>
      <c r="M903">
        <v>6.7872343011724876E-3</v>
      </c>
      <c r="N903">
        <v>0.13189157487830527</v>
      </c>
      <c r="O903">
        <v>3.2076020300263103E-2</v>
      </c>
      <c r="P903">
        <v>1.83489543618181E-2</v>
      </c>
      <c r="Q903">
        <v>0</v>
      </c>
      <c r="R903">
        <v>6.7872343011724876E-3</v>
      </c>
      <c r="S903">
        <v>0.17327454549200591</v>
      </c>
      <c r="T903">
        <v>1.1540345781649402</v>
      </c>
      <c r="U903">
        <v>0</v>
      </c>
      <c r="V903">
        <v>1.6057632900884165E-2</v>
      </c>
      <c r="W903">
        <v>6.8465744671853512E-2</v>
      </c>
      <c r="X903">
        <v>-1.7670619696781954E-2</v>
      </c>
      <c r="Y903">
        <v>2.7948622769558104E-2</v>
      </c>
    </row>
    <row r="904" spans="1:25" x14ac:dyDescent="0.25">
      <c r="A904" s="879"/>
      <c r="B904" s="1133">
        <v>654</v>
      </c>
      <c r="C904" s="883">
        <v>0.9780674715184976</v>
      </c>
      <c r="D904" s="883">
        <v>0.99925261275589794</v>
      </c>
      <c r="E904" s="883">
        <v>1.0036314751556739</v>
      </c>
      <c r="F904" s="883">
        <v>1.0177926648872162</v>
      </c>
      <c r="G904" s="883">
        <v>1.0159286832725205</v>
      </c>
      <c r="H904" s="883">
        <v>1.0011194203044513</v>
      </c>
      <c r="I904" s="883">
        <v>1.0161234700138928</v>
      </c>
      <c r="K904">
        <v>1.6467545527804925</v>
      </c>
      <c r="L904">
        <v>0</v>
      </c>
      <c r="M904">
        <v>6.542702628700975E-3</v>
      </c>
      <c r="N904">
        <v>0.12263895941473039</v>
      </c>
      <c r="O904">
        <v>3.1545662356664741E-2</v>
      </c>
      <c r="P904">
        <v>1.8754691965084013E-2</v>
      </c>
      <c r="Q904">
        <v>0</v>
      </c>
      <c r="R904">
        <v>6.542702628700975E-3</v>
      </c>
      <c r="S904">
        <v>0.17534478434686149</v>
      </c>
      <c r="T904">
        <v>1.2069871246924535</v>
      </c>
      <c r="U904">
        <v>0</v>
      </c>
      <c r="V904">
        <v>1.5976160801589825E-2</v>
      </c>
      <c r="W904">
        <v>6.443241175963503E-2</v>
      </c>
      <c r="X904">
        <v>-1.5866927423862878E-2</v>
      </c>
      <c r="Y904">
        <v>2.6941684867335575E-2</v>
      </c>
    </row>
    <row r="905" spans="1:25" x14ac:dyDescent="0.25">
      <c r="A905" s="879"/>
      <c r="B905" s="1133">
        <v>655</v>
      </c>
      <c r="C905" s="883">
        <v>0.99967581526636784</v>
      </c>
      <c r="D905" s="883">
        <v>1.0133646476422</v>
      </c>
      <c r="E905" s="883">
        <v>0.98156334368191078</v>
      </c>
      <c r="F905" s="883">
        <v>1.0079099127219582</v>
      </c>
      <c r="G905" s="883">
        <v>0.95960209589380041</v>
      </c>
      <c r="H905" s="883">
        <v>1.0136669679249675</v>
      </c>
      <c r="I905" s="883">
        <v>0.98345783571089029</v>
      </c>
      <c r="K905">
        <v>1.6209023613783313</v>
      </c>
      <c r="L905">
        <v>0</v>
      </c>
      <c r="M905">
        <v>6.5663819595501135E-3</v>
      </c>
      <c r="N905">
        <v>0.11912173350694762</v>
      </c>
      <c r="O905">
        <v>3.070936094869723E-2</v>
      </c>
      <c r="P905">
        <v>1.817528194816543E-2</v>
      </c>
      <c r="Q905">
        <v>0</v>
      </c>
      <c r="R905">
        <v>6.5663819595501135E-3</v>
      </c>
      <c r="S905">
        <v>0.16658871064064434</v>
      </c>
      <c r="T905">
        <v>1.1956814028602836</v>
      </c>
      <c r="U905">
        <v>0</v>
      </c>
      <c r="V905">
        <v>1.5855679536229371E-2</v>
      </c>
      <c r="W905">
        <v>6.3276309886712276E-2</v>
      </c>
      <c r="X905">
        <v>-1.5545310086358182E-2</v>
      </c>
      <c r="Y905">
        <v>2.7039192137008561E-2</v>
      </c>
    </row>
    <row r="906" spans="1:25" x14ac:dyDescent="0.25">
      <c r="A906" s="879"/>
      <c r="B906" s="1133">
        <v>656</v>
      </c>
      <c r="C906" s="883">
        <v>1.017651624907397</v>
      </c>
      <c r="D906" s="883">
        <v>0.9549415573035156</v>
      </c>
      <c r="E906" s="883">
        <v>1.0120608591926719</v>
      </c>
      <c r="F906" s="883">
        <v>0.99996022478782798</v>
      </c>
      <c r="G906" s="883">
        <v>0.99456362105117457</v>
      </c>
      <c r="H906" s="883">
        <v>0.96960624753070879</v>
      </c>
      <c r="I906" s="883">
        <v>0.96368390279582139</v>
      </c>
      <c r="K906">
        <v>1.598057952800916</v>
      </c>
      <c r="L906">
        <v>0</v>
      </c>
      <c r="M906">
        <v>6.1692710103873789E-3</v>
      </c>
      <c r="N906">
        <v>0.11709151714097368</v>
      </c>
      <c r="O906">
        <v>3.0866330599443978E-2</v>
      </c>
      <c r="P906">
        <v>1.8356258022392005E-2</v>
      </c>
      <c r="Q906">
        <v>0</v>
      </c>
      <c r="R906">
        <v>6.1692710103873789E-3</v>
      </c>
      <c r="S906">
        <v>0.15852625665361653</v>
      </c>
      <c r="T906">
        <v>1.1856834999640924</v>
      </c>
      <c r="U906">
        <v>0</v>
      </c>
      <c r="V906">
        <v>1.5759350728403444E-2</v>
      </c>
      <c r="W906">
        <v>6.1261706037497046E-2</v>
      </c>
      <c r="X906">
        <v>-1.4890926276975016E-2</v>
      </c>
      <c r="Y906">
        <v>2.5403959931470408E-2</v>
      </c>
    </row>
    <row r="907" spans="1:25" x14ac:dyDescent="0.25">
      <c r="A907" s="879"/>
      <c r="B907" s="1133">
        <v>657</v>
      </c>
      <c r="C907" s="883">
        <v>1.0343665191293132</v>
      </c>
      <c r="D907" s="883">
        <v>0.95613629307445114</v>
      </c>
      <c r="E907" s="883">
        <v>1.0301519806922155</v>
      </c>
      <c r="F907" s="883">
        <v>0.98210650982887904</v>
      </c>
      <c r="G907" s="883">
        <v>1.0142101214293084</v>
      </c>
      <c r="H907" s="883">
        <v>1.0030365918863864</v>
      </c>
      <c r="I907" s="883">
        <v>1.0209776951369822</v>
      </c>
      <c r="K907">
        <v>1.5886446256120312</v>
      </c>
      <c r="L907">
        <v>0</v>
      </c>
      <c r="M907">
        <v>6.1767196390005233E-3</v>
      </c>
      <c r="N907">
        <v>0.1204123740966296</v>
      </c>
      <c r="O907">
        <v>3.0336114773887188E-2</v>
      </c>
      <c r="P907">
        <v>1.8428571897769513E-2</v>
      </c>
      <c r="Q907">
        <v>0</v>
      </c>
      <c r="R907">
        <v>6.1767196390005233E-3</v>
      </c>
      <c r="S907">
        <v>0.16719577215833967</v>
      </c>
      <c r="T907">
        <v>1.1641852445478684</v>
      </c>
      <c r="U907">
        <v>0</v>
      </c>
      <c r="V907">
        <v>1.5672782986636904E-2</v>
      </c>
      <c r="W907">
        <v>6.2440485118856734E-2</v>
      </c>
      <c r="X907">
        <v>-1.546135202625103E-2</v>
      </c>
      <c r="Y907">
        <v>2.5434632058292869E-2</v>
      </c>
    </row>
    <row r="908" spans="1:25" x14ac:dyDescent="0.25">
      <c r="A908" s="879"/>
      <c r="B908" s="1133">
        <v>658</v>
      </c>
      <c r="C908" s="883">
        <v>0.9970007820586736</v>
      </c>
      <c r="D908" s="883">
        <v>1.0330507251249372</v>
      </c>
      <c r="E908" s="883">
        <v>1.0023992211511523</v>
      </c>
      <c r="F908" s="883">
        <v>0.97984518909066431</v>
      </c>
      <c r="G908" s="883">
        <v>1.0138549498767597</v>
      </c>
      <c r="H908" s="883">
        <v>1.0037384999943137</v>
      </c>
      <c r="I908" s="883">
        <v>1.0229770485431429</v>
      </c>
      <c r="K908">
        <v>1.591446051255424</v>
      </c>
      <c r="L908">
        <v>0</v>
      </c>
      <c r="M908">
        <v>6.3473876558671309E-3</v>
      </c>
      <c r="N908">
        <v>0.11876094477850899</v>
      </c>
      <c r="O908">
        <v>3.0538614822411259E-2</v>
      </c>
      <c r="P908">
        <v>1.8101641782478126E-2</v>
      </c>
      <c r="Q908">
        <v>0</v>
      </c>
      <c r="R908">
        <v>6.3473876558671309E-3</v>
      </c>
      <c r="S908">
        <v>0.17298962478429128</v>
      </c>
      <c r="T908">
        <v>1.1620081293456124</v>
      </c>
      <c r="U908">
        <v>0</v>
      </c>
      <c r="V908">
        <v>1.5870311429822478E-2</v>
      </c>
      <c r="W908">
        <v>6.2433118250901844E-2</v>
      </c>
      <c r="X908">
        <v>-1.5393746512578492E-2</v>
      </c>
      <c r="Y908">
        <v>2.6137412573974984E-2</v>
      </c>
    </row>
    <row r="909" spans="1:25" x14ac:dyDescent="0.25">
      <c r="A909" s="879"/>
      <c r="B909" s="1133">
        <v>659</v>
      </c>
      <c r="C909" s="883">
        <v>1.0071281938310666</v>
      </c>
      <c r="D909" s="883">
        <v>0.9981639731810249</v>
      </c>
      <c r="E909" s="883">
        <v>1.003864315822774</v>
      </c>
      <c r="F909" s="883">
        <v>0.96185861591769384</v>
      </c>
      <c r="G909" s="883">
        <v>1.0113862277065544</v>
      </c>
      <c r="H909" s="883">
        <v>1.0150037177955611</v>
      </c>
      <c r="I909" s="883">
        <v>0.98380854109664961</v>
      </c>
      <c r="K909">
        <v>1.5654360774491447</v>
      </c>
      <c r="L909">
        <v>0</v>
      </c>
      <c r="M909">
        <v>6.4438554443191267E-3</v>
      </c>
      <c r="N909">
        <v>0.12082779008617148</v>
      </c>
      <c r="O909">
        <v>3.0648572169399136E-2</v>
      </c>
      <c r="P909">
        <v>1.7736154581539317E-2</v>
      </c>
      <c r="Q909">
        <v>0</v>
      </c>
      <c r="R909">
        <v>6.4438554443191267E-3</v>
      </c>
      <c r="S909">
        <v>0.1656678872720293</v>
      </c>
      <c r="T909">
        <v>1.1406515025927539</v>
      </c>
      <c r="U909">
        <v>0</v>
      </c>
      <c r="V909">
        <v>1.5815326426387905E-2</v>
      </c>
      <c r="W909">
        <v>6.3473525319490881E-2</v>
      </c>
      <c r="X909">
        <v>-1.5919330754822797E-2</v>
      </c>
      <c r="Y909">
        <v>2.6534649756194059E-2</v>
      </c>
    </row>
    <row r="910" spans="1:25" x14ac:dyDescent="0.25">
      <c r="A910" s="879"/>
      <c r="B910" s="1133">
        <v>660</v>
      </c>
      <c r="C910" s="883">
        <v>1.0069539972207375</v>
      </c>
      <c r="D910" s="883">
        <v>0.99639071434358284</v>
      </c>
      <c r="E910" s="883">
        <v>1.0225689926885368</v>
      </c>
      <c r="F910" s="883">
        <v>0.98358175492709932</v>
      </c>
      <c r="G910" s="883">
        <v>0.99769739250548373</v>
      </c>
      <c r="H910" s="883">
        <v>1.0089172210487989</v>
      </c>
      <c r="I910" s="883">
        <v>1.0096930651679126</v>
      </c>
      <c r="K910">
        <v>1.5957880943653973</v>
      </c>
      <c r="L910">
        <v>0</v>
      </c>
      <c r="M910">
        <v>6.3073491457604665E-3</v>
      </c>
      <c r="N910">
        <v>0.12158800187669506</v>
      </c>
      <c r="O910">
        <v>3.0659136019309995E-2</v>
      </c>
      <c r="P910">
        <v>1.8387662044369684E-2</v>
      </c>
      <c r="Q910">
        <v>0</v>
      </c>
      <c r="R910">
        <v>6.3073491457604665E-3</v>
      </c>
      <c r="S910">
        <v>0.1697408543574758</v>
      </c>
      <c r="T910">
        <v>1.1660717445002093</v>
      </c>
      <c r="U910">
        <v>0</v>
      </c>
      <c r="V910">
        <v>1.5816262847845427E-2</v>
      </c>
      <c r="W910">
        <v>6.3285453539287176E-2</v>
      </c>
      <c r="X910">
        <v>-1.5733561935739711E-2</v>
      </c>
      <c r="Y910">
        <v>2.597254111594488E-2</v>
      </c>
    </row>
    <row r="911" spans="1:25" x14ac:dyDescent="0.25">
      <c r="A911" s="879"/>
      <c r="B911" s="1133">
        <v>661</v>
      </c>
      <c r="C911" s="883">
        <v>0.99034170877270478</v>
      </c>
      <c r="D911" s="883">
        <v>1.0028529640544546</v>
      </c>
      <c r="E911" s="883">
        <v>0.97964543143965943</v>
      </c>
      <c r="F911" s="883">
        <v>0.98596014615877281</v>
      </c>
      <c r="G911" s="883">
        <v>1.0018410607589796</v>
      </c>
      <c r="H911" s="883">
        <v>1.0146346664727501</v>
      </c>
      <c r="I911" s="883">
        <v>0.99912442567869197</v>
      </c>
      <c r="K911">
        <v>1.6021024910213939</v>
      </c>
      <c r="L911">
        <v>0</v>
      </c>
      <c r="M911">
        <v>6.6766666586151177E-3</v>
      </c>
      <c r="N911">
        <v>0.12077826833277698</v>
      </c>
      <c r="O911">
        <v>3.1129900415100303E-2</v>
      </c>
      <c r="P911">
        <v>1.7864954840897073E-2</v>
      </c>
      <c r="Q911">
        <v>0</v>
      </c>
      <c r="R911">
        <v>6.6766666586151177E-3</v>
      </c>
      <c r="S911">
        <v>0.1710010737969013</v>
      </c>
      <c r="T911">
        <v>1.1696777456602809</v>
      </c>
      <c r="U911">
        <v>0</v>
      </c>
      <c r="V911">
        <v>1.5907078520531179E-2</v>
      </c>
      <c r="W911">
        <v>6.4217869855564325E-2</v>
      </c>
      <c r="X911">
        <v>-1.5967725298472742E-2</v>
      </c>
      <c r="Y911">
        <v>2.7493324897813583E-2</v>
      </c>
    </row>
    <row r="912" spans="1:25" x14ac:dyDescent="0.25">
      <c r="A912" s="879"/>
      <c r="B912" s="1133">
        <v>662</v>
      </c>
      <c r="C912" s="883">
        <v>0.99200841905334336</v>
      </c>
      <c r="D912" s="883">
        <v>0.98528334311768295</v>
      </c>
      <c r="E912" s="883">
        <v>1.0034971090032248</v>
      </c>
      <c r="F912" s="883">
        <v>1.0341463799479698</v>
      </c>
      <c r="G912" s="883">
        <v>1.0377176753418142</v>
      </c>
      <c r="H912" s="883">
        <v>0.97302667093670747</v>
      </c>
      <c r="I912" s="883">
        <v>0.99659807606808437</v>
      </c>
      <c r="K912">
        <v>1.6519493279914546</v>
      </c>
      <c r="L912">
        <v>0</v>
      </c>
      <c r="M912">
        <v>6.3099928019524007E-3</v>
      </c>
      <c r="N912">
        <v>0.11825342026344894</v>
      </c>
      <c r="O912">
        <v>3.1278102887562602E-2</v>
      </c>
      <c r="P912">
        <v>1.8913901068573491E-2</v>
      </c>
      <c r="Q912">
        <v>0</v>
      </c>
      <c r="R912">
        <v>6.3099928019524007E-3</v>
      </c>
      <c r="S912">
        <v>0.16805751562340787</v>
      </c>
      <c r="T912">
        <v>1.2263833636668089</v>
      </c>
      <c r="U912">
        <v>0</v>
      </c>
      <c r="V912">
        <v>1.5897829713309376E-2</v>
      </c>
      <c r="W912">
        <v>6.2132464472263657E-2</v>
      </c>
      <c r="X912">
        <v>-1.4950696925509824E-2</v>
      </c>
      <c r="Y912">
        <v>2.5983427221590014E-2</v>
      </c>
    </row>
    <row r="913" spans="1:25" x14ac:dyDescent="0.25">
      <c r="A913" s="879"/>
      <c r="B913" s="1133">
        <v>663</v>
      </c>
      <c r="C913" s="883">
        <v>1.0023836912265176</v>
      </c>
      <c r="D913" s="883">
        <v>0.96193743041492319</v>
      </c>
      <c r="E913" s="883">
        <v>0.98335900270161469</v>
      </c>
      <c r="F913" s="883">
        <v>0.99129817658002362</v>
      </c>
      <c r="G913" s="883">
        <v>1.0166465751051472</v>
      </c>
      <c r="H913" s="883">
        <v>0.99677680062260132</v>
      </c>
      <c r="I913" s="883">
        <v>0.98615555252054576</v>
      </c>
      <c r="K913">
        <v>1.6017815761183343</v>
      </c>
      <c r="L913">
        <v>0</v>
      </c>
      <c r="M913">
        <v>6.5806740238559319E-3</v>
      </c>
      <c r="N913">
        <v>0.11969942665163288</v>
      </c>
      <c r="O913">
        <v>3.1269673794635869E-2</v>
      </c>
      <c r="P913">
        <v>1.7934023386511115E-2</v>
      </c>
      <c r="Q913">
        <v>0</v>
      </c>
      <c r="R913">
        <v>6.5806740238559319E-3</v>
      </c>
      <c r="S913">
        <v>0.16616740512865347</v>
      </c>
      <c r="T913">
        <v>1.1759417165909674</v>
      </c>
      <c r="U913">
        <v>0</v>
      </c>
      <c r="V913">
        <v>1.5840947538945993E-2</v>
      </c>
      <c r="W913">
        <v>6.3526090111886063E-2</v>
      </c>
      <c r="X913">
        <v>-1.5695751398826691E-2</v>
      </c>
      <c r="Y913">
        <v>2.7098044313927306E-2</v>
      </c>
    </row>
    <row r="914" spans="1:25" x14ac:dyDescent="0.25">
      <c r="A914" s="879"/>
      <c r="B914" s="1133">
        <v>664</v>
      </c>
      <c r="C914" s="883">
        <v>0.99925305960195032</v>
      </c>
      <c r="D914" s="883">
        <v>1.0372633751884492</v>
      </c>
      <c r="E914" s="883">
        <v>1.0302025999725264</v>
      </c>
      <c r="F914" s="883">
        <v>0.9813546844755433</v>
      </c>
      <c r="G914" s="883">
        <v>0.99084416926611529</v>
      </c>
      <c r="H914" s="883">
        <v>1.0136668137651492</v>
      </c>
      <c r="I914" s="883">
        <v>1.0078507001086823</v>
      </c>
      <c r="K914">
        <v>1.5930865770095708</v>
      </c>
      <c r="L914">
        <v>0</v>
      </c>
      <c r="M914">
        <v>6.2306894546759429E-3</v>
      </c>
      <c r="N914">
        <v>0.12147358023564823</v>
      </c>
      <c r="O914">
        <v>3.0395586777471943E-2</v>
      </c>
      <c r="P914">
        <v>1.8466376220610554E-2</v>
      </c>
      <c r="Q914">
        <v>0</v>
      </c>
      <c r="R914">
        <v>6.2306894546759429E-3</v>
      </c>
      <c r="S914">
        <v>0.17060955485674961</v>
      </c>
      <c r="T914">
        <v>1.1632931170828447</v>
      </c>
      <c r="U914">
        <v>0</v>
      </c>
      <c r="V914">
        <v>1.5857986712647491E-2</v>
      </c>
      <c r="W914">
        <v>6.2989215152673542E-2</v>
      </c>
      <c r="X914">
        <v>-1.565571018204942E-2</v>
      </c>
      <c r="Y914">
        <v>2.5656870152975169E-2</v>
      </c>
    </row>
    <row r="915" spans="1:25" x14ac:dyDescent="0.25">
      <c r="A915" s="879"/>
      <c r="B915" s="1133">
        <v>665</v>
      </c>
      <c r="C915" s="883">
        <v>1.0073749727858745</v>
      </c>
      <c r="D915" s="883">
        <v>0.99749140297179206</v>
      </c>
      <c r="E915" s="883">
        <v>0.97785774091469846</v>
      </c>
      <c r="F915" s="883">
        <v>0.9866319419877283</v>
      </c>
      <c r="G915" s="883">
        <v>1.0129880115983225</v>
      </c>
      <c r="H915" s="883">
        <v>1.0315411364905864</v>
      </c>
      <c r="I915" s="883">
        <v>0.97332244861634198</v>
      </c>
      <c r="K915">
        <v>1.5962502673827264</v>
      </c>
      <c r="L915">
        <v>0</v>
      </c>
      <c r="M915">
        <v>6.6995482543502445E-3</v>
      </c>
      <c r="N915">
        <v>0.12087113831519604</v>
      </c>
      <c r="O915">
        <v>3.0670632412061534E-2</v>
      </c>
      <c r="P915">
        <v>1.7767898324547227E-2</v>
      </c>
      <c r="Q915">
        <v>0</v>
      </c>
      <c r="R915">
        <v>6.6995482543502445E-3</v>
      </c>
      <c r="S915">
        <v>0.16476902787685657</v>
      </c>
      <c r="T915">
        <v>1.1705076637737826</v>
      </c>
      <c r="U915">
        <v>0</v>
      </c>
      <c r="V915">
        <v>1.5814000381423814E-2</v>
      </c>
      <c r="W915">
        <v>6.4324830558023918E-2</v>
      </c>
      <c r="X915">
        <v>-1.606247149544459E-2</v>
      </c>
      <c r="Y915">
        <v>2.7587547236278626E-2</v>
      </c>
    </row>
    <row r="916" spans="1:25" x14ac:dyDescent="0.25">
      <c r="A916" s="879"/>
      <c r="B916" s="1133">
        <v>666</v>
      </c>
      <c r="C916" s="883">
        <v>0.99241277977609277</v>
      </c>
      <c r="D916" s="883">
        <v>1.0058298890846662</v>
      </c>
      <c r="E916" s="883">
        <v>1.0210847823772344</v>
      </c>
      <c r="F916" s="883">
        <v>1.0165783542959757</v>
      </c>
      <c r="G916" s="883">
        <v>1.0168897793772269</v>
      </c>
      <c r="H916" s="883">
        <v>0.99505009447732273</v>
      </c>
      <c r="I916" s="883">
        <v>1.0296764327419328</v>
      </c>
      <c r="K916">
        <v>1.6403894774622692</v>
      </c>
      <c r="L916">
        <v>0</v>
      </c>
      <c r="M916">
        <v>6.2934911240965742E-3</v>
      </c>
      <c r="N916">
        <v>0.12105481686559487</v>
      </c>
      <c r="O916">
        <v>3.0992625221182186E-2</v>
      </c>
      <c r="P916">
        <v>1.8967809411746233E-2</v>
      </c>
      <c r="Q916">
        <v>0</v>
      </c>
      <c r="R916">
        <v>6.2934911240965742E-3</v>
      </c>
      <c r="S916">
        <v>0.17470134714858737</v>
      </c>
      <c r="T916">
        <v>1.205218302994514</v>
      </c>
      <c r="U916">
        <v>0</v>
      </c>
      <c r="V916">
        <v>1.5895590542113258E-2</v>
      </c>
      <c r="W916">
        <v>6.3053983895752924E-2</v>
      </c>
      <c r="X916">
        <v>-1.5410474866591896E-2</v>
      </c>
      <c r="Y916">
        <v>2.591547624936888E-2</v>
      </c>
    </row>
    <row r="917" spans="1:25" x14ac:dyDescent="0.25">
      <c r="A917" s="879"/>
      <c r="B917" s="1133">
        <v>667</v>
      </c>
      <c r="C917" s="883">
        <v>0.99752212355425152</v>
      </c>
      <c r="D917" s="883">
        <v>0.99376209541432392</v>
      </c>
      <c r="E917" s="883">
        <v>0.95952057347439679</v>
      </c>
      <c r="F917" s="883">
        <v>1.0262460761534513</v>
      </c>
      <c r="G917" s="883">
        <v>1.0126342336993208</v>
      </c>
      <c r="H917" s="883">
        <v>0.98869268600040072</v>
      </c>
      <c r="I917" s="883">
        <v>0.99230353543371708</v>
      </c>
      <c r="K917">
        <v>1.6404117460549055</v>
      </c>
      <c r="L917">
        <v>0</v>
      </c>
      <c r="M917">
        <v>6.6000550407394921E-3</v>
      </c>
      <c r="N917">
        <v>0.11587749585442693</v>
      </c>
      <c r="O917">
        <v>3.1034007726472461E-2</v>
      </c>
      <c r="P917">
        <v>1.81615514425424E-2</v>
      </c>
      <c r="Q917">
        <v>0</v>
      </c>
      <c r="R917">
        <v>6.6000550407394921E-3</v>
      </c>
      <c r="S917">
        <v>0.16718544399867205</v>
      </c>
      <c r="T917">
        <v>1.217856878964459</v>
      </c>
      <c r="U917">
        <v>0</v>
      </c>
      <c r="V917">
        <v>1.5867453639909285E-2</v>
      </c>
      <c r="W917">
        <v>6.2238791660599438E-2</v>
      </c>
      <c r="X917">
        <v>-1.4987729123938536E-2</v>
      </c>
      <c r="Y917">
        <v>2.7177851891761407E-2</v>
      </c>
    </row>
    <row r="918" spans="1:25" x14ac:dyDescent="0.25">
      <c r="A918" s="879"/>
      <c r="B918" s="1133">
        <v>668</v>
      </c>
      <c r="C918" s="883">
        <v>0.99149330379951861</v>
      </c>
      <c r="D918" s="883">
        <v>1.0044556524266495</v>
      </c>
      <c r="E918" s="883">
        <v>1.0287998423090932</v>
      </c>
      <c r="F918" s="883">
        <v>1.0078218190186823</v>
      </c>
      <c r="G918" s="883">
        <v>1.013400255437241</v>
      </c>
      <c r="H918" s="883">
        <v>1.0133092679893541</v>
      </c>
      <c r="I918" s="883">
        <v>1.0183897097849077</v>
      </c>
      <c r="K918">
        <v>1.6332907827501084</v>
      </c>
      <c r="L918">
        <v>0</v>
      </c>
      <c r="M918">
        <v>6.3756013950576392E-3</v>
      </c>
      <c r="N918">
        <v>0.12404130239522766</v>
      </c>
      <c r="O918">
        <v>3.1031163932397715E-2</v>
      </c>
      <c r="P918">
        <v>1.8924033726214016E-2</v>
      </c>
      <c r="Q918">
        <v>0</v>
      </c>
      <c r="R918">
        <v>6.3756013950576392E-3</v>
      </c>
      <c r="S918">
        <v>0.17405447660248416</v>
      </c>
      <c r="T918">
        <v>1.194693221240523</v>
      </c>
      <c r="U918">
        <v>0</v>
      </c>
      <c r="V918">
        <v>1.5900684839501463E-2</v>
      </c>
      <c r="W918">
        <v>6.4364976300380738E-2</v>
      </c>
      <c r="X918">
        <v>-1.5972668016724492E-2</v>
      </c>
      <c r="Y918">
        <v>2.6253591730103137E-2</v>
      </c>
    </row>
    <row r="919" spans="1:25" x14ac:dyDescent="0.25">
      <c r="A919" s="879"/>
      <c r="B919" s="1133">
        <v>669</v>
      </c>
      <c r="C919" s="883">
        <v>0.96224454796454639</v>
      </c>
      <c r="D919" s="883">
        <v>0.98794430582296378</v>
      </c>
      <c r="E919" s="883">
        <v>1.0005853656110872</v>
      </c>
      <c r="F919" s="883">
        <v>0.99859053497750161</v>
      </c>
      <c r="G919" s="883">
        <v>1.041712047575466</v>
      </c>
      <c r="H919" s="883">
        <v>0.9794405613549082</v>
      </c>
      <c r="I919" s="883">
        <v>0.99187595990612065</v>
      </c>
      <c r="K919">
        <v>1.6215358417867747</v>
      </c>
      <c r="L919">
        <v>0</v>
      </c>
      <c r="M919">
        <v>6.5568335723724062E-3</v>
      </c>
      <c r="N919">
        <v>0.12235053623094244</v>
      </c>
      <c r="O919">
        <v>3.2213425811690947E-2</v>
      </c>
      <c r="P919">
        <v>1.8374629879194023E-2</v>
      </c>
      <c r="Q919">
        <v>0</v>
      </c>
      <c r="R919">
        <v>6.5568335723724062E-3</v>
      </c>
      <c r="S919">
        <v>0.17279008477873761</v>
      </c>
      <c r="T919">
        <v>1.1842720725465916</v>
      </c>
      <c r="U919">
        <v>0</v>
      </c>
      <c r="V919">
        <v>1.6067816294294143E-2</v>
      </c>
      <c r="W919">
        <v>6.4378113064567477E-2</v>
      </c>
      <c r="X919">
        <v>-1.5910710397404361E-2</v>
      </c>
      <c r="Y919">
        <v>2.6999873578160319E-2</v>
      </c>
    </row>
    <row r="920" spans="1:25" x14ac:dyDescent="0.25">
      <c r="A920" s="879"/>
      <c r="B920" s="1133">
        <v>670</v>
      </c>
      <c r="C920" s="883">
        <v>1.0129401379097793</v>
      </c>
      <c r="D920" s="883">
        <v>0.98249238207227996</v>
      </c>
      <c r="E920" s="883">
        <v>0.99740717096088938</v>
      </c>
      <c r="F920" s="883">
        <v>0.99889779019471392</v>
      </c>
      <c r="G920" s="883">
        <v>0.99373324062560997</v>
      </c>
      <c r="H920" s="883">
        <v>1.0014343934822776</v>
      </c>
      <c r="I920" s="883">
        <v>1.0301268945790023</v>
      </c>
      <c r="K920">
        <v>1.6138625789988139</v>
      </c>
      <c r="L920">
        <v>0</v>
      </c>
      <c r="M920">
        <v>6.4020454526239386E-3</v>
      </c>
      <c r="N920">
        <v>0.11890098976253663</v>
      </c>
      <c r="O920">
        <v>3.0671700716035602E-2</v>
      </c>
      <c r="P920">
        <v>1.8319432340962435E-2</v>
      </c>
      <c r="Q920">
        <v>0</v>
      </c>
      <c r="R920">
        <v>6.4020454526239386E-3</v>
      </c>
      <c r="S920">
        <v>0.17183163444628355</v>
      </c>
      <c r="T920">
        <v>1.1846954762951247</v>
      </c>
      <c r="U920">
        <v>0</v>
      </c>
      <c r="V920">
        <v>1.5784268036780926E-2</v>
      </c>
      <c r="W920">
        <v>6.2661906919683957E-2</v>
      </c>
      <c r="X920">
        <v>-1.5365313170887697E-2</v>
      </c>
      <c r="Y920">
        <v>2.6362483652294384E-2</v>
      </c>
    </row>
    <row r="921" spans="1:25" x14ac:dyDescent="0.25">
      <c r="A921" s="879"/>
      <c r="B921" s="1133">
        <v>671</v>
      </c>
      <c r="C921" s="883">
        <v>0.99005196873554835</v>
      </c>
      <c r="D921" s="883">
        <v>1.0114002754532776</v>
      </c>
      <c r="E921" s="883">
        <v>1.0004195809155871</v>
      </c>
      <c r="F921" s="883">
        <v>0.99953003500231041</v>
      </c>
      <c r="G921" s="883">
        <v>1.0096964790139751</v>
      </c>
      <c r="H921" s="883">
        <v>0.95838728158571262</v>
      </c>
      <c r="I921" s="883">
        <v>0.99823184348110117</v>
      </c>
      <c r="K921">
        <v>1.6047570302393617</v>
      </c>
      <c r="L921">
        <v>0</v>
      </c>
      <c r="M921">
        <v>6.1716596216016273E-3</v>
      </c>
      <c r="N921">
        <v>0.11513490867601162</v>
      </c>
      <c r="O921">
        <v>3.1016309405725619E-2</v>
      </c>
      <c r="P921">
        <v>1.8315046651715759E-2</v>
      </c>
      <c r="Q921">
        <v>0</v>
      </c>
      <c r="R921">
        <v>6.1716596216016273E-3</v>
      </c>
      <c r="S921">
        <v>0.16756038354434807</v>
      </c>
      <c r="T921">
        <v>1.1853893459410922</v>
      </c>
      <c r="U921">
        <v>0</v>
      </c>
      <c r="V921">
        <v>1.590868950550926E-2</v>
      </c>
      <c r="W921">
        <v>6.0586398492019813E-2</v>
      </c>
      <c r="X921">
        <v>-1.4567847784354538E-2</v>
      </c>
      <c r="Y921">
        <v>2.5413795807293738E-2</v>
      </c>
    </row>
    <row r="922" spans="1:25" x14ac:dyDescent="0.25">
      <c r="A922" s="879"/>
      <c r="B922" s="1133">
        <v>672</v>
      </c>
      <c r="C922" s="883">
        <v>0.9749998481817066</v>
      </c>
      <c r="D922" s="883">
        <v>0.99875909126837414</v>
      </c>
      <c r="E922" s="883">
        <v>0.97436649221899718</v>
      </c>
      <c r="F922" s="883">
        <v>1.015808625607747</v>
      </c>
      <c r="G922" s="883">
        <v>0.98800202096986744</v>
      </c>
      <c r="H922" s="883">
        <v>0.98972742451598572</v>
      </c>
      <c r="I922" s="883">
        <v>1.005343356859099</v>
      </c>
      <c r="K922">
        <v>1.639536908670999</v>
      </c>
      <c r="L922">
        <v>0</v>
      </c>
      <c r="M922">
        <v>6.6578833366579774E-3</v>
      </c>
      <c r="N922">
        <v>0.11949865716345663</v>
      </c>
      <c r="O922">
        <v>3.1675762290009055E-2</v>
      </c>
      <c r="P922">
        <v>1.8289394846518588E-2</v>
      </c>
      <c r="Q922">
        <v>0</v>
      </c>
      <c r="R922">
        <v>6.6578833366579774E-3</v>
      </c>
      <c r="S922">
        <v>0.17332189924785796</v>
      </c>
      <c r="T922">
        <v>1.2051882019177367</v>
      </c>
      <c r="U922">
        <v>0</v>
      </c>
      <c r="V922">
        <v>1.5993697777705047E-2</v>
      </c>
      <c r="W922">
        <v>6.37058717400769E-2</v>
      </c>
      <c r="X922">
        <v>-1.5552554833664625E-2</v>
      </c>
      <c r="Y922">
        <v>2.7415978521300757E-2</v>
      </c>
    </row>
    <row r="923" spans="1:25" x14ac:dyDescent="0.25">
      <c r="A923" s="879"/>
      <c r="B923" s="1133">
        <v>673</v>
      </c>
      <c r="C923" s="883">
        <v>1.0326251981345764</v>
      </c>
      <c r="D923" s="883">
        <v>1.0122452996557147</v>
      </c>
      <c r="E923" s="883">
        <v>1.0062406329946567</v>
      </c>
      <c r="F923" s="883">
        <v>0.9792811284436358</v>
      </c>
      <c r="G923" s="883">
        <v>1.0160262814823859</v>
      </c>
      <c r="H923" s="883">
        <v>0.97893705298951994</v>
      </c>
      <c r="I923" s="883">
        <v>0.96624449896840148</v>
      </c>
      <c r="K923">
        <v>1.564063983035946</v>
      </c>
      <c r="L923">
        <v>0</v>
      </c>
      <c r="M923">
        <v>6.0111847403979601E-3</v>
      </c>
      <c r="N923">
        <v>0.11311220459764239</v>
      </c>
      <c r="O923">
        <v>2.9722802242019529E-2</v>
      </c>
      <c r="P923">
        <v>1.7921288264081826E-2</v>
      </c>
      <c r="Q923">
        <v>0</v>
      </c>
      <c r="R923">
        <v>6.0111847403979601E-3</v>
      </c>
      <c r="S923">
        <v>0.15661191452193646</v>
      </c>
      <c r="T923">
        <v>1.1612693612146416</v>
      </c>
      <c r="U923">
        <v>0</v>
      </c>
      <c r="V923">
        <v>1.5681670652201295E-2</v>
      </c>
      <c r="W923">
        <v>5.9350416969735829E-2</v>
      </c>
      <c r="X923">
        <v>-1.4358664236274757E-2</v>
      </c>
      <c r="Y923">
        <v>2.4752988809961098E-2</v>
      </c>
    </row>
    <row r="924" spans="1:25" x14ac:dyDescent="0.25">
      <c r="A924" s="879"/>
      <c r="B924" s="1133">
        <v>674</v>
      </c>
      <c r="C924" s="883">
        <v>1.0005097290043385</v>
      </c>
      <c r="D924" s="883">
        <v>1.0067692490569944</v>
      </c>
      <c r="E924" s="883">
        <v>0.99796074960032599</v>
      </c>
      <c r="F924" s="883">
        <v>0.97547168121546424</v>
      </c>
      <c r="G924" s="883">
        <v>0.98921406528491929</v>
      </c>
      <c r="H924" s="883">
        <v>0.96872710935109951</v>
      </c>
      <c r="I924" s="883">
        <v>1.0222058265890361</v>
      </c>
      <c r="K924">
        <v>1.5785916979708197</v>
      </c>
      <c r="L924">
        <v>0</v>
      </c>
      <c r="M924">
        <v>6.1989818981416731E-3</v>
      </c>
      <c r="N924">
        <v>0.11522409824366187</v>
      </c>
      <c r="O924">
        <v>3.0750588540422029E-2</v>
      </c>
      <c r="P924">
        <v>1.7938341748235841E-2</v>
      </c>
      <c r="Q924">
        <v>0</v>
      </c>
      <c r="R924">
        <v>6.1989818981416731E-3</v>
      </c>
      <c r="S924">
        <v>0.17044091614158108</v>
      </c>
      <c r="T924">
        <v>1.1569020062736957</v>
      </c>
      <c r="U924">
        <v>0</v>
      </c>
      <c r="V924">
        <v>1.5851134193162291E-2</v>
      </c>
      <c r="W924">
        <v>6.0707443380623977E-2</v>
      </c>
      <c r="X924">
        <v>-1.474913462946589E-2</v>
      </c>
      <c r="Y924">
        <v>2.5526304078901715E-2</v>
      </c>
    </row>
    <row r="925" spans="1:25" x14ac:dyDescent="0.25">
      <c r="A925" s="879"/>
      <c r="B925" s="1133">
        <v>675</v>
      </c>
      <c r="C925" s="883">
        <v>0.98701588389854722</v>
      </c>
      <c r="D925" s="883">
        <v>0.9981242688345171</v>
      </c>
      <c r="E925" s="883">
        <v>1.0011591955285493</v>
      </c>
      <c r="F925" s="883">
        <v>0.99501453037669796</v>
      </c>
      <c r="G925" s="883">
        <v>1.0017916186432823</v>
      </c>
      <c r="H925" s="883">
        <v>0.97390061152512264</v>
      </c>
      <c r="I925" s="883">
        <v>0.99955127792774878</v>
      </c>
      <c r="K925">
        <v>1.6059477236761968</v>
      </c>
      <c r="L925">
        <v>0</v>
      </c>
      <c r="M925">
        <v>6.3239390455032633E-3</v>
      </c>
      <c r="N925">
        <v>0.11810507773886195</v>
      </c>
      <c r="O925">
        <v>3.1275946982266205E-2</v>
      </c>
      <c r="P925">
        <v>1.8277420042505522E-2</v>
      </c>
      <c r="Q925">
        <v>0</v>
      </c>
      <c r="R925">
        <v>6.3239390455032633E-3</v>
      </c>
      <c r="S925">
        <v>0.16933080619200261</v>
      </c>
      <c r="T925">
        <v>1.1800205232962249</v>
      </c>
      <c r="U925">
        <v>0</v>
      </c>
      <c r="V925">
        <v>1.5925627337096279E-2</v>
      </c>
      <c r="W925">
        <v>6.2126546608088716E-2</v>
      </c>
      <c r="X925">
        <v>-1.5155079891042932E-2</v>
      </c>
      <c r="Y925">
        <v>2.6040855370193634E-2</v>
      </c>
    </row>
    <row r="926" spans="1:25" x14ac:dyDescent="0.25">
      <c r="A926" s="879"/>
      <c r="B926" s="1133">
        <v>676</v>
      </c>
      <c r="C926" s="883">
        <v>0.97148156309560685</v>
      </c>
      <c r="D926" s="883">
        <v>0.99489843476854456</v>
      </c>
      <c r="E926" s="883">
        <v>0.97763700728928504</v>
      </c>
      <c r="F926" s="883">
        <v>1.0370699963875516</v>
      </c>
      <c r="G926" s="883">
        <v>1.038893765844711</v>
      </c>
      <c r="H926" s="883">
        <v>1.0345409233568947</v>
      </c>
      <c r="I926" s="883">
        <v>0.98337909486482933</v>
      </c>
      <c r="K926">
        <v>1.6745469574900307</v>
      </c>
      <c r="L926">
        <v>0</v>
      </c>
      <c r="M926">
        <v>6.9767167999785851E-3</v>
      </c>
      <c r="N926">
        <v>0.12583050299712392</v>
      </c>
      <c r="O926">
        <v>3.1837131596441616E-2</v>
      </c>
      <c r="P926">
        <v>1.8660271453278712E-2</v>
      </c>
      <c r="Q926">
        <v>0</v>
      </c>
      <c r="R926">
        <v>6.9767167999785851E-3</v>
      </c>
      <c r="S926">
        <v>0.17282740179314676</v>
      </c>
      <c r="T926">
        <v>1.2303499881785658</v>
      </c>
      <c r="U926">
        <v>0</v>
      </c>
      <c r="V926">
        <v>1.6013947448043738E-2</v>
      </c>
      <c r="W926">
        <v>6.6971498333005294E-2</v>
      </c>
      <c r="X926">
        <v>-1.6672662282589679E-2</v>
      </c>
      <c r="Y926">
        <v>2.872887797301411E-2</v>
      </c>
    </row>
    <row r="927" spans="1:25" x14ac:dyDescent="0.25">
      <c r="A927" s="879"/>
      <c r="B927" s="1133">
        <v>677</v>
      </c>
      <c r="C927" s="883">
        <v>0.96240147466731951</v>
      </c>
      <c r="D927" s="883">
        <v>0.98619310218369172</v>
      </c>
      <c r="E927" s="883">
        <v>1.0291359636777404</v>
      </c>
      <c r="F927" s="883">
        <v>1.0098313428319607</v>
      </c>
      <c r="G927" s="883">
        <v>0.99798947502827007</v>
      </c>
      <c r="H927" s="883">
        <v>0.97498824526559513</v>
      </c>
      <c r="I927" s="883">
        <v>0.97430013177782904</v>
      </c>
      <c r="K927">
        <v>1.6323985189309198</v>
      </c>
      <c r="L927">
        <v>0</v>
      </c>
      <c r="M927">
        <v>6.3700006261416687E-3</v>
      </c>
      <c r="N927">
        <v>0.12399393215210325</v>
      </c>
      <c r="O927">
        <v>3.220435997514115E-2</v>
      </c>
      <c r="P927">
        <v>1.8900929217840066E-2</v>
      </c>
      <c r="Q927">
        <v>0</v>
      </c>
      <c r="R927">
        <v>6.3700006261416687E-3</v>
      </c>
      <c r="S927">
        <v>0.16948626762998067</v>
      </c>
      <c r="T927">
        <v>1.1970690882176083</v>
      </c>
      <c r="U927">
        <v>0</v>
      </c>
      <c r="V927">
        <v>1.6066892487500099E-2</v>
      </c>
      <c r="W927">
        <v>6.4329782799553009E-2</v>
      </c>
      <c r="X927">
        <v>-1.5883262309413039E-2</v>
      </c>
      <c r="Y927">
        <v>2.6230528760606883E-2</v>
      </c>
    </row>
    <row r="928" spans="1:25" x14ac:dyDescent="0.25">
      <c r="A928" s="879"/>
      <c r="B928" s="1133">
        <v>678</v>
      </c>
      <c r="C928" s="883">
        <v>0.96294441907180217</v>
      </c>
      <c r="D928" s="883">
        <v>1.0064262402698059</v>
      </c>
      <c r="E928" s="883">
        <v>0.98091590881825208</v>
      </c>
      <c r="F928" s="883">
        <v>1.01374647161439</v>
      </c>
      <c r="G928" s="883">
        <v>0.97011432880822368</v>
      </c>
      <c r="H928" s="883">
        <v>0.98861735004945439</v>
      </c>
      <c r="I928" s="883">
        <v>1.0052799622410507</v>
      </c>
      <c r="K928">
        <v>1.641280267361251</v>
      </c>
      <c r="L928">
        <v>0</v>
      </c>
      <c r="M928">
        <v>6.6725572202961424E-3</v>
      </c>
      <c r="N928">
        <v>0.12093166469004347</v>
      </c>
      <c r="O928">
        <v>3.1969034467367395E-2</v>
      </c>
      <c r="P928">
        <v>1.8375955016422443E-2</v>
      </c>
      <c r="Q928">
        <v>0</v>
      </c>
      <c r="R928">
        <v>6.6725572202961424E-3</v>
      </c>
      <c r="S928">
        <v>0.17534239333586343</v>
      </c>
      <c r="T928">
        <v>1.2026175522738058</v>
      </c>
      <c r="U928">
        <v>0</v>
      </c>
      <c r="V928">
        <v>1.6063698568467028E-2</v>
      </c>
      <c r="W928">
        <v>6.425854500086417E-2</v>
      </c>
      <c r="X928">
        <v>-1.5754978953852587E-2</v>
      </c>
      <c r="Y928">
        <v>2.7476402962268793E-2</v>
      </c>
    </row>
    <row r="929" spans="1:25" x14ac:dyDescent="0.25">
      <c r="A929" s="879"/>
      <c r="B929" s="1133">
        <v>679</v>
      </c>
      <c r="C929" s="883">
        <v>1.0411393078153219</v>
      </c>
      <c r="D929" s="883">
        <v>1.0023613929223592</v>
      </c>
      <c r="E929" s="883">
        <v>0.96864600886833774</v>
      </c>
      <c r="F929" s="883">
        <v>1.0211071651055581</v>
      </c>
      <c r="G929" s="883">
        <v>1.0291933062742071</v>
      </c>
      <c r="H929" s="883">
        <v>0.9856640687674123</v>
      </c>
      <c r="I929" s="883">
        <v>0.96966941348255953</v>
      </c>
      <c r="K929">
        <v>1.6129575895865562</v>
      </c>
      <c r="L929">
        <v>0</v>
      </c>
      <c r="M929">
        <v>6.2303332425990452E-3</v>
      </c>
      <c r="N929">
        <v>0.11087912271695648</v>
      </c>
      <c r="O929">
        <v>2.9625051191808756E-2</v>
      </c>
      <c r="P929">
        <v>1.8064377921178744E-2</v>
      </c>
      <c r="Q929">
        <v>0</v>
      </c>
      <c r="R929">
        <v>6.2303332425990452E-3</v>
      </c>
      <c r="S929">
        <v>0.15629397251570193</v>
      </c>
      <c r="T929">
        <v>1.2115838462609434</v>
      </c>
      <c r="U929">
        <v>0</v>
      </c>
      <c r="V929">
        <v>1.5638497503907962E-2</v>
      </c>
      <c r="W929">
        <v>5.9280860279401909E-2</v>
      </c>
      <c r="X929">
        <v>-1.4063542138388545E-2</v>
      </c>
      <c r="Y929">
        <v>2.5655403335045884E-2</v>
      </c>
    </row>
    <row r="930" spans="1:25" x14ac:dyDescent="0.25">
      <c r="A930" s="879"/>
      <c r="B930" s="1133">
        <v>680</v>
      </c>
      <c r="C930" s="883">
        <v>0.99466892961678022</v>
      </c>
      <c r="D930" s="883">
        <v>0.98485724674202679</v>
      </c>
      <c r="E930" s="883">
        <v>1.0093495651158397</v>
      </c>
      <c r="F930" s="883">
        <v>1.0224690974143054</v>
      </c>
      <c r="G930" s="883">
        <v>0.97588381436984051</v>
      </c>
      <c r="H930" s="883">
        <v>1.0322353056955105</v>
      </c>
      <c r="I930" s="883">
        <v>1.0003091294724218</v>
      </c>
      <c r="K930">
        <v>1.6523976720639384</v>
      </c>
      <c r="L930">
        <v>0</v>
      </c>
      <c r="M930">
        <v>6.6432655838988188E-3</v>
      </c>
      <c r="N930">
        <v>0.12558279279791101</v>
      </c>
      <c r="O930">
        <v>3.1194689244949062E-2</v>
      </c>
      <c r="P930">
        <v>1.8858716060816891E-2</v>
      </c>
      <c r="Q930">
        <v>0</v>
      </c>
      <c r="R930">
        <v>6.6432655838988188E-3</v>
      </c>
      <c r="S930">
        <v>0.17171865452029558</v>
      </c>
      <c r="T930">
        <v>1.2124243521912261</v>
      </c>
      <c r="U930">
        <v>0</v>
      </c>
      <c r="V930">
        <v>1.588313039757322E-2</v>
      </c>
      <c r="W930">
        <v>6.5792444891846658E-2</v>
      </c>
      <c r="X930">
        <v>-1.6412893257983303E-2</v>
      </c>
      <c r="Y930">
        <v>2.7355785217301531E-2</v>
      </c>
    </row>
    <row r="931" spans="1:25" x14ac:dyDescent="0.25">
      <c r="A931" s="879"/>
      <c r="B931" s="1133">
        <v>681</v>
      </c>
      <c r="C931" s="883">
        <v>1.0138695152654806</v>
      </c>
      <c r="D931" s="883">
        <v>0.97910298468027723</v>
      </c>
      <c r="E931" s="883">
        <v>1.0008961558679987</v>
      </c>
      <c r="F931" s="883">
        <v>1.0180401216627699</v>
      </c>
      <c r="G931" s="883">
        <v>1.0006944524873809</v>
      </c>
      <c r="H931" s="883">
        <v>1.0330170273794848</v>
      </c>
      <c r="I931" s="883">
        <v>0.96285231357408041</v>
      </c>
      <c r="K931">
        <v>1.6333245420617035</v>
      </c>
      <c r="L931">
        <v>0</v>
      </c>
      <c r="M931">
        <v>6.5879769376557063E-3</v>
      </c>
      <c r="N931">
        <v>0.12298828288676987</v>
      </c>
      <c r="O931">
        <v>3.0683027678896906E-2</v>
      </c>
      <c r="P931">
        <v>1.8542436457499877E-2</v>
      </c>
      <c r="Q931">
        <v>0</v>
      </c>
      <c r="R931">
        <v>6.5879769376557063E-3</v>
      </c>
      <c r="S931">
        <v>0.16225623835305397</v>
      </c>
      <c r="T931">
        <v>1.2073323064746113</v>
      </c>
      <c r="U931">
        <v>0</v>
      </c>
      <c r="V931">
        <v>1.5779334569160093E-2</v>
      </c>
      <c r="W931">
        <v>6.4703696382147458E-2</v>
      </c>
      <c r="X931">
        <v>-1.6088897153520104E-2</v>
      </c>
      <c r="Y931">
        <v>2.7128116413084578E-2</v>
      </c>
    </row>
    <row r="932" spans="1:25" x14ac:dyDescent="0.25">
      <c r="A932" s="879"/>
      <c r="B932" s="1133">
        <v>682</v>
      </c>
      <c r="C932" s="883">
        <v>0.97595271412975615</v>
      </c>
      <c r="D932" s="883">
        <v>1.0139394147300891</v>
      </c>
      <c r="E932" s="883">
        <v>1.029849865394709</v>
      </c>
      <c r="F932" s="883">
        <v>0.99211395189416129</v>
      </c>
      <c r="G932" s="883">
        <v>1.0007304006463249</v>
      </c>
      <c r="H932" s="883">
        <v>0.9994591982141301</v>
      </c>
      <c r="I932" s="883">
        <v>1.0114079257566968</v>
      </c>
      <c r="K932">
        <v>1.6151075453759607</v>
      </c>
      <c r="L932">
        <v>0</v>
      </c>
      <c r="M932">
        <v>6.3560331421005818E-3</v>
      </c>
      <c r="N932">
        <v>0.12385268707148353</v>
      </c>
      <c r="O932">
        <v>3.1406007330414445E-2</v>
      </c>
      <c r="P932">
        <v>1.8693702076409219E-2</v>
      </c>
      <c r="Q932">
        <v>0</v>
      </c>
      <c r="R932">
        <v>6.3560331421005818E-3</v>
      </c>
      <c r="S932">
        <v>0.17468708512668327</v>
      </c>
      <c r="T932">
        <v>1.1760535584178509</v>
      </c>
      <c r="U932">
        <v>0</v>
      </c>
      <c r="V932">
        <v>1.5988238634035749E-2</v>
      </c>
      <c r="W932">
        <v>6.4233997584837624E-2</v>
      </c>
      <c r="X932">
        <v>-1.5980744013200557E-2</v>
      </c>
      <c r="Y932">
        <v>2.6173013147445159E-2</v>
      </c>
    </row>
    <row r="933" spans="1:25" x14ac:dyDescent="0.25">
      <c r="A933" s="879"/>
      <c r="B933" s="1133">
        <v>683</v>
      </c>
      <c r="C933" s="883">
        <v>1.0489331481427344</v>
      </c>
      <c r="D933" s="883">
        <v>1.0053460756324886</v>
      </c>
      <c r="E933" s="883">
        <v>1.0167022502528</v>
      </c>
      <c r="F933" s="883">
        <v>0.96043952653207765</v>
      </c>
      <c r="G933" s="883">
        <v>1.0315358162218176</v>
      </c>
      <c r="H933" s="883">
        <v>1.0013986311009939</v>
      </c>
      <c r="I933" s="883">
        <v>0.98514144714269525</v>
      </c>
      <c r="K933">
        <v>1.5449643893070906</v>
      </c>
      <c r="L933">
        <v>0</v>
      </c>
      <c r="M933">
        <v>6.0166874006725097E-3</v>
      </c>
      <c r="N933">
        <v>0.11498259928780893</v>
      </c>
      <c r="O933">
        <v>2.9332049760853917E-2</v>
      </c>
      <c r="P933">
        <v>1.7781710257710675E-2</v>
      </c>
      <c r="Q933">
        <v>0</v>
      </c>
      <c r="R933">
        <v>6.0166874006725097E-3</v>
      </c>
      <c r="S933">
        <v>0.15848382626503771</v>
      </c>
      <c r="T933">
        <v>1.13874002955814</v>
      </c>
      <c r="U933">
        <v>0</v>
      </c>
      <c r="V933">
        <v>1.5599591117871353E-2</v>
      </c>
      <c r="W933">
        <v>6.0020631397395004E-2</v>
      </c>
      <c r="X933">
        <v>-1.4751696123260794E-2</v>
      </c>
      <c r="Y933">
        <v>2.4775647785534666E-2</v>
      </c>
    </row>
    <row r="934" spans="1:25" x14ac:dyDescent="0.25">
      <c r="A934" s="879"/>
      <c r="B934" s="1133">
        <v>684</v>
      </c>
      <c r="C934" s="883">
        <v>0.97167883704783753</v>
      </c>
      <c r="D934" s="883">
        <v>1.0192544215979733</v>
      </c>
      <c r="E934" s="883">
        <v>1.0045506073426702</v>
      </c>
      <c r="F934" s="883">
        <v>0.97487142977249774</v>
      </c>
      <c r="G934" s="883">
        <v>1.024605812209304</v>
      </c>
      <c r="H934" s="883">
        <v>1.0026319644921691</v>
      </c>
      <c r="I934" s="883">
        <v>1.0422260174486044</v>
      </c>
      <c r="K934">
        <v>1.6004934625667455</v>
      </c>
      <c r="L934">
        <v>0</v>
      </c>
      <c r="M934">
        <v>6.5324013132968262E-3</v>
      </c>
      <c r="N934">
        <v>0.12261266230668859</v>
      </c>
      <c r="O934">
        <v>3.1501527993954677E-2</v>
      </c>
      <c r="P934">
        <v>1.8159854191468917E-2</v>
      </c>
      <c r="Q934">
        <v>0</v>
      </c>
      <c r="R934">
        <v>6.5324013132968262E-3</v>
      </c>
      <c r="S934">
        <v>0.18091289405144972</v>
      </c>
      <c r="T934">
        <v>1.1560707515367863</v>
      </c>
      <c r="U934">
        <v>0</v>
      </c>
      <c r="V934">
        <v>1.6012808147041299E-2</v>
      </c>
      <c r="W934">
        <v>6.43892462124247E-2</v>
      </c>
      <c r="X934">
        <v>-1.6065547757135718E-2</v>
      </c>
      <c r="Y934">
        <v>2.6899265884067082E-2</v>
      </c>
    </row>
    <row r="935" spans="1:25" x14ac:dyDescent="0.25">
      <c r="A935" s="879"/>
      <c r="B935" s="1133">
        <v>685</v>
      </c>
      <c r="C935" s="883">
        <v>1.0383342760804641</v>
      </c>
      <c r="D935" s="883">
        <v>1.0289458462866643</v>
      </c>
      <c r="E935" s="883">
        <v>0.97138152023713642</v>
      </c>
      <c r="F935" s="883">
        <v>1.0144380360363892</v>
      </c>
      <c r="G935" s="883">
        <v>1.0175530838365157</v>
      </c>
      <c r="H935" s="883">
        <v>0.98016263749762833</v>
      </c>
      <c r="I935" s="883">
        <v>0.99382276543907189</v>
      </c>
      <c r="K935">
        <v>1.6061371976585865</v>
      </c>
      <c r="L935">
        <v>0</v>
      </c>
      <c r="M935">
        <v>6.1256411976684791E-3</v>
      </c>
      <c r="N935">
        <v>0.10945963700692025</v>
      </c>
      <c r="O935">
        <v>2.9393690253974532E-2</v>
      </c>
      <c r="P935">
        <v>1.8048536601124737E-2</v>
      </c>
      <c r="Q935">
        <v>0</v>
      </c>
      <c r="R935">
        <v>6.1256411976684791E-3</v>
      </c>
      <c r="S935">
        <v>0.16008309536009296</v>
      </c>
      <c r="T935">
        <v>1.2036187255137747</v>
      </c>
      <c r="U935">
        <v>0</v>
      </c>
      <c r="V935">
        <v>1.5652642987068179E-2</v>
      </c>
      <c r="W935">
        <v>5.8441510731724086E-2</v>
      </c>
      <c r="X935">
        <v>-1.3784940924605074E-2</v>
      </c>
      <c r="Y935">
        <v>2.5224300128511148E-2</v>
      </c>
    </row>
    <row r="936" spans="1:25" x14ac:dyDescent="0.25">
      <c r="A936" s="879"/>
      <c r="B936" s="1133">
        <v>686</v>
      </c>
      <c r="C936" s="883">
        <v>1.0138067256902668</v>
      </c>
      <c r="D936" s="883">
        <v>1.0413823842127388</v>
      </c>
      <c r="E936" s="883">
        <v>0.99528793271061766</v>
      </c>
      <c r="F936" s="883">
        <v>1.0322464373792566</v>
      </c>
      <c r="G936" s="883">
        <v>1.0328876316789224</v>
      </c>
      <c r="H936" s="883">
        <v>1.020549014855187</v>
      </c>
      <c r="I936" s="883">
        <v>0.97228044011161874</v>
      </c>
      <c r="K936">
        <v>1.642321014702546</v>
      </c>
      <c r="L936">
        <v>0</v>
      </c>
      <c r="M936">
        <v>6.3634610358597717E-3</v>
      </c>
      <c r="N936">
        <v>0.11781381533067775</v>
      </c>
      <c r="O936">
        <v>2.9941883188983515E-2</v>
      </c>
      <c r="P936">
        <v>1.8693215119518755E-2</v>
      </c>
      <c r="Q936">
        <v>0</v>
      </c>
      <c r="R936">
        <v>6.3634610358597717E-3</v>
      </c>
      <c r="S936">
        <v>0.16252791103450701</v>
      </c>
      <c r="T936">
        <v>1.2242877535506409</v>
      </c>
      <c r="U936">
        <v>0</v>
      </c>
      <c r="V936">
        <v>1.5779667593788925E-2</v>
      </c>
      <c r="W936">
        <v>6.2154435888854748E-2</v>
      </c>
      <c r="X936">
        <v>-1.5081266896256112E-2</v>
      </c>
      <c r="Y936">
        <v>2.6203599891829705E-2</v>
      </c>
    </row>
    <row r="937" spans="1:25" x14ac:dyDescent="0.25">
      <c r="A937" s="879"/>
      <c r="B937" s="1133">
        <v>687</v>
      </c>
      <c r="C937" s="883">
        <v>0.98107393275714738</v>
      </c>
      <c r="D937" s="883">
        <v>1.0390990862407976</v>
      </c>
      <c r="E937" s="883">
        <v>1.0136833443211162</v>
      </c>
      <c r="F937" s="883">
        <v>1.0179906246124371</v>
      </c>
      <c r="G937" s="883">
        <v>0.97823932508280653</v>
      </c>
      <c r="H937" s="883">
        <v>0.98206743817309705</v>
      </c>
      <c r="I937" s="883">
        <v>0.99373999314409345</v>
      </c>
      <c r="K937">
        <v>1.6334694627704023</v>
      </c>
      <c r="L937">
        <v>0</v>
      </c>
      <c r="M937">
        <v>6.2329862795667988E-3</v>
      </c>
      <c r="N937">
        <v>0.11858524808964679</v>
      </c>
      <c r="O937">
        <v>3.0952090999429596E-2</v>
      </c>
      <c r="P937">
        <v>1.8817973055057283E-2</v>
      </c>
      <c r="Q937">
        <v>0</v>
      </c>
      <c r="R937">
        <v>6.2329862795667988E-3</v>
      </c>
      <c r="S937">
        <v>0.1694779137484301</v>
      </c>
      <c r="T937">
        <v>1.2070320946604594</v>
      </c>
      <c r="U937">
        <v>0</v>
      </c>
      <c r="V937">
        <v>1.5959079887909282E-2</v>
      </c>
      <c r="W937">
        <v>6.1993507595767591E-2</v>
      </c>
      <c r="X937">
        <v>-1.5014773335355135E-2</v>
      </c>
      <c r="Y937">
        <v>2.5666328069056114E-2</v>
      </c>
    </row>
    <row r="938" spans="1:25" x14ac:dyDescent="0.25">
      <c r="A938" s="879"/>
      <c r="B938" s="1133">
        <v>688</v>
      </c>
      <c r="C938" s="883">
        <v>1.0009649556097842</v>
      </c>
      <c r="D938" s="883">
        <v>0.97077649333091287</v>
      </c>
      <c r="E938" s="883">
        <v>0.98879130468800869</v>
      </c>
      <c r="F938" s="883">
        <v>1.0447059518810604</v>
      </c>
      <c r="G938" s="883">
        <v>0.98214488774320741</v>
      </c>
      <c r="H938" s="883">
        <v>1.0009310725228087</v>
      </c>
      <c r="I938" s="883">
        <v>0.96382641028906135</v>
      </c>
      <c r="K938">
        <v>1.6632788145548134</v>
      </c>
      <c r="L938">
        <v>0</v>
      </c>
      <c r="M938">
        <v>6.5593166485936197E-3</v>
      </c>
      <c r="N938">
        <v>0.12027601662467576</v>
      </c>
      <c r="O938">
        <v>3.1195182774955817E-2</v>
      </c>
      <c r="P938">
        <v>1.8802643963098709E-2</v>
      </c>
      <c r="Q938">
        <v>0</v>
      </c>
      <c r="R938">
        <v>6.5593166485936197E-3</v>
      </c>
      <c r="S938">
        <v>0.16278129179458029</v>
      </c>
      <c r="T938">
        <v>1.2391916383436092</v>
      </c>
      <c r="U938">
        <v>0</v>
      </c>
      <c r="V938">
        <v>1.5848656123628999E-2</v>
      </c>
      <c r="W938">
        <v>6.3659135726345739E-2</v>
      </c>
      <c r="X938">
        <v>-1.5485849240148682E-2</v>
      </c>
      <c r="Y938">
        <v>2.7010098444068192E-2</v>
      </c>
    </row>
    <row r="939" spans="1:25" x14ac:dyDescent="0.25">
      <c r="A939" s="879"/>
      <c r="B939" s="1133">
        <v>689</v>
      </c>
      <c r="C939" s="883">
        <v>1.0017565933167818</v>
      </c>
      <c r="D939" s="883">
        <v>0.98321050750549377</v>
      </c>
      <c r="E939" s="883">
        <v>1.0204168632115374</v>
      </c>
      <c r="F939" s="883">
        <v>1.0164602939791185</v>
      </c>
      <c r="G939" s="883">
        <v>1.0168922128511724</v>
      </c>
      <c r="H939" s="883">
        <v>0.984667027421818</v>
      </c>
      <c r="I939" s="883">
        <v>0.9869510185360072</v>
      </c>
      <c r="K939">
        <v>1.6290081570985768</v>
      </c>
      <c r="L939">
        <v>0</v>
      </c>
      <c r="M939">
        <v>6.2363082661615254E-3</v>
      </c>
      <c r="N939">
        <v>0.11983645312660368</v>
      </c>
      <c r="O939">
        <v>3.0984771427737184E-2</v>
      </c>
      <c r="P939">
        <v>1.8831037892542549E-2</v>
      </c>
      <c r="Q939">
        <v>0</v>
      </c>
      <c r="R939">
        <v>6.2363082661615254E-3</v>
      </c>
      <c r="S939">
        <v>0.16551924298850509</v>
      </c>
      <c r="T939">
        <v>1.2050908906549642</v>
      </c>
      <c r="U939">
        <v>0</v>
      </c>
      <c r="V939">
        <v>1.584435213187289E-2</v>
      </c>
      <c r="W939">
        <v>6.2439906983657721E-2</v>
      </c>
      <c r="X939">
        <v>-1.5218505525870053E-2</v>
      </c>
      <c r="Y939">
        <v>2.5680007418561628E-2</v>
      </c>
    </row>
    <row r="940" spans="1:25" x14ac:dyDescent="0.25">
      <c r="A940" s="879"/>
      <c r="B940" s="1133">
        <v>690</v>
      </c>
      <c r="C940" s="883">
        <v>0.96595019289050188</v>
      </c>
      <c r="D940" s="883">
        <v>0.96740359300017031</v>
      </c>
      <c r="E940" s="883">
        <v>1.019108941981641</v>
      </c>
      <c r="F940" s="883">
        <v>1.0217401216698785</v>
      </c>
      <c r="G940" s="883">
        <v>1.0018242797694557</v>
      </c>
      <c r="H940" s="883">
        <v>1.0037627949955406</v>
      </c>
      <c r="I940" s="883">
        <v>0.97283165360499668</v>
      </c>
      <c r="K940">
        <v>1.6539785654153292</v>
      </c>
      <c r="L940">
        <v>0</v>
      </c>
      <c r="M940">
        <v>6.648415137966616E-3</v>
      </c>
      <c r="N940">
        <v>0.12750852330244808</v>
      </c>
      <c r="O940">
        <v>3.2343576600725357E-2</v>
      </c>
      <c r="P940">
        <v>1.8968341622109322E-2</v>
      </c>
      <c r="Q940">
        <v>0</v>
      </c>
      <c r="R940">
        <v>6.648415137966616E-3</v>
      </c>
      <c r="S940">
        <v>0.17049650254708137</v>
      </c>
      <c r="T940">
        <v>1.2113752475633206</v>
      </c>
      <c r="U940">
        <v>0</v>
      </c>
      <c r="V940">
        <v>1.6046081794414014E-2</v>
      </c>
      <c r="W940">
        <v>6.648020476889005E-2</v>
      </c>
      <c r="X940">
        <v>-1.6616902948026376E-2</v>
      </c>
      <c r="Y940">
        <v>2.7376990164366274E-2</v>
      </c>
    </row>
    <row r="941" spans="1:25" x14ac:dyDescent="0.25">
      <c r="A941" s="879"/>
      <c r="B941" s="1133">
        <v>691</v>
      </c>
      <c r="C941" s="883">
        <v>1.0211127530934596</v>
      </c>
      <c r="D941" s="883">
        <v>1.0307991985262512</v>
      </c>
      <c r="E941" s="883">
        <v>1.0263220905957513</v>
      </c>
      <c r="F941" s="883">
        <v>1.0158985764381476</v>
      </c>
      <c r="G941" s="883">
        <v>1.0286502735547993</v>
      </c>
      <c r="H941" s="883">
        <v>1.0155766437200049</v>
      </c>
      <c r="I941" s="883">
        <v>0.98434071764796649</v>
      </c>
      <c r="K941">
        <v>1.623218857650776</v>
      </c>
      <c r="L941">
        <v>0</v>
      </c>
      <c r="M941">
        <v>6.1466821235364316E-3</v>
      </c>
      <c r="N941">
        <v>0.1191502558093591</v>
      </c>
      <c r="O941">
        <v>2.9822862024216204E-2</v>
      </c>
      <c r="P941">
        <v>1.8870413619898718E-2</v>
      </c>
      <c r="Q941">
        <v>0</v>
      </c>
      <c r="R941">
        <v>6.1466821235364316E-3</v>
      </c>
      <c r="S941">
        <v>0.16322348158482866</v>
      </c>
      <c r="T941">
        <v>1.2043140551818177</v>
      </c>
      <c r="U941">
        <v>0</v>
      </c>
      <c r="V941">
        <v>1.5741192607879369E-2</v>
      </c>
      <c r="W941">
        <v>6.1902288954172671E-2</v>
      </c>
      <c r="X941">
        <v>-1.5116635047486679E-2</v>
      </c>
      <c r="Y941">
        <v>2.5310942916090182E-2</v>
      </c>
    </row>
    <row r="942" spans="1:25" x14ac:dyDescent="0.25">
      <c r="A942" s="879"/>
      <c r="B942" s="1133">
        <v>692</v>
      </c>
      <c r="C942" s="883">
        <v>1.007075832975417</v>
      </c>
      <c r="D942" s="883">
        <v>1.0136496085594671</v>
      </c>
      <c r="E942" s="883">
        <v>1.0141197528332542</v>
      </c>
      <c r="F942" s="883">
        <v>1.0129030390451348</v>
      </c>
      <c r="G942" s="883">
        <v>1.0004336937582343</v>
      </c>
      <c r="H942" s="883">
        <v>1.0079559503164901</v>
      </c>
      <c r="I942" s="883">
        <v>1.0204072108151945</v>
      </c>
      <c r="K942">
        <v>1.630499362395442</v>
      </c>
      <c r="L942">
        <v>0</v>
      </c>
      <c r="M942">
        <v>6.2989262804950454E-3</v>
      </c>
      <c r="N942">
        <v>0.11991721045253949</v>
      </c>
      <c r="O942">
        <v>3.0453115318603747E-2</v>
      </c>
      <c r="P942">
        <v>1.8764897670209831E-2</v>
      </c>
      <c r="Q942">
        <v>0</v>
      </c>
      <c r="R942">
        <v>6.2989262804950454E-3</v>
      </c>
      <c r="S942">
        <v>0.17127664615044522</v>
      </c>
      <c r="T942">
        <v>1.2009915530300797</v>
      </c>
      <c r="U942">
        <v>0</v>
      </c>
      <c r="V942">
        <v>1.5815607866404527E-2</v>
      </c>
      <c r="W942">
        <v>6.2676316695753798E-2</v>
      </c>
      <c r="X942">
        <v>-1.5333842044590104E-2</v>
      </c>
      <c r="Y942">
        <v>2.5937857255996E-2</v>
      </c>
    </row>
    <row r="943" spans="1:25" x14ac:dyDescent="0.25">
      <c r="A943" s="879"/>
      <c r="B943" s="1133">
        <v>693</v>
      </c>
      <c r="C943" s="883">
        <v>0.99936887075293424</v>
      </c>
      <c r="D943" s="883">
        <v>1.0046873157030127</v>
      </c>
      <c r="E943" s="883">
        <v>0.97239512616060397</v>
      </c>
      <c r="F943" s="883">
        <v>1.0197637956061363</v>
      </c>
      <c r="G943" s="883">
        <v>1.0085041762930476</v>
      </c>
      <c r="H943" s="883">
        <v>0.99586639171012958</v>
      </c>
      <c r="I943" s="883">
        <v>1.004352059930012</v>
      </c>
      <c r="K943">
        <v>1.6351088228566089</v>
      </c>
      <c r="L943">
        <v>0</v>
      </c>
      <c r="M943">
        <v>6.5297990540172466E-3</v>
      </c>
      <c r="N943">
        <v>0.11685728163668725</v>
      </c>
      <c r="O943">
        <v>3.0831820878448324E-2</v>
      </c>
      <c r="P943">
        <v>1.8267833586046913E-2</v>
      </c>
      <c r="Q943">
        <v>0</v>
      </c>
      <c r="R943">
        <v>6.5297990540172466E-3</v>
      </c>
      <c r="S943">
        <v>0.16922492671336603</v>
      </c>
      <c r="T943">
        <v>1.2099183391868409</v>
      </c>
      <c r="U943">
        <v>0</v>
      </c>
      <c r="V943">
        <v>1.5857354482625832E-2</v>
      </c>
      <c r="W943">
        <v>6.2359419462752357E-2</v>
      </c>
      <c r="X943">
        <v>-1.5096703333699016E-2</v>
      </c>
      <c r="Y943">
        <v>2.6888550243538662E-2</v>
      </c>
    </row>
    <row r="944" spans="1:25" x14ac:dyDescent="0.25">
      <c r="A944" s="879"/>
      <c r="B944" s="1133">
        <v>694</v>
      </c>
      <c r="C944" s="883">
        <v>1.0006884171533594</v>
      </c>
      <c r="D944" s="883">
        <v>0.98196059992868923</v>
      </c>
      <c r="E944" s="883">
        <v>0.95429016946480283</v>
      </c>
      <c r="F944" s="883">
        <v>0.99778884026566816</v>
      </c>
      <c r="G944" s="883">
        <v>0.993266619650091</v>
      </c>
      <c r="H944" s="883">
        <v>0.99185998536383924</v>
      </c>
      <c r="I944" s="883">
        <v>0.99571100556233827</v>
      </c>
      <c r="K944">
        <v>1.6071812784496255</v>
      </c>
      <c r="L944">
        <v>0</v>
      </c>
      <c r="M944">
        <v>6.6657804437464689E-3</v>
      </c>
      <c r="N944">
        <v>0.1161252157981177</v>
      </c>
      <c r="O944">
        <v>3.1087810640417778E-2</v>
      </c>
      <c r="P944">
        <v>1.7656452061941476E-2</v>
      </c>
      <c r="Q944">
        <v>0</v>
      </c>
      <c r="R944">
        <v>6.6657804437464689E-3</v>
      </c>
      <c r="S944">
        <v>0.16752735811267991</v>
      </c>
      <c r="T944">
        <v>1.1841843512632546</v>
      </c>
      <c r="U944">
        <v>0</v>
      </c>
      <c r="V944">
        <v>1.5850161218340066E-2</v>
      </c>
      <c r="W944">
        <v>6.2536958887378299E-2</v>
      </c>
      <c r="X944">
        <v>-1.5235526935161822E-2</v>
      </c>
      <c r="Y944">
        <v>2.7448497402658509E-2</v>
      </c>
    </row>
    <row r="945" spans="1:25" x14ac:dyDescent="0.25">
      <c r="A945" s="879"/>
      <c r="B945" s="1133">
        <v>695</v>
      </c>
      <c r="C945" s="883">
        <v>1.0119103969250682</v>
      </c>
      <c r="D945" s="883">
        <v>1.0206040969214865</v>
      </c>
      <c r="E945" s="883">
        <v>1.0032306539933722</v>
      </c>
      <c r="F945" s="883">
        <v>0.96075158471492239</v>
      </c>
      <c r="G945" s="883">
        <v>1.021864819701229</v>
      </c>
      <c r="H945" s="883">
        <v>1.018881798701434</v>
      </c>
      <c r="I945" s="883">
        <v>0.99942469922306731</v>
      </c>
      <c r="K945">
        <v>1.5634475296153389</v>
      </c>
      <c r="L945">
        <v>0</v>
      </c>
      <c r="M945">
        <v>6.3779444299306041E-3</v>
      </c>
      <c r="N945">
        <v>0.11947971656328399</v>
      </c>
      <c r="O945">
        <v>3.0234198123342979E-2</v>
      </c>
      <c r="P945">
        <v>1.7734398603489701E-2</v>
      </c>
      <c r="Q945">
        <v>0</v>
      </c>
      <c r="R945">
        <v>6.3779444299306041E-3</v>
      </c>
      <c r="S945">
        <v>0.1674937555527482</v>
      </c>
      <c r="T945">
        <v>1.1393499984874988</v>
      </c>
      <c r="U945">
        <v>0</v>
      </c>
      <c r="V945">
        <v>1.5789744853415388E-2</v>
      </c>
      <c r="W945">
        <v>6.278507893222314E-2</v>
      </c>
      <c r="X945">
        <v>-1.5682601431327915E-2</v>
      </c>
      <c r="Y945">
        <v>2.6263239930665355E-2</v>
      </c>
    </row>
    <row r="946" spans="1:25" x14ac:dyDescent="0.25">
      <c r="A946" s="879"/>
      <c r="B946" s="1133">
        <v>696</v>
      </c>
      <c r="C946" s="883">
        <v>0.99077027671196771</v>
      </c>
      <c r="D946" s="883">
        <v>1.0007835824850286</v>
      </c>
      <c r="E946" s="883">
        <v>0.97061008491864764</v>
      </c>
      <c r="F946" s="883">
        <v>0.99578690735685271</v>
      </c>
      <c r="G946" s="883">
        <v>1.016305122813193</v>
      </c>
      <c r="H946" s="883">
        <v>0.97673659726525452</v>
      </c>
      <c r="I946" s="883">
        <v>0.98589765276254282</v>
      </c>
      <c r="K946">
        <v>1.6020458537156181</v>
      </c>
      <c r="L946">
        <v>0</v>
      </c>
      <c r="M946">
        <v>6.4812409645624187E-3</v>
      </c>
      <c r="N946">
        <v>0.11568131249827208</v>
      </c>
      <c r="O946">
        <v>3.1149250115370921E-2</v>
      </c>
      <c r="P946">
        <v>1.7835826853691769E-2</v>
      </c>
      <c r="Q946">
        <v>0</v>
      </c>
      <c r="R946">
        <v>6.4812409645624187E-3</v>
      </c>
      <c r="S946">
        <v>0.1664909863430421</v>
      </c>
      <c r="T946">
        <v>1.1815037560108868</v>
      </c>
      <c r="U946">
        <v>0</v>
      </c>
      <c r="V946">
        <v>1.5904697365453795E-2</v>
      </c>
      <c r="W946">
        <v>6.1787270374440227E-2</v>
      </c>
      <c r="X946">
        <v>-1.4995842519720972E-2</v>
      </c>
      <c r="Y946">
        <v>2.6688596674181414E-2</v>
      </c>
    </row>
    <row r="947" spans="1:25" x14ac:dyDescent="0.25">
      <c r="A947" s="879"/>
      <c r="B947" s="1133">
        <v>697</v>
      </c>
      <c r="C947" s="883">
        <v>1.0239597951905632</v>
      </c>
      <c r="D947" s="883">
        <v>0.99811240706922366</v>
      </c>
      <c r="E947" s="883">
        <v>1.0155116940643525</v>
      </c>
      <c r="F947" s="883">
        <v>0.97275425458964038</v>
      </c>
      <c r="G947" s="883">
        <v>1.0141281227169863</v>
      </c>
      <c r="H947" s="883">
        <v>1.0109840414379305</v>
      </c>
      <c r="I947" s="883">
        <v>0.97481495987990818</v>
      </c>
      <c r="K947">
        <v>1.5702105111844553</v>
      </c>
      <c r="L947">
        <v>0</v>
      </c>
      <c r="M947">
        <v>6.2490043796540537E-3</v>
      </c>
      <c r="N947">
        <v>0.11921212042892486</v>
      </c>
      <c r="O947">
        <v>3.0135391091700017E-2</v>
      </c>
      <c r="P947">
        <v>1.8002880191846565E-2</v>
      </c>
      <c r="Q947">
        <v>0</v>
      </c>
      <c r="R947">
        <v>6.2490043796540537E-3</v>
      </c>
      <c r="S947">
        <v>0.16124554517214928</v>
      </c>
      <c r="T947">
        <v>1.1533623633357204</v>
      </c>
      <c r="U947">
        <v>0</v>
      </c>
      <c r="V947">
        <v>1.5726348184765052E-2</v>
      </c>
      <c r="W947">
        <v>6.2264994215754071E-2</v>
      </c>
      <c r="X947">
        <v>-1.5471419190506435E-2</v>
      </c>
      <c r="Y947">
        <v>2.5732287754099904E-2</v>
      </c>
    </row>
    <row r="948" spans="1:25" x14ac:dyDescent="0.25">
      <c r="A948" s="879"/>
      <c r="B948" s="1133">
        <v>698</v>
      </c>
      <c r="C948" s="883">
        <v>0.97058061700178844</v>
      </c>
      <c r="D948" s="883">
        <v>0.99654606816154301</v>
      </c>
      <c r="E948" s="883">
        <v>0.97685996409390441</v>
      </c>
      <c r="F948" s="883">
        <v>0.99427422110682451</v>
      </c>
      <c r="G948" s="883">
        <v>1.0202833294847728</v>
      </c>
      <c r="H948" s="883">
        <v>0.97188818979969072</v>
      </c>
      <c r="I948" s="883">
        <v>1.0016545572807627</v>
      </c>
      <c r="K948">
        <v>1.6106065885483016</v>
      </c>
      <c r="L948">
        <v>0</v>
      </c>
      <c r="M948">
        <v>6.5598833826857814E-3</v>
      </c>
      <c r="N948">
        <v>0.11817623895891402</v>
      </c>
      <c r="O948">
        <v>3.1846228339856189E-2</v>
      </c>
      <c r="P948">
        <v>1.7977073045461502E-2</v>
      </c>
      <c r="Q948">
        <v>0</v>
      </c>
      <c r="R948">
        <v>6.5598833826857814E-3</v>
      </c>
      <c r="S948">
        <v>0.17242884102181158</v>
      </c>
      <c r="T948">
        <v>1.1795927479424195</v>
      </c>
      <c r="U948">
        <v>0</v>
      </c>
      <c r="V948">
        <v>1.6019156499778912E-2</v>
      </c>
      <c r="W948">
        <v>6.2922129091063247E-2</v>
      </c>
      <c r="X948">
        <v>-1.5368258505188951E-2</v>
      </c>
      <c r="Y948">
        <v>2.7012432154184807E-2</v>
      </c>
    </row>
    <row r="949" spans="1:25" x14ac:dyDescent="0.25">
      <c r="A949" s="879"/>
      <c r="B949" s="1133">
        <v>699</v>
      </c>
      <c r="C949" s="883">
        <v>0.98625859978236885</v>
      </c>
      <c r="D949" s="883">
        <v>0.98391238189588293</v>
      </c>
      <c r="E949" s="883">
        <v>1.0085951546571084</v>
      </c>
      <c r="F949" s="883">
        <v>1.0329121504966572</v>
      </c>
      <c r="G949" s="883">
        <v>0.9804396706263182</v>
      </c>
      <c r="H949" s="883">
        <v>0.99921684504372732</v>
      </c>
      <c r="I949" s="883">
        <v>1.0372935448001686</v>
      </c>
      <c r="K949">
        <v>1.6667591460928304</v>
      </c>
      <c r="L949">
        <v>0</v>
      </c>
      <c r="M949">
        <v>6.4926650097807594E-3</v>
      </c>
      <c r="N949">
        <v>0.12259886602906966</v>
      </c>
      <c r="O949">
        <v>3.1473459106566265E-2</v>
      </c>
      <c r="P949">
        <v>1.90943991969772E-2</v>
      </c>
      <c r="Q949">
        <v>0</v>
      </c>
      <c r="R949">
        <v>6.4926650097807594E-3</v>
      </c>
      <c r="S949">
        <v>0.17756850734974808</v>
      </c>
      <c r="T949">
        <v>1.2248219769621504</v>
      </c>
      <c r="U949">
        <v>0</v>
      </c>
      <c r="V949">
        <v>1.5929868353417753E-2</v>
      </c>
      <c r="W949">
        <v>6.4253155593300332E-2</v>
      </c>
      <c r="X949">
        <v>-1.5716725357385719E-2</v>
      </c>
      <c r="Y949">
        <v>2.6735638858986277E-2</v>
      </c>
    </row>
    <row r="950" spans="1:25" x14ac:dyDescent="0.25">
      <c r="A950" s="879"/>
      <c r="B950" s="1133">
        <v>700</v>
      </c>
      <c r="C950" s="883">
        <v>1.0255646544190269</v>
      </c>
      <c r="D950" s="883">
        <v>0.97898467167675318</v>
      </c>
      <c r="E950" s="883">
        <v>0.99858027927151682</v>
      </c>
      <c r="F950" s="883">
        <v>1.0208811289323483</v>
      </c>
      <c r="G950" s="883">
        <v>0.98133415565765236</v>
      </c>
      <c r="H950" s="883">
        <v>1.0088013803756537</v>
      </c>
      <c r="I950" s="883">
        <v>0.97961118793398172</v>
      </c>
      <c r="K950">
        <v>1.6292277933531338</v>
      </c>
      <c r="L950">
        <v>0</v>
      </c>
      <c r="M950">
        <v>6.3734018073855585E-3</v>
      </c>
      <c r="N950">
        <v>0.11857493765817773</v>
      </c>
      <c r="O950">
        <v>3.0336533529485191E-2</v>
      </c>
      <c r="P950">
        <v>1.8549155567116261E-2</v>
      </c>
      <c r="Q950">
        <v>0</v>
      </c>
      <c r="R950">
        <v>6.3734018073855585E-3</v>
      </c>
      <c r="S950">
        <v>0.16184297092528679</v>
      </c>
      <c r="T950">
        <v>1.2107455070976896</v>
      </c>
      <c r="U950">
        <v>0</v>
      </c>
      <c r="V950">
        <v>1.571801680299981E-2</v>
      </c>
      <c r="W950">
        <v>6.2453648204203904E-2</v>
      </c>
      <c r="X950">
        <v>-1.5237510651406275E-2</v>
      </c>
      <c r="Y950">
        <v>2.6244534219581526E-2</v>
      </c>
    </row>
    <row r="951" spans="1:25" x14ac:dyDescent="0.25">
      <c r="A951" s="879"/>
      <c r="B951" s="1133">
        <v>701</v>
      </c>
      <c r="C951" s="883">
        <v>1.0076342440977273</v>
      </c>
      <c r="D951" s="883">
        <v>0.9914197321835333</v>
      </c>
      <c r="E951" s="883">
        <v>0.97242538530782607</v>
      </c>
      <c r="F951" s="883">
        <v>0.99729561232165453</v>
      </c>
      <c r="G951" s="883">
        <v>1.0041155146444904</v>
      </c>
      <c r="H951" s="883">
        <v>0.99342213567624982</v>
      </c>
      <c r="I951" s="883">
        <v>0.98647230079235448</v>
      </c>
      <c r="K951">
        <v>1.6025119984722902</v>
      </c>
      <c r="L951">
        <v>0</v>
      </c>
      <c r="M951">
        <v>6.4985948909108476E-3</v>
      </c>
      <c r="N951">
        <v>0.11630407622582216</v>
      </c>
      <c r="O951">
        <v>3.074192754386286E-2</v>
      </c>
      <c r="P951">
        <v>1.7861153575686704E-2</v>
      </c>
      <c r="Q951">
        <v>0</v>
      </c>
      <c r="R951">
        <v>6.4985948909108476E-3</v>
      </c>
      <c r="S951">
        <v>0.164841051288451</v>
      </c>
      <c r="T951">
        <v>1.1832599671613924</v>
      </c>
      <c r="U951">
        <v>0</v>
      </c>
      <c r="V951">
        <v>1.5812607909553491E-2</v>
      </c>
      <c r="W951">
        <v>6.2063265095498074E-2</v>
      </c>
      <c r="X951">
        <v>-1.5132107381977506E-2</v>
      </c>
      <c r="Y951">
        <v>2.6760057054000488E-2</v>
      </c>
    </row>
    <row r="952" spans="1:25" x14ac:dyDescent="0.25">
      <c r="A952" s="879"/>
      <c r="B952" s="1133">
        <v>702</v>
      </c>
      <c r="C952" s="883">
        <v>1.0066756313237646</v>
      </c>
      <c r="D952" s="883">
        <v>1.0251560051999484</v>
      </c>
      <c r="E952" s="883">
        <v>0.97136556279834196</v>
      </c>
      <c r="F952" s="883">
        <v>0.98507820449232886</v>
      </c>
      <c r="G952" s="883">
        <v>0.99900123453842316</v>
      </c>
      <c r="H952" s="883">
        <v>0.98938522138962304</v>
      </c>
      <c r="I952" s="883">
        <v>1.0230144465109827</v>
      </c>
      <c r="K952">
        <v>1.589864537248443</v>
      </c>
      <c r="L952">
        <v>0</v>
      </c>
      <c r="M952">
        <v>6.3883135009316517E-3</v>
      </c>
      <c r="N952">
        <v>0.11415064780697363</v>
      </c>
      <c r="O952">
        <v>3.0362878731048145E-2</v>
      </c>
      <c r="P952">
        <v>1.773183570967652E-2</v>
      </c>
      <c r="Q952">
        <v>0</v>
      </c>
      <c r="R952">
        <v>6.3883135009316517E-3</v>
      </c>
      <c r="S952">
        <v>0.17053913834392742</v>
      </c>
      <c r="T952">
        <v>1.1687839269210969</v>
      </c>
      <c r="U952">
        <v>0</v>
      </c>
      <c r="V952">
        <v>1.5817759920519012E-2</v>
      </c>
      <c r="W952">
        <v>6.0946573389982439E-2</v>
      </c>
      <c r="X952">
        <v>-1.4774161494203596E-2</v>
      </c>
      <c r="Y952">
        <v>2.6305937919421825E-2</v>
      </c>
    </row>
    <row r="953" spans="1:25" x14ac:dyDescent="0.25">
      <c r="A953" s="879"/>
      <c r="B953" s="1133">
        <v>703</v>
      </c>
      <c r="C953" s="883">
        <v>1.0026298810433125</v>
      </c>
      <c r="D953" s="883">
        <v>1.0012757041488183</v>
      </c>
      <c r="E953" s="883">
        <v>0.99943183528452506</v>
      </c>
      <c r="F953" s="883">
        <v>1.0055800004755684</v>
      </c>
      <c r="G953" s="883">
        <v>0.99373657393436798</v>
      </c>
      <c r="H953" s="883">
        <v>0.97815188112835871</v>
      </c>
      <c r="I953" s="883">
        <v>0.99697806039214742</v>
      </c>
      <c r="K953">
        <v>1.612757726119584</v>
      </c>
      <c r="L953">
        <v>0</v>
      </c>
      <c r="M953">
        <v>6.2532748559563306E-3</v>
      </c>
      <c r="N953">
        <v>0.1164868911198641</v>
      </c>
      <c r="O953">
        <v>3.0751553623655205E-2</v>
      </c>
      <c r="P953">
        <v>1.8382071213872694E-2</v>
      </c>
      <c r="Q953">
        <v>0</v>
      </c>
      <c r="R953">
        <v>6.2532748559563306E-3</v>
      </c>
      <c r="S953">
        <v>0.16647803943876713</v>
      </c>
      <c r="T953">
        <v>1.1925827427756632</v>
      </c>
      <c r="U953">
        <v>0</v>
      </c>
      <c r="V953">
        <v>1.5839612107832322E-2</v>
      </c>
      <c r="W953">
        <v>6.1327917762087396E-2</v>
      </c>
      <c r="X953">
        <v>-1.484097473755425E-2</v>
      </c>
      <c r="Y953">
        <v>2.5749872815396233E-2</v>
      </c>
    </row>
    <row r="954" spans="1:25" x14ac:dyDescent="0.25">
      <c r="A954" s="879"/>
      <c r="B954" s="1133">
        <v>704</v>
      </c>
      <c r="C954" s="883">
        <v>1.042563759213786</v>
      </c>
      <c r="D954" s="883">
        <v>0.99671145023309327</v>
      </c>
      <c r="E954" s="883">
        <v>1.0099203429011459</v>
      </c>
      <c r="F954" s="883">
        <v>1.0232369891875834</v>
      </c>
      <c r="G954" s="883">
        <v>1.0184216451726622</v>
      </c>
      <c r="H954" s="883">
        <v>0.97885660323907464</v>
      </c>
      <c r="I954" s="883">
        <v>0.99945343377959439</v>
      </c>
      <c r="K954">
        <v>1.6207038351774221</v>
      </c>
      <c r="L954">
        <v>0</v>
      </c>
      <c r="M954">
        <v>5.975334353255631E-3</v>
      </c>
      <c r="N954">
        <v>0.11305185936161764</v>
      </c>
      <c r="O954">
        <v>2.9619045229775078E-2</v>
      </c>
      <c r="P954">
        <v>1.8725324322023049E-2</v>
      </c>
      <c r="Q954">
        <v>0</v>
      </c>
      <c r="R954">
        <v>5.975334353255631E-3</v>
      </c>
      <c r="S954">
        <v>0.16059093171291669</v>
      </c>
      <c r="T954">
        <v>1.2133240738051574</v>
      </c>
      <c r="U954">
        <v>0</v>
      </c>
      <c r="V954">
        <v>1.5631343285255117E-2</v>
      </c>
      <c r="W954">
        <v>5.9210806040437977E-2</v>
      </c>
      <c r="X954">
        <v>-1.4054911876601467E-2</v>
      </c>
      <c r="Y954">
        <v>2.4605363296840013E-2</v>
      </c>
    </row>
    <row r="955" spans="1:25" x14ac:dyDescent="0.25">
      <c r="A955" s="879"/>
      <c r="B955" s="1133">
        <v>705</v>
      </c>
      <c r="C955" s="883">
        <v>1.0235330826444524</v>
      </c>
      <c r="D955" s="883">
        <v>0.98785737019885245</v>
      </c>
      <c r="E955" s="883">
        <v>0.98187762079050911</v>
      </c>
      <c r="F955" s="883">
        <v>0.97121027892035316</v>
      </c>
      <c r="G955" s="883">
        <v>1.0151816690974926</v>
      </c>
      <c r="H955" s="883">
        <v>1.0113420396195461</v>
      </c>
      <c r="I955" s="883">
        <v>1.005896582882897</v>
      </c>
      <c r="K955">
        <v>1.5733282004070195</v>
      </c>
      <c r="L955">
        <v>0</v>
      </c>
      <c r="M955">
        <v>6.4700166383553359E-3</v>
      </c>
      <c r="N955">
        <v>0.11742829104333578</v>
      </c>
      <c r="O955">
        <v>3.0300735030549537E-2</v>
      </c>
      <c r="P955">
        <v>1.7603222416103115E-2</v>
      </c>
      <c r="Q955">
        <v>0</v>
      </c>
      <c r="R955">
        <v>6.4700166383553359E-3</v>
      </c>
      <c r="S955">
        <v>0.16654840411330463</v>
      </c>
      <c r="T955">
        <v>1.1521390075877365</v>
      </c>
      <c r="U955">
        <v>0</v>
      </c>
      <c r="V955">
        <v>1.5728567794718994E-2</v>
      </c>
      <c r="W955">
        <v>6.2366961629806317E-2</v>
      </c>
      <c r="X955">
        <v>-1.5429366105251198E-2</v>
      </c>
      <c r="Y955">
        <v>2.6642376896716224E-2</v>
      </c>
    </row>
    <row r="956" spans="1:25" x14ac:dyDescent="0.25">
      <c r="A956" s="879"/>
      <c r="B956" s="1133">
        <v>706</v>
      </c>
      <c r="C956" s="883">
        <v>1.0071648123226951</v>
      </c>
      <c r="D956" s="883">
        <v>0.98411616251144896</v>
      </c>
      <c r="E956" s="883">
        <v>1.0031817146507971</v>
      </c>
      <c r="F956" s="883">
        <v>0.98134812619993406</v>
      </c>
      <c r="G956" s="883">
        <v>0.9907699934467703</v>
      </c>
      <c r="H956" s="883">
        <v>1.0093935600190296</v>
      </c>
      <c r="I956" s="883">
        <v>1.0131511358847263</v>
      </c>
      <c r="K956">
        <v>1.5941017283821493</v>
      </c>
      <c r="L956">
        <v>0</v>
      </c>
      <c r="M956">
        <v>6.4525142989795758E-3</v>
      </c>
      <c r="N956">
        <v>0.12086789211513456</v>
      </c>
      <c r="O956">
        <v>3.0822293514208607E-2</v>
      </c>
      <c r="P956">
        <v>1.8100873847030765E-2</v>
      </c>
      <c r="Q956">
        <v>0</v>
      </c>
      <c r="R956">
        <v>6.4525142989795758E-3</v>
      </c>
      <c r="S956">
        <v>0.17042537018718468</v>
      </c>
      <c r="T956">
        <v>1.1637762151973421</v>
      </c>
      <c r="U956">
        <v>0</v>
      </c>
      <c r="V956">
        <v>1.5815129619092153E-2</v>
      </c>
      <c r="W956">
        <v>6.3516089330717479E-2</v>
      </c>
      <c r="X956">
        <v>-1.5792440807028831E-2</v>
      </c>
      <c r="Y956">
        <v>2.6570305378467118E-2</v>
      </c>
    </row>
    <row r="957" spans="1:25" x14ac:dyDescent="0.25">
      <c r="A957" s="879"/>
      <c r="B957" s="1133">
        <v>707</v>
      </c>
      <c r="C957" s="883">
        <v>1.0057128916894602</v>
      </c>
      <c r="D957" s="883">
        <v>0.99906675996543459</v>
      </c>
      <c r="E957" s="883">
        <v>1.0367396987363788</v>
      </c>
      <c r="F957" s="883">
        <v>1.027130495079255</v>
      </c>
      <c r="G957" s="883">
        <v>0.98662519300073004</v>
      </c>
      <c r="H957" s="883">
        <v>1.0186347149390427</v>
      </c>
      <c r="I957" s="883">
        <v>0.95976830973740901</v>
      </c>
      <c r="K957">
        <v>1.6430574775911155</v>
      </c>
      <c r="L957">
        <v>0</v>
      </c>
      <c r="M957">
        <v>6.2897363063647467E-3</v>
      </c>
      <c r="N957">
        <v>0.12381513235032435</v>
      </c>
      <c r="O957">
        <v>3.0650849009835432E-2</v>
      </c>
      <c r="P957">
        <v>1.9181481648488458E-2</v>
      </c>
      <c r="Q957">
        <v>0</v>
      </c>
      <c r="R957">
        <v>6.2897363063647467E-3</v>
      </c>
      <c r="S957">
        <v>0.16207298117819796</v>
      </c>
      <c r="T957">
        <v>1.2174317461687385</v>
      </c>
      <c r="U957">
        <v>0</v>
      </c>
      <c r="V957">
        <v>1.5822943996037307E-2</v>
      </c>
      <c r="W957">
        <v>6.3998128772187357E-2</v>
      </c>
      <c r="X957">
        <v>-1.5815800110976639E-2</v>
      </c>
      <c r="Y957">
        <v>2.5900014578281848E-2</v>
      </c>
    </row>
    <row r="958" spans="1:25" x14ac:dyDescent="0.25">
      <c r="A958" s="879"/>
      <c r="B958" s="1133">
        <v>708</v>
      </c>
      <c r="C958" s="883">
        <v>1.0036429956933177</v>
      </c>
      <c r="D958" s="883">
        <v>1.0193683349259515</v>
      </c>
      <c r="E958" s="883">
        <v>0.98626658511058651</v>
      </c>
      <c r="F958" s="883">
        <v>1.0178577841120275</v>
      </c>
      <c r="G958" s="883">
        <v>0.98662500300100331</v>
      </c>
      <c r="H958" s="883">
        <v>0.99347152404549088</v>
      </c>
      <c r="I958" s="883">
        <v>1.0069863806548847</v>
      </c>
      <c r="K958">
        <v>1.6301351094684313</v>
      </c>
      <c r="L958">
        <v>0</v>
      </c>
      <c r="M958">
        <v>6.3671018134360234E-3</v>
      </c>
      <c r="N958">
        <v>0.11631516190014261</v>
      </c>
      <c r="O958">
        <v>3.0512045729223516E-2</v>
      </c>
      <c r="P958">
        <v>1.8423534484827749E-2</v>
      </c>
      <c r="Q958">
        <v>0</v>
      </c>
      <c r="R958">
        <v>6.3671018134360234E-3</v>
      </c>
      <c r="S958">
        <v>0.1686798837985331</v>
      </c>
      <c r="T958">
        <v>1.2073932333692017</v>
      </c>
      <c r="U958">
        <v>0</v>
      </c>
      <c r="V958">
        <v>1.5834123467978196E-2</v>
      </c>
      <c r="W958">
        <v>6.1640387241425974E-2</v>
      </c>
      <c r="X958">
        <v>-1.4881852488755998E-2</v>
      </c>
      <c r="Y958">
        <v>2.6218591965854455E-2</v>
      </c>
    </row>
    <row r="959" spans="1:25" x14ac:dyDescent="0.25">
      <c r="A959" s="879"/>
      <c r="B959" s="1133">
        <v>709</v>
      </c>
      <c r="C959" s="883">
        <v>1.0166563742461123</v>
      </c>
      <c r="D959" s="883">
        <v>0.98350839184265948</v>
      </c>
      <c r="E959" s="883">
        <v>1.0094882251309671</v>
      </c>
      <c r="F959" s="883">
        <v>1.016402627111813</v>
      </c>
      <c r="G959" s="883">
        <v>1.0287795160484112</v>
      </c>
      <c r="H959" s="883">
        <v>0.97736488449109027</v>
      </c>
      <c r="I959" s="883">
        <v>0.99386362483232871</v>
      </c>
      <c r="K959">
        <v>1.6220552167437174</v>
      </c>
      <c r="L959">
        <v>0</v>
      </c>
      <c r="M959">
        <v>6.1571122930304967E-3</v>
      </c>
      <c r="N959">
        <v>0.11641655616663947</v>
      </c>
      <c r="O959">
        <v>3.0536650514237117E-2</v>
      </c>
      <c r="P959">
        <v>1.8655367642974111E-2</v>
      </c>
      <c r="Q959">
        <v>0</v>
      </c>
      <c r="R959">
        <v>6.1571122930304967E-3</v>
      </c>
      <c r="S959">
        <v>0.16380433886026693</v>
      </c>
      <c r="T959">
        <v>1.2052282339595686</v>
      </c>
      <c r="U959">
        <v>0</v>
      </c>
      <c r="V959">
        <v>1.5764595000267213E-2</v>
      </c>
      <c r="W959">
        <v>6.098609755980481E-2</v>
      </c>
      <c r="X959">
        <v>-1.4690515457605977E-2</v>
      </c>
      <c r="Y959">
        <v>2.5353892497565783E-2</v>
      </c>
    </row>
    <row r="960" spans="1:25" x14ac:dyDescent="0.25">
      <c r="A960" s="879"/>
      <c r="B960" s="1133">
        <v>710</v>
      </c>
      <c r="C960" s="883">
        <v>0.96593799853258144</v>
      </c>
      <c r="D960" s="883">
        <v>1.0166190324092632</v>
      </c>
      <c r="E960" s="883">
        <v>0.97465819851121149</v>
      </c>
      <c r="F960" s="883">
        <v>0.9982890612908798</v>
      </c>
      <c r="G960" s="883">
        <v>0.97101320838037375</v>
      </c>
      <c r="H960" s="883">
        <v>0.96762233994939695</v>
      </c>
      <c r="I960" s="883">
        <v>0.97589158845108048</v>
      </c>
      <c r="K960">
        <v>1.6095773883117466</v>
      </c>
      <c r="L960">
        <v>0</v>
      </c>
      <c r="M960">
        <v>6.5168767668033365E-3</v>
      </c>
      <c r="N960">
        <v>0.1170184635015232</v>
      </c>
      <c r="O960">
        <v>3.1746816622224658E-2</v>
      </c>
      <c r="P960">
        <v>1.7956387730237573E-2</v>
      </c>
      <c r="Q960">
        <v>0</v>
      </c>
      <c r="R960">
        <v>6.5168767668033365E-3</v>
      </c>
      <c r="S960">
        <v>0.1683633012702653</v>
      </c>
      <c r="T960">
        <v>1.1843969797595693</v>
      </c>
      <c r="U960">
        <v>0</v>
      </c>
      <c r="V960">
        <v>1.6046153043778419E-2</v>
      </c>
      <c r="W960">
        <v>6.2374525319615265E-2</v>
      </c>
      <c r="X960">
        <v>-1.5160577500339476E-2</v>
      </c>
      <c r="Y960">
        <v>2.6835338564873162E-2</v>
      </c>
    </row>
    <row r="961" spans="1:25" x14ac:dyDescent="0.25">
      <c r="A961" s="879"/>
      <c r="B961" s="1133">
        <v>711</v>
      </c>
      <c r="C961" s="883">
        <v>1.0355204881209088</v>
      </c>
      <c r="D961" s="883">
        <v>0.97303032679890922</v>
      </c>
      <c r="E961" s="883">
        <v>1.0401570513216107</v>
      </c>
      <c r="F961" s="883">
        <v>1.0071129389023703</v>
      </c>
      <c r="G961" s="883">
        <v>1.016321159193758</v>
      </c>
      <c r="H961" s="883">
        <v>0.98376469619832185</v>
      </c>
      <c r="I961" s="883">
        <v>0.96797920694763639</v>
      </c>
      <c r="K961">
        <v>1.6036113595414996</v>
      </c>
      <c r="L961">
        <v>0</v>
      </c>
      <c r="M961">
        <v>5.9516592270948184E-3</v>
      </c>
      <c r="N961">
        <v>0.11775295721623862</v>
      </c>
      <c r="O961">
        <v>3.0081449129255221E-2</v>
      </c>
      <c r="P961">
        <v>1.883119637055573E-2</v>
      </c>
      <c r="Q961">
        <v>0</v>
      </c>
      <c r="R961">
        <v>5.9516592270948184E-3</v>
      </c>
      <c r="S961">
        <v>0.15711376137402566</v>
      </c>
      <c r="T961">
        <v>1.1936420655663837</v>
      </c>
      <c r="U961">
        <v>0</v>
      </c>
      <c r="V961">
        <v>1.5666909621116401E-2</v>
      </c>
      <c r="W961">
        <v>6.0763080229645973E-2</v>
      </c>
      <c r="X961">
        <v>-1.4747933307046724E-2</v>
      </c>
      <c r="Y961">
        <v>2.4507873341325159E-2</v>
      </c>
    </row>
    <row r="962" spans="1:25" x14ac:dyDescent="0.25">
      <c r="A962" s="879"/>
      <c r="B962" s="1133">
        <v>712</v>
      </c>
      <c r="C962" s="883">
        <v>0.97093007899962891</v>
      </c>
      <c r="D962" s="883">
        <v>1.0172646499498819</v>
      </c>
      <c r="E962" s="883">
        <v>0.98914660908359897</v>
      </c>
      <c r="F962" s="883">
        <v>1.0399303821498449</v>
      </c>
      <c r="G962" s="883">
        <v>0.97607451000048429</v>
      </c>
      <c r="H962" s="883">
        <v>1.0109839017524818</v>
      </c>
      <c r="I962" s="883">
        <v>1.0089385722455599</v>
      </c>
      <c r="K962">
        <v>1.6750130461055288</v>
      </c>
      <c r="L962">
        <v>0</v>
      </c>
      <c r="M962">
        <v>6.686987513305283E-3</v>
      </c>
      <c r="N962">
        <v>0.12268168757349808</v>
      </c>
      <c r="O962">
        <v>3.1563740112586891E-2</v>
      </c>
      <c r="P962">
        <v>1.890739689772224E-2</v>
      </c>
      <c r="Q962">
        <v>0</v>
      </c>
      <c r="R962">
        <v>6.686987513305283E-3</v>
      </c>
      <c r="S962">
        <v>0.17577203391114654</v>
      </c>
      <c r="T962">
        <v>1.2335201488744705</v>
      </c>
      <c r="U962">
        <v>0</v>
      </c>
      <c r="V962">
        <v>1.6017134847652825E-2</v>
      </c>
      <c r="W962">
        <v>6.4920889690651198E-2</v>
      </c>
      <c r="X962">
        <v>-1.5905810142583871E-2</v>
      </c>
      <c r="Y962">
        <v>2.7535824340384037E-2</v>
      </c>
    </row>
    <row r="963" spans="1:25" x14ac:dyDescent="0.25">
      <c r="A963" s="879"/>
      <c r="B963" s="1133">
        <v>713</v>
      </c>
      <c r="C963" s="883">
        <v>1.0099766140200124</v>
      </c>
      <c r="D963" s="883">
        <v>0.98577460713402953</v>
      </c>
      <c r="E963" s="883">
        <v>1.0315828280058259</v>
      </c>
      <c r="F963" s="883">
        <v>1.0115708493789655</v>
      </c>
      <c r="G963" s="883">
        <v>1.0342954529716391</v>
      </c>
      <c r="H963" s="883">
        <v>1.0223849101130913</v>
      </c>
      <c r="I963" s="883">
        <v>0.98460612036545636</v>
      </c>
      <c r="K963">
        <v>1.6289736753959254</v>
      </c>
      <c r="L963">
        <v>0</v>
      </c>
      <c r="M963">
        <v>6.3525842103308626E-3</v>
      </c>
      <c r="N963">
        <v>0.12410296762660511</v>
      </c>
      <c r="O963">
        <v>3.0690290133328815E-2</v>
      </c>
      <c r="P963">
        <v>1.8910040505130999E-2</v>
      </c>
      <c r="Q963">
        <v>0</v>
      </c>
      <c r="R963">
        <v>6.3525842103308626E-3</v>
      </c>
      <c r="S963">
        <v>0.16591416162645803</v>
      </c>
      <c r="T963">
        <v>1.1990854552990389</v>
      </c>
      <c r="U963">
        <v>0</v>
      </c>
      <c r="V963">
        <v>1.5800060118230784E-2</v>
      </c>
      <c r="W963">
        <v>6.4309120369303432E-2</v>
      </c>
      <c r="X963">
        <v>-1.5997231342476544E-2</v>
      </c>
      <c r="Y963">
        <v>2.6158811060304432E-2</v>
      </c>
    </row>
    <row r="964" spans="1:25" x14ac:dyDescent="0.25">
      <c r="A964" s="879"/>
      <c r="B964" s="1133">
        <v>714</v>
      </c>
      <c r="C964" s="883">
        <v>1.0278828710942369</v>
      </c>
      <c r="D964" s="883">
        <v>0.98364263240802829</v>
      </c>
      <c r="E964" s="883">
        <v>0.99820483734777921</v>
      </c>
      <c r="F964" s="883">
        <v>0.99932732074368635</v>
      </c>
      <c r="G964" s="883">
        <v>0.98349357043033558</v>
      </c>
      <c r="H964" s="883">
        <v>1.0295203432991133</v>
      </c>
      <c r="I964" s="883">
        <v>1.0111651896729037</v>
      </c>
      <c r="K964">
        <v>1.6120744016830724</v>
      </c>
      <c r="L964">
        <v>0</v>
      </c>
      <c r="M964">
        <v>6.478014361703005E-3</v>
      </c>
      <c r="N964">
        <v>0.12045419359515551</v>
      </c>
      <c r="O964">
        <v>3.0211011169752704E-2</v>
      </c>
      <c r="P964">
        <v>1.8282403512315401E-2</v>
      </c>
      <c r="Q964">
        <v>0</v>
      </c>
      <c r="R964">
        <v>6.478014361703005E-3</v>
      </c>
      <c r="S964">
        <v>0.16781911236980929</v>
      </c>
      <c r="T964">
        <v>1.1851900781677023</v>
      </c>
      <c r="U964">
        <v>0</v>
      </c>
      <c r="V964">
        <v>1.5706028067110991E-2</v>
      </c>
      <c r="W964">
        <v>6.3455294290273023E-2</v>
      </c>
      <c r="X964">
        <v>-1.5719029586967186E-2</v>
      </c>
      <c r="Y964">
        <v>2.6675310097920232E-2</v>
      </c>
    </row>
    <row r="965" spans="1:25" x14ac:dyDescent="0.25">
      <c r="A965" s="879"/>
      <c r="B965" s="1133">
        <v>715</v>
      </c>
      <c r="C965" s="883">
        <v>0.98757221628541347</v>
      </c>
      <c r="D965" s="883">
        <v>0.99694489387650953</v>
      </c>
      <c r="E965" s="883">
        <v>0.99600449634414945</v>
      </c>
      <c r="F965" s="883">
        <v>1.0161919503418411</v>
      </c>
      <c r="G965" s="883">
        <v>0.97426803620701197</v>
      </c>
      <c r="H965" s="883">
        <v>0.98553522136477434</v>
      </c>
      <c r="I965" s="883">
        <v>0.99206928999288524</v>
      </c>
      <c r="K965">
        <v>1.6327535597581591</v>
      </c>
      <c r="L965">
        <v>0</v>
      </c>
      <c r="M965">
        <v>6.4281327001263324E-3</v>
      </c>
      <c r="N965">
        <v>0.11913760085318097</v>
      </c>
      <c r="O965">
        <v>3.1277541100641647E-2</v>
      </c>
      <c r="P965">
        <v>1.8533097769260327E-2</v>
      </c>
      <c r="Q965">
        <v>0</v>
      </c>
      <c r="R965">
        <v>6.4281327001263324E-3</v>
      </c>
      <c r="S965">
        <v>0.16865296308784533</v>
      </c>
      <c r="T965">
        <v>1.2052329086624889</v>
      </c>
      <c r="U965">
        <v>0</v>
      </c>
      <c r="V965">
        <v>1.5922515854479093E-2</v>
      </c>
      <c r="W965">
        <v>6.2830415442590104E-2</v>
      </c>
      <c r="X965">
        <v>-1.5303389306480673E-2</v>
      </c>
      <c r="Y965">
        <v>2.6469906294152284E-2</v>
      </c>
    </row>
    <row r="966" spans="1:25" x14ac:dyDescent="0.25">
      <c r="A966" s="879"/>
      <c r="B966" s="1133">
        <v>716</v>
      </c>
      <c r="C966" s="883">
        <v>0.97613948746983992</v>
      </c>
      <c r="D966" s="883">
        <v>0.96423364629710939</v>
      </c>
      <c r="E966" s="883">
        <v>1.0048821952058518</v>
      </c>
      <c r="F966" s="883">
        <v>1.0075638163864356</v>
      </c>
      <c r="G966" s="883">
        <v>1.0035949951244065</v>
      </c>
      <c r="H966" s="883">
        <v>0.99100294819674106</v>
      </c>
      <c r="I966" s="883">
        <v>1.020154100800639</v>
      </c>
      <c r="K966">
        <v>1.6373326605096132</v>
      </c>
      <c r="L966">
        <v>0</v>
      </c>
      <c r="M966">
        <v>6.5863731906233621E-3</v>
      </c>
      <c r="N966">
        <v>0.12368643397869157</v>
      </c>
      <c r="O966">
        <v>3.2061112879318066E-2</v>
      </c>
      <c r="P966">
        <v>1.8620391158209449E-2</v>
      </c>
      <c r="Q966">
        <v>0</v>
      </c>
      <c r="R966">
        <v>6.5863731906233621E-3</v>
      </c>
      <c r="S966">
        <v>0.17615941730743145</v>
      </c>
      <c r="T966">
        <v>1.1948334686805768</v>
      </c>
      <c r="U966">
        <v>0</v>
      </c>
      <c r="V966">
        <v>1.5987169824625919E-2</v>
      </c>
      <c r="W966">
        <v>6.4942455591490922E-2</v>
      </c>
      <c r="X966">
        <v>-1.6079301378993077E-2</v>
      </c>
      <c r="Y966">
        <v>2.7121512468261715E-2</v>
      </c>
    </row>
    <row r="967" spans="1:25" x14ac:dyDescent="0.25">
      <c r="A967" s="879"/>
      <c r="B967" s="1133">
        <v>717</v>
      </c>
      <c r="C967" s="883">
        <v>0.99003370598074536</v>
      </c>
      <c r="D967" s="883">
        <v>0.97290536697029339</v>
      </c>
      <c r="E967" s="883">
        <v>1.0267518364985073</v>
      </c>
      <c r="F967" s="883">
        <v>1.0076400695005845</v>
      </c>
      <c r="G967" s="883">
        <v>1.0036994852482888</v>
      </c>
      <c r="H967" s="883">
        <v>0.97808340086882684</v>
      </c>
      <c r="I967" s="883">
        <v>0.98115418861319847</v>
      </c>
      <c r="K967">
        <v>1.6217886873759637</v>
      </c>
      <c r="L967">
        <v>0</v>
      </c>
      <c r="M967">
        <v>6.2626828419286226E-3</v>
      </c>
      <c r="N967">
        <v>0.12147603253444365</v>
      </c>
      <c r="O967">
        <v>3.1478123165139565E-2</v>
      </c>
      <c r="P967">
        <v>1.8786067984109377E-2</v>
      </c>
      <c r="Q967">
        <v>0</v>
      </c>
      <c r="R967">
        <v>6.2626828419286226E-3</v>
      </c>
      <c r="S967">
        <v>0.16622549773352382</v>
      </c>
      <c r="T967">
        <v>1.1945158719829407</v>
      </c>
      <c r="U967">
        <v>0</v>
      </c>
      <c r="V967">
        <v>1.5908791079930647E-2</v>
      </c>
      <c r="W967">
        <v>6.3097279929174827E-2</v>
      </c>
      <c r="X967">
        <v>-1.5487590260370679E-2</v>
      </c>
      <c r="Y967">
        <v>2.5788613227071058E-2</v>
      </c>
    </row>
    <row r="968" spans="1:25" x14ac:dyDescent="0.25">
      <c r="A968" s="879"/>
      <c r="B968" s="1133">
        <v>718</v>
      </c>
      <c r="C968" s="883">
        <v>0.98587219245861535</v>
      </c>
      <c r="D968" s="883">
        <v>1.0044727558200774</v>
      </c>
      <c r="E968" s="883">
        <v>0.98519646787106108</v>
      </c>
      <c r="F968" s="883">
        <v>0.99663495242478439</v>
      </c>
      <c r="G968" s="883">
        <v>0.96486311560184501</v>
      </c>
      <c r="H968" s="883">
        <v>0.97899520002632767</v>
      </c>
      <c r="I968" s="883">
        <v>1.0198298487895681</v>
      </c>
      <c r="K968">
        <v>1.6117112149797743</v>
      </c>
      <c r="L968">
        <v>0</v>
      </c>
      <c r="M968">
        <v>6.4354737851083565E-3</v>
      </c>
      <c r="N968">
        <v>0.11737776057874677</v>
      </c>
      <c r="O968">
        <v>3.1246354388823797E-2</v>
      </c>
      <c r="P968">
        <v>1.8136882407433462E-2</v>
      </c>
      <c r="Q968">
        <v>0</v>
      </c>
      <c r="R968">
        <v>6.4354737851083565E-3</v>
      </c>
      <c r="S968">
        <v>0.17319183699666424</v>
      </c>
      <c r="T968">
        <v>1.1822383830301098</v>
      </c>
      <c r="U968">
        <v>0</v>
      </c>
      <c r="V968">
        <v>1.593203485978642E-2</v>
      </c>
      <c r="W968">
        <v>6.2236764468797424E-2</v>
      </c>
      <c r="X968">
        <v>-1.5148937326031786E-2</v>
      </c>
      <c r="Y968">
        <v>2.6500135575443836E-2</v>
      </c>
    </row>
    <row r="969" spans="1:25" x14ac:dyDescent="0.25">
      <c r="A969" s="879"/>
      <c r="B969" s="1133">
        <v>719</v>
      </c>
      <c r="C969" s="883">
        <v>1.0384095409676692</v>
      </c>
      <c r="D969" s="883">
        <v>1.0475667023020925</v>
      </c>
      <c r="E969" s="883">
        <v>0.95627058553693822</v>
      </c>
      <c r="F969" s="883">
        <v>1.0072584938659344</v>
      </c>
      <c r="G969" s="883">
        <v>0.9848046559378536</v>
      </c>
      <c r="H969" s="883">
        <v>0.98409368630652783</v>
      </c>
      <c r="I969" s="883">
        <v>1.0289003942882826</v>
      </c>
      <c r="K969">
        <v>1.601707570683883</v>
      </c>
      <c r="L969">
        <v>0</v>
      </c>
      <c r="M969">
        <v>6.1816084369548715E-3</v>
      </c>
      <c r="N969">
        <v>0.10800788311590297</v>
      </c>
      <c r="O969">
        <v>2.919209329674451E-2</v>
      </c>
      <c r="P969">
        <v>1.7803502673624957E-2</v>
      </c>
      <c r="Q969">
        <v>0</v>
      </c>
      <c r="R969">
        <v>6.1816084369548715E-3</v>
      </c>
      <c r="S969">
        <v>0.16576737888883955</v>
      </c>
      <c r="T969">
        <v>1.1953855565725464</v>
      </c>
      <c r="U969">
        <v>0</v>
      </c>
      <c r="V969">
        <v>1.5652262436306318E-2</v>
      </c>
      <c r="W969">
        <v>5.810729388305428E-2</v>
      </c>
      <c r="X969">
        <v>-1.3663163441231403E-2</v>
      </c>
      <c r="Y969">
        <v>2.5454763258095276E-2</v>
      </c>
    </row>
    <row r="970" spans="1:25" x14ac:dyDescent="0.25">
      <c r="A970" s="879"/>
      <c r="B970" s="1133">
        <v>720</v>
      </c>
      <c r="C970" s="883">
        <v>0.95946239872306927</v>
      </c>
      <c r="D970" s="883">
        <v>0.99083650694694791</v>
      </c>
      <c r="E970" s="883">
        <v>1.0302640159098742</v>
      </c>
      <c r="F970" s="883">
        <v>0.99961172060932213</v>
      </c>
      <c r="G970" s="883">
        <v>0.97011701529229522</v>
      </c>
      <c r="H970" s="883">
        <v>1.0039770078850154</v>
      </c>
      <c r="I970" s="883">
        <v>0.9796774419425951</v>
      </c>
      <c r="K970">
        <v>1.6292001680681782</v>
      </c>
      <c r="L970">
        <v>0</v>
      </c>
      <c r="M970">
        <v>6.5592216115438976E-3</v>
      </c>
      <c r="N970">
        <v>0.12789025602517304</v>
      </c>
      <c r="O970">
        <v>3.2241265563501903E-2</v>
      </c>
      <c r="P970">
        <v>1.8793897161253979E-2</v>
      </c>
      <c r="Q970">
        <v>0</v>
      </c>
      <c r="R970">
        <v>6.5592216115438976E-3</v>
      </c>
      <c r="S970">
        <v>0.17262178996771338</v>
      </c>
      <c r="T970">
        <v>1.1849337870068835</v>
      </c>
      <c r="U970">
        <v>0</v>
      </c>
      <c r="V970">
        <v>1.6084244610198108E-2</v>
      </c>
      <c r="W970">
        <v>6.6314536435754884E-2</v>
      </c>
      <c r="X970">
        <v>-1.6689315800714855E-2</v>
      </c>
      <c r="Y970">
        <v>2.70097070984134E-2</v>
      </c>
    </row>
    <row r="971" spans="1:25" x14ac:dyDescent="0.25">
      <c r="A971" s="879"/>
      <c r="B971" s="1133">
        <v>721</v>
      </c>
      <c r="C971" s="883">
        <v>0.95724261656793797</v>
      </c>
      <c r="D971" s="883">
        <v>1.0327330687371266</v>
      </c>
      <c r="E971" s="883">
        <v>0.97830287322455989</v>
      </c>
      <c r="F971" s="883">
        <v>0.98731481317317005</v>
      </c>
      <c r="G971" s="883">
        <v>1.0034993960878686</v>
      </c>
      <c r="H971" s="883">
        <v>1.0103070157098575</v>
      </c>
      <c r="I971" s="883">
        <v>0.99464656701300991</v>
      </c>
      <c r="K971">
        <v>1.6124046899246143</v>
      </c>
      <c r="L971">
        <v>0</v>
      </c>
      <c r="M971">
        <v>6.7966183415506323E-3</v>
      </c>
      <c r="N971">
        <v>0.12270346852344484</v>
      </c>
      <c r="O971">
        <v>3.1831371610682099E-2</v>
      </c>
      <c r="P971">
        <v>1.793037228505975E-2</v>
      </c>
      <c r="Q971">
        <v>0</v>
      </c>
      <c r="R971">
        <v>6.7966183415506323E-3</v>
      </c>
      <c r="S971">
        <v>0.17555106021425268</v>
      </c>
      <c r="T971">
        <v>1.1713095896865804</v>
      </c>
      <c r="U971">
        <v>0</v>
      </c>
      <c r="V971">
        <v>1.6097420695934644E-2</v>
      </c>
      <c r="W971">
        <v>6.5285390415201719E-2</v>
      </c>
      <c r="X971">
        <v>-1.6291248084079762E-2</v>
      </c>
      <c r="Y971">
        <v>2.7987264577538393E-2</v>
      </c>
    </row>
    <row r="972" spans="1:25" x14ac:dyDescent="0.25">
      <c r="A972" s="879"/>
      <c r="B972" s="1133">
        <v>722</v>
      </c>
      <c r="C972" s="883">
        <v>1.011042924144826</v>
      </c>
      <c r="D972" s="883">
        <v>1.0213840328783379</v>
      </c>
      <c r="E972" s="883">
        <v>0.9873539655667315</v>
      </c>
      <c r="F972" s="883">
        <v>0.99648998489746998</v>
      </c>
      <c r="G972" s="883">
        <v>1.0002039635581292</v>
      </c>
      <c r="H972" s="883">
        <v>1.0344407925804364</v>
      </c>
      <c r="I972" s="883">
        <v>0.99933134054445594</v>
      </c>
      <c r="K972">
        <v>1.6097903681875794</v>
      </c>
      <c r="L972">
        <v>0</v>
      </c>
      <c r="M972">
        <v>6.5691246611811601E-3</v>
      </c>
      <c r="N972">
        <v>0.12019941179960718</v>
      </c>
      <c r="O972">
        <v>3.0263934171356022E-2</v>
      </c>
      <c r="P972">
        <v>1.8099769943591651E-2</v>
      </c>
      <c r="Q972">
        <v>0</v>
      </c>
      <c r="R972">
        <v>6.5691246611811601E-3</v>
      </c>
      <c r="S972">
        <v>0.16848030382666176</v>
      </c>
      <c r="T972">
        <v>1.1820263322952973</v>
      </c>
      <c r="U972">
        <v>0</v>
      </c>
      <c r="V972">
        <v>1.5794367282371852E-2</v>
      </c>
      <c r="W972">
        <v>6.3664241871500327E-2</v>
      </c>
      <c r="X972">
        <v>-1.5788479096948936E-2</v>
      </c>
      <c r="Y972">
        <v>2.7050486094142522E-2</v>
      </c>
    </row>
    <row r="973" spans="1:25" x14ac:dyDescent="0.25">
      <c r="A973" s="879"/>
      <c r="B973" s="1133">
        <v>723</v>
      </c>
      <c r="C973" s="883">
        <v>0.98098122478631777</v>
      </c>
      <c r="D973" s="883">
        <v>1.0104201178828096</v>
      </c>
      <c r="E973" s="883">
        <v>1.0292823092634786</v>
      </c>
      <c r="F973" s="883">
        <v>0.97884678143935777</v>
      </c>
      <c r="G973" s="883">
        <v>0.99004821521216702</v>
      </c>
      <c r="H973" s="883">
        <v>1.0285435865758037</v>
      </c>
      <c r="I973" s="883">
        <v>0.99455573837745403</v>
      </c>
      <c r="K973">
        <v>1.6016302473273203</v>
      </c>
      <c r="L973">
        <v>0</v>
      </c>
      <c r="M973">
        <v>6.5208008775447324E-3</v>
      </c>
      <c r="N973">
        <v>0.12695676619479762</v>
      </c>
      <c r="O973">
        <v>3.1289045083988297E-2</v>
      </c>
      <c r="P973">
        <v>1.8442515117580126E-2</v>
      </c>
      <c r="Q973">
        <v>0</v>
      </c>
      <c r="R973">
        <v>6.5208008775447324E-3</v>
      </c>
      <c r="S973">
        <v>0.17263226912051519</v>
      </c>
      <c r="T973">
        <v>1.1603368845992341</v>
      </c>
      <c r="U973">
        <v>0</v>
      </c>
      <c r="V973">
        <v>1.5959605034662091E-2</v>
      </c>
      <c r="W973">
        <v>6.5862212175465076E-2</v>
      </c>
      <c r="X973">
        <v>-1.6700547353363942E-2</v>
      </c>
      <c r="Y973">
        <v>2.6851497354440552E-2</v>
      </c>
    </row>
    <row r="974" spans="1:25" x14ac:dyDescent="0.25">
      <c r="A974" s="879"/>
      <c r="B974" s="1133">
        <v>724</v>
      </c>
      <c r="C974" s="883">
        <v>0.99856323354546295</v>
      </c>
      <c r="D974" s="883">
        <v>1.0130895496612089</v>
      </c>
      <c r="E974" s="883">
        <v>1.0158278510491658</v>
      </c>
      <c r="F974" s="883">
        <v>1.0279782584704726</v>
      </c>
      <c r="G974" s="883">
        <v>1.0102886843378511</v>
      </c>
      <c r="H974" s="883">
        <v>0.98057768064343842</v>
      </c>
      <c r="I974" s="883">
        <v>0.98927609496161861</v>
      </c>
      <c r="K974">
        <v>1.6402103558731211</v>
      </c>
      <c r="L974">
        <v>0</v>
      </c>
      <c r="M974">
        <v>6.1723632763261609E-3</v>
      </c>
      <c r="N974">
        <v>0.11780514056467152</v>
      </c>
      <c r="O974">
        <v>3.0717991391143142E-2</v>
      </c>
      <c r="P974">
        <v>1.8958203769585062E-2</v>
      </c>
      <c r="Q974">
        <v>0</v>
      </c>
      <c r="R974">
        <v>6.1723632763261609E-3</v>
      </c>
      <c r="S974">
        <v>0.16591055651877931</v>
      </c>
      <c r="T974">
        <v>1.2188336100133605</v>
      </c>
      <c r="U974">
        <v>0</v>
      </c>
      <c r="V974">
        <v>1.5861755612326261E-2</v>
      </c>
      <c r="W974">
        <v>6.1520523972807772E-2</v>
      </c>
      <c r="X974">
        <v>-1.4814119301755883E-2</v>
      </c>
      <c r="Y974">
        <v>2.5416693332203494E-2</v>
      </c>
    </row>
    <row r="975" spans="1:25" x14ac:dyDescent="0.25">
      <c r="A975" s="879"/>
      <c r="B975" s="1133">
        <v>725</v>
      </c>
      <c r="C975" s="883">
        <v>1.0016608778457052</v>
      </c>
      <c r="D975" s="883">
        <v>0.99591823876623897</v>
      </c>
      <c r="E975" s="883">
        <v>0.99571905965061536</v>
      </c>
      <c r="F975" s="883">
        <v>0.99416673701771774</v>
      </c>
      <c r="G975" s="883">
        <v>0.99702873394634084</v>
      </c>
      <c r="H975" s="883">
        <v>0.96265205045217095</v>
      </c>
      <c r="I975" s="883">
        <v>0.95781994151494665</v>
      </c>
      <c r="K975">
        <v>1.5893337624061672</v>
      </c>
      <c r="L975">
        <v>0</v>
      </c>
      <c r="M975">
        <v>6.1949534295305843E-3</v>
      </c>
      <c r="N975">
        <v>0.11476735069644038</v>
      </c>
      <c r="O975">
        <v>3.0850564428796159E-2</v>
      </c>
      <c r="P975">
        <v>1.8054740989040242E-2</v>
      </c>
      <c r="Q975">
        <v>0</v>
      </c>
      <c r="R975">
        <v>6.1949534295305843E-3</v>
      </c>
      <c r="S975">
        <v>0.15927877129924967</v>
      </c>
      <c r="T975">
        <v>1.1791156506787028</v>
      </c>
      <c r="U975">
        <v>0</v>
      </c>
      <c r="V975">
        <v>1.5844872158115982E-2</v>
      </c>
      <c r="W975">
        <v>6.0534241674035622E-2</v>
      </c>
      <c r="X975">
        <v>-1.4622145080416767E-2</v>
      </c>
      <c r="Y975">
        <v>2.550971556220193E-2</v>
      </c>
    </row>
    <row r="976" spans="1:25" x14ac:dyDescent="0.25">
      <c r="A976" s="879"/>
      <c r="B976" s="1133">
        <v>726</v>
      </c>
      <c r="C976" s="883">
        <v>0.97811572067380959</v>
      </c>
      <c r="D976" s="883">
        <v>0.99719038291019113</v>
      </c>
      <c r="E976" s="883">
        <v>1.0183987004044825</v>
      </c>
      <c r="F976" s="883">
        <v>0.97462249164779935</v>
      </c>
      <c r="G976" s="883">
        <v>1.0230830101532979</v>
      </c>
      <c r="H976" s="883">
        <v>1.0004859378779243</v>
      </c>
      <c r="I976" s="883">
        <v>1.0147303076978802</v>
      </c>
      <c r="K976">
        <v>1.5951689166277327</v>
      </c>
      <c r="L976">
        <v>0</v>
      </c>
      <c r="M976">
        <v>6.4602888597368752E-3</v>
      </c>
      <c r="N976">
        <v>0.12377036981910823</v>
      </c>
      <c r="O976">
        <v>3.1556834518037924E-2</v>
      </c>
      <c r="P976">
        <v>1.8262592122248091E-2</v>
      </c>
      <c r="Q976">
        <v>0</v>
      </c>
      <c r="R976">
        <v>6.4602888597368752E-3</v>
      </c>
      <c r="S976">
        <v>0.17509599615266341</v>
      </c>
      <c r="T976">
        <v>1.155525385900084</v>
      </c>
      <c r="U976">
        <v>0</v>
      </c>
      <c r="V976">
        <v>1.5975885849705034E-2</v>
      </c>
      <c r="W976">
        <v>6.455380419792138E-2</v>
      </c>
      <c r="X976">
        <v>-1.617427156788109E-2</v>
      </c>
      <c r="Y976">
        <v>2.6602319635845455E-2</v>
      </c>
    </row>
    <row r="977" spans="1:25" x14ac:dyDescent="0.25">
      <c r="A977" s="879"/>
      <c r="B977" s="1133">
        <v>727</v>
      </c>
      <c r="C977" s="883">
        <v>0.99649253432922191</v>
      </c>
      <c r="D977" s="883">
        <v>0.98806647553163751</v>
      </c>
      <c r="E977" s="883">
        <v>0.98130513878576453</v>
      </c>
      <c r="F977" s="883">
        <v>0.98528857982168105</v>
      </c>
      <c r="G977" s="883">
        <v>0.98699680585589056</v>
      </c>
      <c r="H977" s="883">
        <v>1.0034421738901513</v>
      </c>
      <c r="I977" s="883">
        <v>1.0186270697247652</v>
      </c>
      <c r="K977">
        <v>1.6011208221939868</v>
      </c>
      <c r="L977">
        <v>0</v>
      </c>
      <c r="M977">
        <v>6.5963432542273633E-3</v>
      </c>
      <c r="N977">
        <v>0.11961943660053238</v>
      </c>
      <c r="O977">
        <v>3.1120792907178889E-2</v>
      </c>
      <c r="P977">
        <v>1.7899701005258145E-2</v>
      </c>
      <c r="Q977">
        <v>0</v>
      </c>
      <c r="R977">
        <v>6.5963432542273633E-3</v>
      </c>
      <c r="S977">
        <v>0.17275924010488161</v>
      </c>
      <c r="T977">
        <v>1.1688505122010164</v>
      </c>
      <c r="U977">
        <v>0</v>
      </c>
      <c r="V977">
        <v>1.5873100323384931E-2</v>
      </c>
      <c r="W977">
        <v>6.3548895564413829E-2</v>
      </c>
      <c r="X977">
        <v>-1.5713423928257239E-2</v>
      </c>
      <c r="Y977">
        <v>2.7162567415577824E-2</v>
      </c>
    </row>
    <row r="978" spans="1:25" x14ac:dyDescent="0.25">
      <c r="A978" s="879"/>
      <c r="B978" s="1133">
        <v>728</v>
      </c>
      <c r="C978" s="883">
        <v>1.0268560150233523</v>
      </c>
      <c r="D978" s="883">
        <v>0.99242584389839061</v>
      </c>
      <c r="E978" s="883">
        <v>1.0013076733263611</v>
      </c>
      <c r="F978" s="883">
        <v>0.97548743168265506</v>
      </c>
      <c r="G978" s="883">
        <v>0.99989587133802715</v>
      </c>
      <c r="H978" s="883">
        <v>0.98508508615567947</v>
      </c>
      <c r="I978" s="883">
        <v>0.99818258871462451</v>
      </c>
      <c r="K978">
        <v>1.5701041554973016</v>
      </c>
      <c r="L978">
        <v>0</v>
      </c>
      <c r="M978">
        <v>6.1633159811187496E-3</v>
      </c>
      <c r="N978">
        <v>0.11513062175946828</v>
      </c>
      <c r="O978">
        <v>3.0131301684240434E-2</v>
      </c>
      <c r="P978">
        <v>1.7884691605233816E-2</v>
      </c>
      <c r="Q978">
        <v>0</v>
      </c>
      <c r="R978">
        <v>6.1633159811187496E-3</v>
      </c>
      <c r="S978">
        <v>0.16322414215897219</v>
      </c>
      <c r="T978">
        <v>1.1568600023497992</v>
      </c>
      <c r="U978">
        <v>0</v>
      </c>
      <c r="V978">
        <v>1.5711331809672727E-2</v>
      </c>
      <c r="W978">
        <v>6.0557436899496032E-2</v>
      </c>
      <c r="X978">
        <v>-1.4774810950479899E-2</v>
      </c>
      <c r="Y978">
        <v>2.5379438180897881E-2</v>
      </c>
    </row>
    <row r="979" spans="1:25" x14ac:dyDescent="0.25">
      <c r="A979" s="879"/>
      <c r="B979" s="1133">
        <v>729</v>
      </c>
      <c r="C979" s="883">
        <v>0.97653817098820417</v>
      </c>
      <c r="D979" s="883">
        <v>0.98237684737760023</v>
      </c>
      <c r="E979" s="883">
        <v>0.98290511478167597</v>
      </c>
      <c r="F979" s="883">
        <v>1.0070556287299377</v>
      </c>
      <c r="G979" s="883">
        <v>1.0079920304302672</v>
      </c>
      <c r="H979" s="883">
        <v>0.98700785384638112</v>
      </c>
      <c r="I979" s="883">
        <v>1.0091135943459808</v>
      </c>
      <c r="K979">
        <v>1.6304978787403686</v>
      </c>
      <c r="L979">
        <v>0</v>
      </c>
      <c r="M979">
        <v>6.6287273744662549E-3</v>
      </c>
      <c r="N979">
        <v>0.12049234401738421</v>
      </c>
      <c r="O979">
        <v>3.1828832958494736E-2</v>
      </c>
      <c r="P979">
        <v>1.8276308983259559E-2</v>
      </c>
      <c r="Q979">
        <v>0</v>
      </c>
      <c r="R979">
        <v>6.6287273744662549E-3</v>
      </c>
      <c r="S979">
        <v>0.17371519047080095</v>
      </c>
      <c r="T979">
        <v>1.194642749614067</v>
      </c>
      <c r="U979">
        <v>0</v>
      </c>
      <c r="V979">
        <v>1.5984889728177916E-2</v>
      </c>
      <c r="W979">
        <v>6.3961418004725323E-2</v>
      </c>
      <c r="X979">
        <v>-1.5699774495105564E-2</v>
      </c>
      <c r="Y979">
        <v>2.7295919458563057E-2</v>
      </c>
    </row>
    <row r="980" spans="1:25" x14ac:dyDescent="0.25">
      <c r="A980" s="879"/>
      <c r="B980" s="1133">
        <v>730</v>
      </c>
      <c r="C980" s="883">
        <v>1.0104440966150243</v>
      </c>
      <c r="D980" s="883">
        <v>0.98811872942137136</v>
      </c>
      <c r="E980" s="883">
        <v>0.96524452078262235</v>
      </c>
      <c r="F980" s="883">
        <v>1.0011205282103925</v>
      </c>
      <c r="G980" s="883">
        <v>0.97087174478823801</v>
      </c>
      <c r="H980" s="883">
        <v>1.0028526364995545</v>
      </c>
      <c r="I980" s="883">
        <v>1.0192459011706145</v>
      </c>
      <c r="K980">
        <v>1.6139137224716833</v>
      </c>
      <c r="L980">
        <v>0</v>
      </c>
      <c r="M980">
        <v>6.5928742033124418E-3</v>
      </c>
      <c r="N980">
        <v>0.11673992428104574</v>
      </c>
      <c r="O980">
        <v>3.0702788597883075E-2</v>
      </c>
      <c r="P980">
        <v>1.7894970243404165E-2</v>
      </c>
      <c r="Q980">
        <v>0</v>
      </c>
      <c r="R980">
        <v>6.5928742033124418E-3</v>
      </c>
      <c r="S980">
        <v>0.17042482105009621</v>
      </c>
      <c r="T980">
        <v>1.18793269301284</v>
      </c>
      <c r="U980">
        <v>0</v>
      </c>
      <c r="V980">
        <v>1.5797562834554354E-2</v>
      </c>
      <c r="W980">
        <v>6.2521264762914988E-2</v>
      </c>
      <c r="X980">
        <v>-1.5248584792434988E-2</v>
      </c>
      <c r="Y980">
        <v>2.7148282481378218E-2</v>
      </c>
    </row>
    <row r="981" spans="1:25" x14ac:dyDescent="0.25">
      <c r="A981" s="879"/>
      <c r="B981" s="1133">
        <v>731</v>
      </c>
      <c r="C981" s="883">
        <v>0.99302790395438989</v>
      </c>
      <c r="D981" s="883">
        <v>0.98576259292895341</v>
      </c>
      <c r="E981" s="883">
        <v>0.98197520868567834</v>
      </c>
      <c r="F981" s="883">
        <v>1.0223655247691021</v>
      </c>
      <c r="G981" s="883">
        <v>0.96939040494653361</v>
      </c>
      <c r="H981" s="883">
        <v>1.0346603910132155</v>
      </c>
      <c r="I981" s="883">
        <v>0.96069834918893537</v>
      </c>
      <c r="K981">
        <v>1.645146187074362</v>
      </c>
      <c r="L981">
        <v>0</v>
      </c>
      <c r="M981">
        <v>6.8284190400539173E-3</v>
      </c>
      <c r="N981">
        <v>0.1239510984545704</v>
      </c>
      <c r="O981">
        <v>3.125800560224281E-2</v>
      </c>
      <c r="P981">
        <v>1.839043548160367E-2</v>
      </c>
      <c r="Q981">
        <v>0</v>
      </c>
      <c r="R981">
        <v>6.8284190400539173E-3</v>
      </c>
      <c r="S981">
        <v>0.16528946101682404</v>
      </c>
      <c r="T981">
        <v>1.2128222055929296</v>
      </c>
      <c r="U981">
        <v>0</v>
      </c>
      <c r="V981">
        <v>1.5892187752971153E-2</v>
      </c>
      <c r="W981">
        <v>6.5828054758419324E-2</v>
      </c>
      <c r="X981">
        <v>-1.6403475778861362E-2</v>
      </c>
      <c r="Y981">
        <v>2.8118214193661589E-2</v>
      </c>
    </row>
    <row r="982" spans="1:25" x14ac:dyDescent="0.25">
      <c r="A982" s="879"/>
      <c r="B982" s="1133">
        <v>732</v>
      </c>
      <c r="C982" s="883">
        <v>0.96836229720252509</v>
      </c>
      <c r="D982" s="883">
        <v>1.0075867591800707</v>
      </c>
      <c r="E982" s="883">
        <v>0.95944680200464516</v>
      </c>
      <c r="F982" s="883">
        <v>0.99860683003390793</v>
      </c>
      <c r="G982" s="883">
        <v>1.0391221201476275</v>
      </c>
      <c r="H982" s="883">
        <v>1.0240385282171425</v>
      </c>
      <c r="I982" s="883">
        <v>0.99200513484301089</v>
      </c>
      <c r="K982">
        <v>1.6260512040076534</v>
      </c>
      <c r="L982">
        <v>0</v>
      </c>
      <c r="M982">
        <v>6.9990470238849656E-3</v>
      </c>
      <c r="N982">
        <v>0.12286914836042767</v>
      </c>
      <c r="O982">
        <v>3.1792397000436928E-2</v>
      </c>
      <c r="P982">
        <v>1.7827616932658035E-2</v>
      </c>
      <c r="Q982">
        <v>0</v>
      </c>
      <c r="R982">
        <v>6.9990470238849656E-3</v>
      </c>
      <c r="S982">
        <v>0.1741201503105472</v>
      </c>
      <c r="T982">
        <v>1.1850584806011701</v>
      </c>
      <c r="U982">
        <v>0</v>
      </c>
      <c r="V982">
        <v>1.6032023600793376E-2</v>
      </c>
      <c r="W982">
        <v>6.5996526151190282E-2</v>
      </c>
      <c r="X982">
        <v>-1.6465968809999423E-2</v>
      </c>
      <c r="Y982">
        <v>2.8820829860428894E-2</v>
      </c>
    </row>
    <row r="983" spans="1:25" x14ac:dyDescent="0.25">
      <c r="A983" s="879"/>
      <c r="B983" s="1133">
        <v>733</v>
      </c>
      <c r="C983" s="883">
        <v>1.0258472769870386</v>
      </c>
      <c r="D983" s="883">
        <v>0.99391533749899508</v>
      </c>
      <c r="E983" s="883">
        <v>1.005885991646456</v>
      </c>
      <c r="F983" s="883">
        <v>0.9818621006907946</v>
      </c>
      <c r="G983" s="883">
        <v>0.9861166313478732</v>
      </c>
      <c r="H983" s="883">
        <v>1.0002862747771584</v>
      </c>
      <c r="I983" s="883">
        <v>0.99815079927734351</v>
      </c>
      <c r="K983">
        <v>1.581853367789247</v>
      </c>
      <c r="L983">
        <v>0</v>
      </c>
      <c r="M983">
        <v>6.2353894723851397E-3</v>
      </c>
      <c r="N983">
        <v>0.1172694541412649</v>
      </c>
      <c r="O983">
        <v>3.0138987368403376E-2</v>
      </c>
      <c r="P983">
        <v>1.8060679245955967E-2</v>
      </c>
      <c r="Q983">
        <v>0</v>
      </c>
      <c r="R983">
        <v>6.2353894723851397E-3</v>
      </c>
      <c r="S983">
        <v>0.16422965308341111</v>
      </c>
      <c r="T983">
        <v>1.1643364400002418</v>
      </c>
      <c r="U983">
        <v>0</v>
      </c>
      <c r="V983">
        <v>1.5716552310592102E-2</v>
      </c>
      <c r="W983">
        <v>6.1542553625838735E-2</v>
      </c>
      <c r="X983">
        <v>-1.5117175975791966E-2</v>
      </c>
      <c r="Y983">
        <v>2.5676223989329668E-2</v>
      </c>
    </row>
    <row r="984" spans="1:25" x14ac:dyDescent="0.25">
      <c r="A984" s="879"/>
      <c r="B984" s="1133">
        <v>734</v>
      </c>
      <c r="C984" s="883">
        <v>1.0142349282504257</v>
      </c>
      <c r="D984" s="883">
        <v>1.0320336113831514</v>
      </c>
      <c r="E984" s="883">
        <v>1.017532717210172</v>
      </c>
      <c r="F984" s="883">
        <v>0.96672612707559624</v>
      </c>
      <c r="G984" s="883">
        <v>0.98675783143872753</v>
      </c>
      <c r="H984" s="883">
        <v>1.0055760475209332</v>
      </c>
      <c r="I984" s="883">
        <v>1.0305620494552696</v>
      </c>
      <c r="K984">
        <v>1.5713863237034837</v>
      </c>
      <c r="L984">
        <v>0</v>
      </c>
      <c r="M984">
        <v>6.1714773670976811E-3</v>
      </c>
      <c r="N984">
        <v>0.11808574114011045</v>
      </c>
      <c r="O984">
        <v>3.0018556962174942E-2</v>
      </c>
      <c r="P984">
        <v>1.8071883795383409E-2</v>
      </c>
      <c r="Q984">
        <v>0</v>
      </c>
      <c r="R984">
        <v>6.1714773670976811E-3</v>
      </c>
      <c r="S984">
        <v>0.17144395937179507</v>
      </c>
      <c r="T984">
        <v>1.1461788437960836</v>
      </c>
      <c r="U984">
        <v>0</v>
      </c>
      <c r="V984">
        <v>1.5777397302567879E-2</v>
      </c>
      <c r="W984">
        <v>6.1615223182164156E-2</v>
      </c>
      <c r="X984">
        <v>-1.5218327162482368E-2</v>
      </c>
      <c r="Y984">
        <v>2.541304531568658E-2</v>
      </c>
    </row>
    <row r="985" spans="1:25" x14ac:dyDescent="0.25">
      <c r="A985" s="879"/>
      <c r="B985" s="1133">
        <v>735</v>
      </c>
      <c r="C985" s="883">
        <v>0.95764126810488726</v>
      </c>
      <c r="D985" s="883">
        <v>0.98108899062593646</v>
      </c>
      <c r="E985" s="883">
        <v>1.003161177241904</v>
      </c>
      <c r="F985" s="883">
        <v>1.0052136641564866</v>
      </c>
      <c r="G985" s="883">
        <v>0.99151887291983609</v>
      </c>
      <c r="H985" s="883">
        <v>1.0070459042044477</v>
      </c>
      <c r="I985" s="883">
        <v>1.0080998882534922</v>
      </c>
      <c r="K985">
        <v>1.6423678380417417</v>
      </c>
      <c r="L985">
        <v>0</v>
      </c>
      <c r="M985">
        <v>6.7798577898308243E-3</v>
      </c>
      <c r="N985">
        <v>0.12699579655740872</v>
      </c>
      <c r="O985">
        <v>3.2456230411927363E-2</v>
      </c>
      <c r="P985">
        <v>1.8588609874437449E-2</v>
      </c>
      <c r="Q985">
        <v>0</v>
      </c>
      <c r="R985">
        <v>6.7798577898308243E-3</v>
      </c>
      <c r="S985">
        <v>0.17823542474895535</v>
      </c>
      <c r="T985">
        <v>1.1920786299464903</v>
      </c>
      <c r="U985">
        <v>0</v>
      </c>
      <c r="V985">
        <v>1.6095049897643647E-2</v>
      </c>
      <c r="W985">
        <v>6.6736983528484367E-2</v>
      </c>
      <c r="X985">
        <v>-1.673713453242914E-2</v>
      </c>
      <c r="Y985">
        <v>2.7918247608823204E-2</v>
      </c>
    </row>
    <row r="986" spans="1:25" x14ac:dyDescent="0.25">
      <c r="A986" s="879"/>
      <c r="B986" s="1133">
        <v>736</v>
      </c>
      <c r="C986" s="883">
        <v>1.004936429418708</v>
      </c>
      <c r="D986" s="883">
        <v>0.9739578159507567</v>
      </c>
      <c r="E986" s="883">
        <v>1.0108948915893723</v>
      </c>
      <c r="F986" s="883">
        <v>1.0056059378292976</v>
      </c>
      <c r="G986" s="883">
        <v>0.99586785586983084</v>
      </c>
      <c r="H986" s="883">
        <v>0.96888377303202278</v>
      </c>
      <c r="I986" s="883">
        <v>0.99285271980712875</v>
      </c>
      <c r="K986">
        <v>1.6123356278252563</v>
      </c>
      <c r="L986">
        <v>0</v>
      </c>
      <c r="M986">
        <v>6.1942108319117924E-3</v>
      </c>
      <c r="N986">
        <v>0.11736214063573859</v>
      </c>
      <c r="O986">
        <v>3.1012353112887435E-2</v>
      </c>
      <c r="P986">
        <v>1.8521176760260261E-2</v>
      </c>
      <c r="Q986">
        <v>0</v>
      </c>
      <c r="R986">
        <v>6.1942108319117924E-3</v>
      </c>
      <c r="S986">
        <v>0.16515220606454839</v>
      </c>
      <c r="T986">
        <v>1.1923995271094969</v>
      </c>
      <c r="U986">
        <v>0</v>
      </c>
      <c r="V986">
        <v>1.5827132257556525E-2</v>
      </c>
      <c r="W986">
        <v>6.1438694918437758E-2</v>
      </c>
      <c r="X986">
        <v>-1.4884260711056311E-2</v>
      </c>
      <c r="Y986">
        <v>2.5506657677385199E-2</v>
      </c>
    </row>
    <row r="987" spans="1:25" x14ac:dyDescent="0.25">
      <c r="A987" s="879"/>
      <c r="B987" s="1133">
        <v>737</v>
      </c>
      <c r="C987" s="883">
        <v>1.0361318792615568</v>
      </c>
      <c r="D987" s="883">
        <v>0.9739209235666737</v>
      </c>
      <c r="E987" s="883">
        <v>0.9657011906511257</v>
      </c>
      <c r="F987" s="883">
        <v>1.0104396765297587</v>
      </c>
      <c r="G987" s="883">
        <v>1.0219038557854314</v>
      </c>
      <c r="H987" s="883">
        <v>0.98805023801476721</v>
      </c>
      <c r="I987" s="883">
        <v>0.9981167510310176</v>
      </c>
      <c r="K987">
        <v>1.609890624058653</v>
      </c>
      <c r="L987">
        <v>0</v>
      </c>
      <c r="M987">
        <v>6.3730598814376775E-3</v>
      </c>
      <c r="N987">
        <v>0.11292424398360149</v>
      </c>
      <c r="O987">
        <v>3.011510913755713E-2</v>
      </c>
      <c r="P987">
        <v>1.7934444332587604E-2</v>
      </c>
      <c r="Q987">
        <v>0</v>
      </c>
      <c r="R987">
        <v>6.3730598814376775E-3</v>
      </c>
      <c r="S987">
        <v>0.16206615094595903</v>
      </c>
      <c r="T987">
        <v>1.1989821777890128</v>
      </c>
      <c r="U987">
        <v>0</v>
      </c>
      <c r="V987">
        <v>1.5663803120456385E-2</v>
      </c>
      <c r="W987">
        <v>6.0463828438982126E-2</v>
      </c>
      <c r="X987">
        <v>-1.4502259918892198E-2</v>
      </c>
      <c r="Y987">
        <v>2.6243126229388687E-2</v>
      </c>
    </row>
    <row r="988" spans="1:25" x14ac:dyDescent="0.25">
      <c r="A988" s="879"/>
      <c r="B988" s="1133">
        <v>738</v>
      </c>
      <c r="C988" s="883">
        <v>1.0265055950396309</v>
      </c>
      <c r="D988" s="883">
        <v>1.0267824279332465</v>
      </c>
      <c r="E988" s="883">
        <v>1.0199377964384713</v>
      </c>
      <c r="F988" s="883">
        <v>0.99262437620343047</v>
      </c>
      <c r="G988" s="883">
        <v>0.97629326621733259</v>
      </c>
      <c r="H988" s="883">
        <v>1.0089173223342622</v>
      </c>
      <c r="I988" s="883">
        <v>0.97334602813040572</v>
      </c>
      <c r="K988">
        <v>1.5897855830860304</v>
      </c>
      <c r="L988">
        <v>0</v>
      </c>
      <c r="M988">
        <v>6.1189834123081205E-3</v>
      </c>
      <c r="N988">
        <v>0.11749864993028958</v>
      </c>
      <c r="O988">
        <v>2.9718202813736432E-2</v>
      </c>
      <c r="P988">
        <v>1.8367013707644077E-2</v>
      </c>
      <c r="Q988">
        <v>0</v>
      </c>
      <c r="R988">
        <v>6.1189834123081205E-3</v>
      </c>
      <c r="S988">
        <v>0.1602211472206003</v>
      </c>
      <c r="T988">
        <v>1.1768403951313635</v>
      </c>
      <c r="U988">
        <v>0</v>
      </c>
      <c r="V988">
        <v>1.5713144167858982E-2</v>
      </c>
      <c r="W988">
        <v>6.123625982639682E-2</v>
      </c>
      <c r="X988">
        <v>-1.5006114265297688E-2</v>
      </c>
      <c r="Y988">
        <v>2.5196884553438822E-2</v>
      </c>
    </row>
    <row r="989" spans="1:25" x14ac:dyDescent="0.25">
      <c r="A989" s="879"/>
      <c r="B989" s="1133">
        <v>739</v>
      </c>
      <c r="C989" s="883">
        <v>0.96402570322541248</v>
      </c>
      <c r="D989" s="883">
        <v>1.0203014972218234</v>
      </c>
      <c r="E989" s="883">
        <v>0.97437970116082584</v>
      </c>
      <c r="F989" s="883">
        <v>1.0223558191695021</v>
      </c>
      <c r="G989" s="883">
        <v>1.0025426646669904</v>
      </c>
      <c r="H989" s="883">
        <v>0.99204871168869058</v>
      </c>
      <c r="I989" s="883">
        <v>0.98609034816508201</v>
      </c>
      <c r="K989">
        <v>1.6468915182306181</v>
      </c>
      <c r="L989">
        <v>0</v>
      </c>
      <c r="M989">
        <v>6.6854852942480518E-3</v>
      </c>
      <c r="N989">
        <v>0.11999642202815428</v>
      </c>
      <c r="O989">
        <v>3.1764040901872265E-2</v>
      </c>
      <c r="P989">
        <v>1.8373089140144641E-2</v>
      </c>
      <c r="Q989">
        <v>0</v>
      </c>
      <c r="R989">
        <v>6.6854852942480518E-3</v>
      </c>
      <c r="S989">
        <v>0.17186216499044737</v>
      </c>
      <c r="T989">
        <v>1.2129557515895091</v>
      </c>
      <c r="U989">
        <v>0</v>
      </c>
      <c r="V989">
        <v>1.6057348534541903E-2</v>
      </c>
      <c r="W989">
        <v>6.3970810859028143E-2</v>
      </c>
      <c r="X989">
        <v>-1.5617748282771505E-2</v>
      </c>
      <c r="Y989">
        <v>2.7529638469691382E-2</v>
      </c>
    </row>
    <row r="990" spans="1:25" x14ac:dyDescent="0.25">
      <c r="A990" s="879"/>
      <c r="B990" s="1133">
        <v>740</v>
      </c>
      <c r="C990" s="883">
        <v>0.96418058868139744</v>
      </c>
      <c r="D990" s="883">
        <v>1.0152597851452885</v>
      </c>
      <c r="E990" s="883">
        <v>0.9925045848245303</v>
      </c>
      <c r="F990" s="883">
        <v>0.98844370146441429</v>
      </c>
      <c r="G990" s="883">
        <v>0.98395985527427765</v>
      </c>
      <c r="H990" s="883">
        <v>1.0118323225903008</v>
      </c>
      <c r="I990" s="883">
        <v>0.96017498729163786</v>
      </c>
      <c r="K990">
        <v>1.6075971200076282</v>
      </c>
      <c r="L990">
        <v>0</v>
      </c>
      <c r="M990">
        <v>6.7256382778437887E-3</v>
      </c>
      <c r="N990">
        <v>0.12400657810883223</v>
      </c>
      <c r="O990">
        <v>3.1806931539501086E-2</v>
      </c>
      <c r="P990">
        <v>1.8047044445475939E-2</v>
      </c>
      <c r="Q990">
        <v>0</v>
      </c>
      <c r="R990">
        <v>6.7256382778437887E-3</v>
      </c>
      <c r="S990">
        <v>0.16851984786644661</v>
      </c>
      <c r="T990">
        <v>1.1723870687093711</v>
      </c>
      <c r="U990">
        <v>0</v>
      </c>
      <c r="V990">
        <v>1.6056440108276657E-2</v>
      </c>
      <c r="W990">
        <v>6.5512241425990297E-2</v>
      </c>
      <c r="X990">
        <v>-1.6434013505440645E-2</v>
      </c>
      <c r="Y990">
        <v>2.7694981309173972E-2</v>
      </c>
    </row>
    <row r="991" spans="1:25" x14ac:dyDescent="0.25">
      <c r="A991" s="879"/>
      <c r="B991" s="1133">
        <v>741</v>
      </c>
      <c r="C991" s="883">
        <v>0.97601504325602284</v>
      </c>
      <c r="D991" s="883">
        <v>1.0156775420089754</v>
      </c>
      <c r="E991" s="883">
        <v>0.96578222147376103</v>
      </c>
      <c r="F991" s="883">
        <v>0.98153631689176724</v>
      </c>
      <c r="G991" s="883">
        <v>0.99825012233283272</v>
      </c>
      <c r="H991" s="883">
        <v>1.0371862873024928</v>
      </c>
      <c r="I991" s="883">
        <v>1.0310567366364181</v>
      </c>
      <c r="K991">
        <v>1.6118358366556058</v>
      </c>
      <c r="L991">
        <v>0</v>
      </c>
      <c r="M991">
        <v>6.9697761463727928E-3</v>
      </c>
      <c r="N991">
        <v>0.12351232304830582</v>
      </c>
      <c r="O991">
        <v>3.1437589158291014E-2</v>
      </c>
      <c r="P991">
        <v>1.7730693586708181E-2</v>
      </c>
      <c r="Q991">
        <v>0</v>
      </c>
      <c r="R991">
        <v>6.9697761463727928E-3</v>
      </c>
      <c r="S991">
        <v>0.18027311624094347</v>
      </c>
      <c r="T991">
        <v>1.1646841197548019</v>
      </c>
      <c r="U991">
        <v>0</v>
      </c>
      <c r="V991">
        <v>1.5987881910476724E-2</v>
      </c>
      <c r="W991">
        <v>6.6130379821186747E-2</v>
      </c>
      <c r="X991">
        <v>-1.662056446196461E-2</v>
      </c>
      <c r="Y991">
        <v>2.8700297596855742E-2</v>
      </c>
    </row>
    <row r="992" spans="1:25" x14ac:dyDescent="0.25">
      <c r="A992" s="879"/>
      <c r="B992" s="1133">
        <v>742</v>
      </c>
      <c r="C992" s="883">
        <v>1.0001088260764943</v>
      </c>
      <c r="D992" s="883">
        <v>0.99355643302619989</v>
      </c>
      <c r="E992" s="883">
        <v>0.95594555270444648</v>
      </c>
      <c r="F992" s="883">
        <v>1.0257312532737375</v>
      </c>
      <c r="G992" s="883">
        <v>1.019311422831761</v>
      </c>
      <c r="H992" s="883">
        <v>1.0036340365668672</v>
      </c>
      <c r="I992" s="883">
        <v>0.96550184300272124</v>
      </c>
      <c r="K992">
        <v>1.6376496531326539</v>
      </c>
      <c r="L992">
        <v>0</v>
      </c>
      <c r="M992">
        <v>6.7038916108855357E-3</v>
      </c>
      <c r="N992">
        <v>0.11707687943583875</v>
      </c>
      <c r="O992">
        <v>3.0958907335694473E-2</v>
      </c>
      <c r="P992">
        <v>1.8050241488761463E-2</v>
      </c>
      <c r="Q992">
        <v>0</v>
      </c>
      <c r="R992">
        <v>6.7038916108855357E-3</v>
      </c>
      <c r="S992">
        <v>0.16308589469294238</v>
      </c>
      <c r="T992">
        <v>1.2173147585832198</v>
      </c>
      <c r="U992">
        <v>0</v>
      </c>
      <c r="V992">
        <v>1.5853318414738658E-2</v>
      </c>
      <c r="W992">
        <v>6.2996686709387087E-2</v>
      </c>
      <c r="X992">
        <v>-1.5292465933331858E-2</v>
      </c>
      <c r="Y992">
        <v>2.7605432405402305E-2</v>
      </c>
    </row>
    <row r="993" spans="1:25" x14ac:dyDescent="0.25">
      <c r="A993" s="879"/>
      <c r="B993" s="1133">
        <v>743</v>
      </c>
      <c r="C993" s="883">
        <v>0.98040583295783112</v>
      </c>
      <c r="D993" s="883">
        <v>1.0296177130614279</v>
      </c>
      <c r="E993" s="883">
        <v>1.0113110930411287</v>
      </c>
      <c r="F993" s="883">
        <v>0.98653658764286467</v>
      </c>
      <c r="G993" s="883">
        <v>1.0163162120703417</v>
      </c>
      <c r="H993" s="883">
        <v>1.0023886755586313</v>
      </c>
      <c r="I993" s="883">
        <v>0.95624972699125244</v>
      </c>
      <c r="K993">
        <v>1.595033913882397</v>
      </c>
      <c r="L993">
        <v>0</v>
      </c>
      <c r="M993">
        <v>6.4056077674600797E-3</v>
      </c>
      <c r="N993">
        <v>0.12144228908020795</v>
      </c>
      <c r="O993">
        <v>3.1089080821238728E-2</v>
      </c>
      <c r="P993">
        <v>1.821368699646354E-2</v>
      </c>
      <c r="Q993">
        <v>0</v>
      </c>
      <c r="R993">
        <v>6.4056077674600797E-3</v>
      </c>
      <c r="S993">
        <v>0.16440832564762242</v>
      </c>
      <c r="T993">
        <v>1.1697803907566515</v>
      </c>
      <c r="U993">
        <v>0</v>
      </c>
      <c r="V993">
        <v>1.596286657796581E-2</v>
      </c>
      <c r="W993">
        <v>6.3561559174820884E-2</v>
      </c>
      <c r="X993">
        <v>-1.5801437803294998E-2</v>
      </c>
      <c r="Y993">
        <v>2.6377152630721198E-2</v>
      </c>
    </row>
    <row r="994" spans="1:25" x14ac:dyDescent="0.25">
      <c r="A994" s="879"/>
      <c r="B994" s="1133">
        <v>744</v>
      </c>
      <c r="C994" s="883">
        <v>0.97301414542362152</v>
      </c>
      <c r="D994" s="883">
        <v>0.9993502361847959</v>
      </c>
      <c r="E994" s="883">
        <v>0.97007296144230448</v>
      </c>
      <c r="F994" s="883">
        <v>0.97990022162070389</v>
      </c>
      <c r="G994" s="883">
        <v>0.99079394024265455</v>
      </c>
      <c r="H994" s="883">
        <v>0.96448213351867318</v>
      </c>
      <c r="I994" s="883">
        <v>0.99681389434559631</v>
      </c>
      <c r="K994">
        <v>1.5889511566816219</v>
      </c>
      <c r="L994">
        <v>0</v>
      </c>
      <c r="M994">
        <v>6.5239325079088015E-3</v>
      </c>
      <c r="N994">
        <v>0.11635047292016115</v>
      </c>
      <c r="O994">
        <v>3.1736290733964959E-2</v>
      </c>
      <c r="P994">
        <v>1.7638490863662593E-2</v>
      </c>
      <c r="Q994">
        <v>0</v>
      </c>
      <c r="R994">
        <v>6.5239325079088015E-3</v>
      </c>
      <c r="S994">
        <v>0.17069182359157661</v>
      </c>
      <c r="T994">
        <v>1.1626640119715783</v>
      </c>
      <c r="U994">
        <v>0</v>
      </c>
      <c r="V994">
        <v>1.6005108590435791E-2</v>
      </c>
      <c r="W994">
        <v>6.2161461614089981E-2</v>
      </c>
      <c r="X994">
        <v>-1.5160896454718098E-2</v>
      </c>
      <c r="Y994">
        <v>2.6864392850870358E-2</v>
      </c>
    </row>
    <row r="995" spans="1:25" x14ac:dyDescent="0.25">
      <c r="A995" s="879"/>
      <c r="B995" s="1133">
        <v>745</v>
      </c>
      <c r="C995" s="883">
        <v>1.001948284622076</v>
      </c>
      <c r="D995" s="883">
        <v>0.99873626849987895</v>
      </c>
      <c r="E995" s="883">
        <v>0.99670078546530483</v>
      </c>
      <c r="F995" s="883">
        <v>1.0441099907628695</v>
      </c>
      <c r="G995" s="883">
        <v>0.98699934481689999</v>
      </c>
      <c r="H995" s="883">
        <v>1.0083372303482032</v>
      </c>
      <c r="I995" s="883">
        <v>1.035382348691914</v>
      </c>
      <c r="K995">
        <v>1.6736163515002138</v>
      </c>
      <c r="L995">
        <v>0</v>
      </c>
      <c r="M995">
        <v>6.473366285674108E-3</v>
      </c>
      <c r="N995">
        <v>0.12009980745981698</v>
      </c>
      <c r="O995">
        <v>3.08060526704029E-2</v>
      </c>
      <c r="P995">
        <v>1.9066025768153042E-2</v>
      </c>
      <c r="Q995">
        <v>0</v>
      </c>
      <c r="R995">
        <v>6.473366285674108E-3</v>
      </c>
      <c r="S995">
        <v>0.17484012366665677</v>
      </c>
      <c r="T995">
        <v>1.2383309852077162</v>
      </c>
      <c r="U995">
        <v>0</v>
      </c>
      <c r="V995">
        <v>1.5843310963565248E-2</v>
      </c>
      <c r="W995">
        <v>6.3315929809431973E-2</v>
      </c>
      <c r="X995">
        <v>-1.5342054193689303E-2</v>
      </c>
      <c r="Y995">
        <v>2.6656170148159925E-2</v>
      </c>
    </row>
    <row r="996" spans="1:25" x14ac:dyDescent="0.25">
      <c r="A996" s="879"/>
      <c r="B996" s="1133">
        <v>746</v>
      </c>
      <c r="C996" s="883">
        <v>1.0287466478793623</v>
      </c>
      <c r="D996" s="883">
        <v>0.97137254442021959</v>
      </c>
      <c r="E996" s="883">
        <v>1.035765103905375</v>
      </c>
      <c r="F996" s="883">
        <v>1.0049404482725988</v>
      </c>
      <c r="G996" s="883">
        <v>0.97944278033226306</v>
      </c>
      <c r="H996" s="883">
        <v>1.0059859407654881</v>
      </c>
      <c r="I996" s="883">
        <v>0.9962613463402904</v>
      </c>
      <c r="K996">
        <v>1.613513769488087</v>
      </c>
      <c r="L996">
        <v>0</v>
      </c>
      <c r="M996">
        <v>6.1545017062670073E-3</v>
      </c>
      <c r="N996">
        <v>0.12097867124176957</v>
      </c>
      <c r="O996">
        <v>3.0304331338392415E-2</v>
      </c>
      <c r="P996">
        <v>1.8832262177647902E-2</v>
      </c>
      <c r="Q996">
        <v>0</v>
      </c>
      <c r="R996">
        <v>6.1545017062670073E-3</v>
      </c>
      <c r="S996">
        <v>0.16404561471207516</v>
      </c>
      <c r="T996">
        <v>1.1911484915650501</v>
      </c>
      <c r="U996">
        <v>0</v>
      </c>
      <c r="V996">
        <v>1.5701574833208061E-2</v>
      </c>
      <c r="W996">
        <v>6.2561834743269651E-2</v>
      </c>
      <c r="X996">
        <v>-1.5402153689267993E-2</v>
      </c>
      <c r="Y996">
        <v>2.5343142565940856E-2</v>
      </c>
    </row>
    <row r="997" spans="1:25" x14ac:dyDescent="0.25">
      <c r="A997" s="879"/>
      <c r="B997" s="1133">
        <v>747</v>
      </c>
      <c r="C997" s="883">
        <v>1.0100439043024461</v>
      </c>
      <c r="D997" s="883">
        <v>0.99485941357058061</v>
      </c>
      <c r="E997" s="883">
        <v>0.96606131478425661</v>
      </c>
      <c r="F997" s="883">
        <v>0.96426572929918553</v>
      </c>
      <c r="G997" s="883">
        <v>0.97400565766961344</v>
      </c>
      <c r="H997" s="883">
        <v>1.0142685285539019</v>
      </c>
      <c r="I997" s="883">
        <v>0.99403273369489864</v>
      </c>
      <c r="K997">
        <v>1.5673431491243526</v>
      </c>
      <c r="L997">
        <v>0</v>
      </c>
      <c r="M997">
        <v>6.6456327302430078E-3</v>
      </c>
      <c r="N997">
        <v>0.11781696191086075</v>
      </c>
      <c r="O997">
        <v>3.0630931738900621E-2</v>
      </c>
      <c r="P997">
        <v>1.7289970293906196E-2</v>
      </c>
      <c r="Q997">
        <v>0</v>
      </c>
      <c r="R997">
        <v>6.6456327302430078E-3</v>
      </c>
      <c r="S997">
        <v>0.16685890151532226</v>
      </c>
      <c r="T997">
        <v>1.144185919900907</v>
      </c>
      <c r="U997">
        <v>0</v>
      </c>
      <c r="V997">
        <v>1.5799700512319333E-2</v>
      </c>
      <c r="W997">
        <v>6.3072131176083068E-2</v>
      </c>
      <c r="X997">
        <v>-1.5676900628556388E-2</v>
      </c>
      <c r="Y997">
        <v>2.7365532704610569E-2</v>
      </c>
    </row>
    <row r="998" spans="1:25" x14ac:dyDescent="0.25">
      <c r="A998" s="879"/>
      <c r="B998" s="1133">
        <v>748</v>
      </c>
      <c r="C998" s="883">
        <v>1.0388320583038761</v>
      </c>
      <c r="D998" s="883">
        <v>0.95746719673067859</v>
      </c>
      <c r="E998" s="883">
        <v>0.96984428176475457</v>
      </c>
      <c r="F998" s="883">
        <v>0.99135944902782713</v>
      </c>
      <c r="G998" s="883">
        <v>1.0041490491331828</v>
      </c>
      <c r="H998" s="883">
        <v>1.0307345825546015</v>
      </c>
      <c r="I998" s="883">
        <v>0.96007942497893151</v>
      </c>
      <c r="K998">
        <v>1.591575451908217</v>
      </c>
      <c r="L998">
        <v>0</v>
      </c>
      <c r="M998">
        <v>6.657735133765527E-3</v>
      </c>
      <c r="N998">
        <v>0.11869645444622423</v>
      </c>
      <c r="O998">
        <v>3.0239177396734398E-2</v>
      </c>
      <c r="P998">
        <v>1.7642070718496158E-2</v>
      </c>
      <c r="Q998">
        <v>0</v>
      </c>
      <c r="R998">
        <v>6.657735133765527E-3</v>
      </c>
      <c r="S998">
        <v>0.15798577059619204</v>
      </c>
      <c r="T998">
        <v>1.1762647732932137</v>
      </c>
      <c r="U998">
        <v>0</v>
      </c>
      <c r="V998">
        <v>1.5650127147807707E-2</v>
      </c>
      <c r="W998">
        <v>6.3422118299692104E-2</v>
      </c>
      <c r="X998">
        <v>-1.5740408238311999E-2</v>
      </c>
      <c r="Y998">
        <v>2.741536824816878E-2</v>
      </c>
    </row>
    <row r="999" spans="1:25" x14ac:dyDescent="0.25">
      <c r="A999" s="879"/>
      <c r="B999" s="1133">
        <v>749</v>
      </c>
      <c r="C999" s="883">
        <v>1.040603203782736</v>
      </c>
      <c r="D999" s="883">
        <v>1.0027843742532201</v>
      </c>
      <c r="E999" s="883">
        <v>1.0099917391181363</v>
      </c>
      <c r="F999" s="883">
        <v>0.99278016584922157</v>
      </c>
      <c r="G999" s="883">
        <v>1.0081352475885059</v>
      </c>
      <c r="H999" s="883">
        <v>0.98270701956444739</v>
      </c>
      <c r="I999" s="883">
        <v>0.99544263993317195</v>
      </c>
      <c r="K999">
        <v>1.5842811896645554</v>
      </c>
      <c r="L999">
        <v>0</v>
      </c>
      <c r="M999">
        <v>5.9935043645553045E-3</v>
      </c>
      <c r="N999">
        <v>0.11340761741256425</v>
      </c>
      <c r="O999">
        <v>2.9602772606828229E-2</v>
      </c>
      <c r="P999">
        <v>1.8237350468222828E-2</v>
      </c>
      <c r="Q999">
        <v>0</v>
      </c>
      <c r="R999">
        <v>5.9935043645553045E-3</v>
      </c>
      <c r="S999">
        <v>0.16040529371305434</v>
      </c>
      <c r="T999">
        <v>1.177207961769934</v>
      </c>
      <c r="U999">
        <v>0</v>
      </c>
      <c r="V999">
        <v>1.5641195126020798E-2</v>
      </c>
      <c r="W999">
        <v>5.9395036483739089E-2</v>
      </c>
      <c r="X999">
        <v>-1.4296222085039795E-2</v>
      </c>
      <c r="Y999">
        <v>2.4680184169230623E-2</v>
      </c>
    </row>
    <row r="1000" spans="1:25" x14ac:dyDescent="0.25">
      <c r="A1000" s="879"/>
      <c r="B1000" s="1133">
        <v>750</v>
      </c>
      <c r="C1000" s="883">
        <v>0.97109734682811832</v>
      </c>
      <c r="D1000" s="883">
        <v>0.97686334154711796</v>
      </c>
      <c r="E1000" s="883">
        <v>1.0412802185296537</v>
      </c>
      <c r="F1000" s="883">
        <v>1.0326570016220304</v>
      </c>
      <c r="G1000" s="883">
        <v>0.994856030374627</v>
      </c>
      <c r="H1000" s="883">
        <v>0.98662747762588399</v>
      </c>
      <c r="I1000" s="883">
        <v>1.0332796714969177</v>
      </c>
      <c r="K1000">
        <v>1.6713477633759009</v>
      </c>
      <c r="L1000">
        <v>0</v>
      </c>
      <c r="M1000">
        <v>6.3475376270636609E-3</v>
      </c>
      <c r="N1000">
        <v>0.12579388255051158</v>
      </c>
      <c r="O1000">
        <v>3.2025533480548034E-2</v>
      </c>
      <c r="P1000">
        <v>1.9570715200621584E-2</v>
      </c>
      <c r="Q1000">
        <v>0</v>
      </c>
      <c r="R1000">
        <v>6.3475376270636609E-3</v>
      </c>
      <c r="S1000">
        <v>0.17897595789566395</v>
      </c>
      <c r="T1000">
        <v>1.2238958413083487</v>
      </c>
      <c r="U1000">
        <v>0</v>
      </c>
      <c r="V1000">
        <v>1.6016167711235881E-2</v>
      </c>
      <c r="W1000">
        <v>6.4876770626171837E-2</v>
      </c>
      <c r="X1000">
        <v>-1.5945135525869649E-2</v>
      </c>
      <c r="Y1000">
        <v>2.6138030128668426E-2</v>
      </c>
    </row>
    <row r="1001" spans="1:25" x14ac:dyDescent="0.25">
      <c r="A1001" s="879"/>
      <c r="B1001" s="1133">
        <v>751</v>
      </c>
      <c r="C1001" s="883">
        <v>1.0080534340157634</v>
      </c>
      <c r="D1001" s="883">
        <v>1.0016713988664683</v>
      </c>
      <c r="E1001" s="883">
        <v>0.99767493637552918</v>
      </c>
      <c r="F1001" s="883">
        <v>1.01722592058092</v>
      </c>
      <c r="G1001" s="883">
        <v>0.97683009457242287</v>
      </c>
      <c r="H1001" s="883">
        <v>0.97921502585155473</v>
      </c>
      <c r="I1001" s="883">
        <v>1.0003696670272213</v>
      </c>
      <c r="K1001">
        <v>1.6254385238713007</v>
      </c>
      <c r="L1001">
        <v>0</v>
      </c>
      <c r="M1001">
        <v>6.2348539769947614E-3</v>
      </c>
      <c r="N1001">
        <v>0.11584180466411104</v>
      </c>
      <c r="O1001">
        <v>3.0582744996606456E-2</v>
      </c>
      <c r="P1001">
        <v>1.853829669988118E-2</v>
      </c>
      <c r="Q1001">
        <v>0</v>
      </c>
      <c r="R1001">
        <v>6.2348539769947614E-3</v>
      </c>
      <c r="S1001">
        <v>0.16620115374474201</v>
      </c>
      <c r="T1001">
        <v>1.2064276232750872</v>
      </c>
      <c r="U1001">
        <v>0</v>
      </c>
      <c r="V1001">
        <v>1.5810358075955721E-2</v>
      </c>
      <c r="W1001">
        <v>6.1041562358813799E-2</v>
      </c>
      <c r="X1001">
        <v>-1.4679038858524184E-2</v>
      </c>
      <c r="Y1001">
        <v>2.5674018914626714E-2</v>
      </c>
    </row>
    <row r="1002" spans="1:25" x14ac:dyDescent="0.25">
      <c r="A1002" s="879"/>
      <c r="B1002" s="1133">
        <v>752</v>
      </c>
      <c r="C1002" s="883">
        <v>0.97335196129997914</v>
      </c>
      <c r="D1002" s="883">
        <v>1.0308138960550257</v>
      </c>
      <c r="E1002" s="883">
        <v>0.95875293735441347</v>
      </c>
      <c r="F1002" s="883">
        <v>0.98186019097514865</v>
      </c>
      <c r="G1002" s="883">
        <v>1.0142560974023596</v>
      </c>
      <c r="H1002" s="883">
        <v>1.0022061316334356</v>
      </c>
      <c r="I1002" s="883">
        <v>0.99825895088341099</v>
      </c>
      <c r="K1002">
        <v>1.5969652363716</v>
      </c>
      <c r="L1002">
        <v>0</v>
      </c>
      <c r="M1002">
        <v>6.7499356394068507E-3</v>
      </c>
      <c r="N1002">
        <v>0.11837385192358076</v>
      </c>
      <c r="O1002">
        <v>3.1342904047049952E-2</v>
      </c>
      <c r="P1002">
        <v>1.7543065941538892E-2</v>
      </c>
      <c r="Q1002">
        <v>0</v>
      </c>
      <c r="R1002">
        <v>6.7499356394068507E-3</v>
      </c>
      <c r="S1002">
        <v>0.17279485987500348</v>
      </c>
      <c r="T1002">
        <v>1.1651978296422161</v>
      </c>
      <c r="U1002">
        <v>0</v>
      </c>
      <c r="V1002">
        <v>1.6003164049747179E-2</v>
      </c>
      <c r="W1002">
        <v>6.3604257608703127E-2</v>
      </c>
      <c r="X1002">
        <v>-1.56897302355616E-2</v>
      </c>
      <c r="Y1002">
        <v>2.7795033519321527E-2</v>
      </c>
    </row>
    <row r="1003" spans="1:25" x14ac:dyDescent="0.25">
      <c r="A1003" s="879"/>
      <c r="B1003" s="1133">
        <v>753</v>
      </c>
      <c r="C1003" s="883">
        <v>0.99644476884719924</v>
      </c>
      <c r="D1003" s="883">
        <v>1.0041777602339135</v>
      </c>
      <c r="E1003" s="883">
        <v>0.9901340570437992</v>
      </c>
      <c r="F1003" s="883">
        <v>0.99426323297109731</v>
      </c>
      <c r="G1003" s="883">
        <v>0.96487372212642453</v>
      </c>
      <c r="H1003" s="883">
        <v>1.0268681511130602</v>
      </c>
      <c r="I1003" s="883">
        <v>1.0025909198646732</v>
      </c>
      <c r="K1003">
        <v>1.6136134541930871</v>
      </c>
      <c r="L1003">
        <v>0</v>
      </c>
      <c r="M1003">
        <v>6.6507128549331941E-3</v>
      </c>
      <c r="N1003">
        <v>0.12219494432722454</v>
      </c>
      <c r="O1003">
        <v>3.0914421207539271E-2</v>
      </c>
      <c r="P1003">
        <v>1.8140508661188274E-2</v>
      </c>
      <c r="Q1003">
        <v>0</v>
      </c>
      <c r="R1003">
        <v>6.6507128549331941E-3</v>
      </c>
      <c r="S1003">
        <v>0.17125310113003878</v>
      </c>
      <c r="T1003">
        <v>1.1793334733237615</v>
      </c>
      <c r="U1003">
        <v>0</v>
      </c>
      <c r="V1003">
        <v>1.5873362571831834E-2</v>
      </c>
      <c r="W1003">
        <v>6.4631476549160363E-2</v>
      </c>
      <c r="X1003">
        <v>-1.6114285331513187E-2</v>
      </c>
      <c r="Y1003">
        <v>2.7386451753856272E-2</v>
      </c>
    </row>
    <row r="1004" spans="1:25" x14ac:dyDescent="0.25">
      <c r="A1004" s="879"/>
      <c r="B1004" s="1133">
        <v>754</v>
      </c>
      <c r="C1004" s="883">
        <v>0.99790370315748289</v>
      </c>
      <c r="D1004" s="883">
        <v>0.96231539910212516</v>
      </c>
      <c r="E1004" s="883">
        <v>1.001012504652528</v>
      </c>
      <c r="F1004" s="883">
        <v>0.98027510181952326</v>
      </c>
      <c r="G1004" s="883">
        <v>1.0017070843289537</v>
      </c>
      <c r="H1004" s="883">
        <v>1.0218641660383201</v>
      </c>
      <c r="I1004" s="883">
        <v>0.992128497417336</v>
      </c>
      <c r="K1004">
        <v>1.5983032473997538</v>
      </c>
      <c r="L1004">
        <v>0</v>
      </c>
      <c r="M1004">
        <v>6.6717991933474595E-3</v>
      </c>
      <c r="N1004">
        <v>0.12457459612889048</v>
      </c>
      <c r="O1004">
        <v>3.1390239236641124E-2</v>
      </c>
      <c r="P1004">
        <v>1.8041757304632342E-2</v>
      </c>
      <c r="Q1004">
        <v>0</v>
      </c>
      <c r="R1004">
        <v>6.6717991933474595E-3</v>
      </c>
      <c r="S1004">
        <v>0.1694101005210287</v>
      </c>
      <c r="T1004">
        <v>1.1625432210419751</v>
      </c>
      <c r="U1004">
        <v>0</v>
      </c>
      <c r="V1004">
        <v>1.5865363862537306E-2</v>
      </c>
      <c r="W1004">
        <v>6.553446471953811E-2</v>
      </c>
      <c r="X1004">
        <v>-1.6529776957708395E-2</v>
      </c>
      <c r="Y1004">
        <v>2.7473281542217887E-2</v>
      </c>
    </row>
    <row r="1005" spans="1:25" x14ac:dyDescent="0.25">
      <c r="A1005" s="879"/>
      <c r="B1005" s="1133">
        <v>755</v>
      </c>
      <c r="C1005" s="883">
        <v>0.99497171164974063</v>
      </c>
      <c r="D1005" s="883">
        <v>1.0035443356793494</v>
      </c>
      <c r="E1005" s="883">
        <v>0.97913342372322443</v>
      </c>
      <c r="F1005" s="883">
        <v>0.9982493122593481</v>
      </c>
      <c r="G1005" s="883">
        <v>0.98466391385144181</v>
      </c>
      <c r="H1005" s="883">
        <v>1.0096920080542913</v>
      </c>
      <c r="I1005" s="883">
        <v>1.0207972097142515</v>
      </c>
      <c r="K1005">
        <v>1.6175221313002259</v>
      </c>
      <c r="L1005">
        <v>0</v>
      </c>
      <c r="M1005">
        <v>6.6141430868753709E-3</v>
      </c>
      <c r="N1005">
        <v>0.11955638129393992</v>
      </c>
      <c r="O1005">
        <v>3.0976906460013196E-2</v>
      </c>
      <c r="P1005">
        <v>1.8083765448365305E-2</v>
      </c>
      <c r="Q1005">
        <v>0</v>
      </c>
      <c r="R1005">
        <v>6.6141430868753709E-3</v>
      </c>
      <c r="S1005">
        <v>0.17359592129482737</v>
      </c>
      <c r="T1005">
        <v>1.1842663426303988</v>
      </c>
      <c r="U1005">
        <v>0</v>
      </c>
      <c r="V1005">
        <v>1.5881462509680536E-2</v>
      </c>
      <c r="W1005">
        <v>6.3584494829336091E-2</v>
      </c>
      <c r="X1005">
        <v>-1.5659007124506866E-2</v>
      </c>
      <c r="Y1005">
        <v>2.7235863958170216E-2</v>
      </c>
    </row>
    <row r="1006" spans="1:25" x14ac:dyDescent="0.25">
      <c r="A1006" s="879"/>
      <c r="B1006" s="1133">
        <v>756</v>
      </c>
      <c r="C1006" s="883">
        <v>1.013747741472381</v>
      </c>
      <c r="D1006" s="883">
        <v>1.006533874157548</v>
      </c>
      <c r="E1006" s="883">
        <v>0.9815500576959505</v>
      </c>
      <c r="F1006" s="883">
        <v>1.0343683003651918</v>
      </c>
      <c r="G1006" s="883">
        <v>0.97805630469838667</v>
      </c>
      <c r="H1006" s="883">
        <v>1.0041332325244148</v>
      </c>
      <c r="I1006" s="883">
        <v>0.9753244788186759</v>
      </c>
      <c r="K1006">
        <v>1.6444468676107651</v>
      </c>
      <c r="L1006">
        <v>0</v>
      </c>
      <c r="M1006">
        <v>6.433776059119497E-3</v>
      </c>
      <c r="N1006">
        <v>0.11671380926872399</v>
      </c>
      <c r="O1006">
        <v>3.036513092349483E-2</v>
      </c>
      <c r="P1006">
        <v>1.853332904077494E-2</v>
      </c>
      <c r="Q1006">
        <v>0</v>
      </c>
      <c r="R1006">
        <v>6.433776059119497E-3</v>
      </c>
      <c r="S1006">
        <v>0.16245469310590455</v>
      </c>
      <c r="T1006">
        <v>1.2270691888131364</v>
      </c>
      <c r="U1006">
        <v>0</v>
      </c>
      <c r="V1006">
        <v>1.5779980473065246E-2</v>
      </c>
      <c r="W1006">
        <v>6.1997656048515884E-2</v>
      </c>
      <c r="X1006">
        <v>-1.4960064704856436E-2</v>
      </c>
      <c r="Y1006">
        <v>2.6493144642005681E-2</v>
      </c>
    </row>
    <row r="1007" spans="1:25" x14ac:dyDescent="0.25">
      <c r="A1007" s="879"/>
      <c r="B1007" s="1133">
        <v>757</v>
      </c>
      <c r="C1007" s="883">
        <v>1.0291419114295346</v>
      </c>
      <c r="D1007" s="883">
        <v>1.0245074757874553</v>
      </c>
      <c r="E1007" s="883">
        <v>0.98534931011280458</v>
      </c>
      <c r="F1007" s="883">
        <v>1.0073933191957392</v>
      </c>
      <c r="G1007" s="883">
        <v>1.010176591873263</v>
      </c>
      <c r="H1007" s="883">
        <v>0.97984051351303836</v>
      </c>
      <c r="I1007" s="883">
        <v>1.039466555802806</v>
      </c>
      <c r="K1007">
        <v>1.6094574579237024</v>
      </c>
      <c r="L1007">
        <v>0</v>
      </c>
      <c r="M1007">
        <v>6.1153352579878884E-3</v>
      </c>
      <c r="N1007">
        <v>0.11156398304913273</v>
      </c>
      <c r="O1007">
        <v>2.9696972232055287E-2</v>
      </c>
      <c r="P1007">
        <v>1.8248677469810674E-2</v>
      </c>
      <c r="Q1007">
        <v>0</v>
      </c>
      <c r="R1007">
        <v>6.1153352579878884E-3</v>
      </c>
      <c r="S1007">
        <v>0.16896718450246598</v>
      </c>
      <c r="T1007">
        <v>1.1949974100372549</v>
      </c>
      <c r="U1007">
        <v>0</v>
      </c>
      <c r="V1007">
        <v>1.5699539530033814E-2</v>
      </c>
      <c r="W1007">
        <v>5.9149630151614403E-2</v>
      </c>
      <c r="X1007">
        <v>-1.4047801151960181E-2</v>
      </c>
      <c r="Y1007">
        <v>2.5181862103295354E-2</v>
      </c>
    </row>
    <row r="1008" spans="1:25" x14ac:dyDescent="0.25">
      <c r="A1008" s="879"/>
      <c r="B1008" s="1133">
        <v>758</v>
      </c>
      <c r="C1008" s="883">
        <v>1.0114977383674677</v>
      </c>
      <c r="D1008" s="883">
        <v>1.0222999173742624</v>
      </c>
      <c r="E1008" s="883">
        <v>0.99839899706097734</v>
      </c>
      <c r="F1008" s="883">
        <v>1.0079541135152075</v>
      </c>
      <c r="G1008" s="883">
        <v>1.0066049804931971</v>
      </c>
      <c r="H1008" s="883">
        <v>0.97703476872906747</v>
      </c>
      <c r="I1008" s="883">
        <v>0.99667729834620866</v>
      </c>
      <c r="K1008">
        <v>1.6097449350803223</v>
      </c>
      <c r="L1008">
        <v>0</v>
      </c>
      <c r="M1008">
        <v>6.1398264135803099E-3</v>
      </c>
      <c r="N1008">
        <v>0.1141986707330372</v>
      </c>
      <c r="O1008">
        <v>3.0230494709391958E-2</v>
      </c>
      <c r="P1008">
        <v>1.8381272945093015E-2</v>
      </c>
      <c r="Q1008">
        <v>0</v>
      </c>
      <c r="R1008">
        <v>6.1398264135803099E-3</v>
      </c>
      <c r="S1008">
        <v>0.16471233577107197</v>
      </c>
      <c r="T1008">
        <v>1.1954177110661464</v>
      </c>
      <c r="U1008">
        <v>0</v>
      </c>
      <c r="V1008">
        <v>1.579194276350486E-2</v>
      </c>
      <c r="W1008">
        <v>6.0154078803175755E-2</v>
      </c>
      <c r="X1008">
        <v>-1.4424284033860977E-2</v>
      </c>
      <c r="Y1008">
        <v>2.5282712322761754E-2</v>
      </c>
    </row>
    <row r="1009" spans="1:25" x14ac:dyDescent="0.25">
      <c r="A1009" s="879"/>
      <c r="B1009" s="1133">
        <v>759</v>
      </c>
      <c r="C1009" s="883">
        <v>0.99991588472257953</v>
      </c>
      <c r="D1009" s="883">
        <v>0.98115212057233014</v>
      </c>
      <c r="E1009" s="883">
        <v>1.0024126417258459</v>
      </c>
      <c r="F1009" s="883">
        <v>1.0129854798815863</v>
      </c>
      <c r="G1009" s="883">
        <v>0.97259258047538755</v>
      </c>
      <c r="H1009" s="883">
        <v>1.0043593664252011</v>
      </c>
      <c r="I1009" s="883">
        <v>1.0115861774782255</v>
      </c>
      <c r="K1009">
        <v>1.6339656850114668</v>
      </c>
      <c r="L1009">
        <v>0</v>
      </c>
      <c r="M1009">
        <v>6.4799466087080036E-3</v>
      </c>
      <c r="N1009">
        <v>0.12124356054068548</v>
      </c>
      <c r="O1009">
        <v>3.1083888475565567E-2</v>
      </c>
      <c r="P1009">
        <v>1.8603150618034772E-2</v>
      </c>
      <c r="Q1009">
        <v>0</v>
      </c>
      <c r="R1009">
        <v>6.4799466087080036E-3</v>
      </c>
      <c r="S1009">
        <v>0.17112984846387586</v>
      </c>
      <c r="T1009">
        <v>1.2013092764106756</v>
      </c>
      <c r="U1009">
        <v>0</v>
      </c>
      <c r="V1009">
        <v>1.5854370232826712E-2</v>
      </c>
      <c r="W1009">
        <v>6.3737815187796323E-2</v>
      </c>
      <c r="X1009">
        <v>-1.5679491665153252E-2</v>
      </c>
      <c r="Y1009">
        <v>2.6683266747159675E-2</v>
      </c>
    </row>
    <row r="1010" spans="1:25" x14ac:dyDescent="0.25">
      <c r="A1010" s="879"/>
      <c r="B1010" s="1133">
        <v>760</v>
      </c>
      <c r="C1010" s="883">
        <v>1.0140978345300233</v>
      </c>
      <c r="D1010" s="883">
        <v>1.0044434290783526</v>
      </c>
      <c r="E1010" s="883">
        <v>0.99232728936926029</v>
      </c>
      <c r="F1010" s="883">
        <v>1.0018326020112425</v>
      </c>
      <c r="G1010" s="883">
        <v>0.99144661361875575</v>
      </c>
      <c r="H1010" s="883">
        <v>1.0404007657105812</v>
      </c>
      <c r="I1010" s="883">
        <v>1.0248439813816521</v>
      </c>
      <c r="K1010">
        <v>1.6228836303027372</v>
      </c>
      <c r="L1010">
        <v>0</v>
      </c>
      <c r="M1010">
        <v>6.6076197241039854E-3</v>
      </c>
      <c r="N1010">
        <v>0.12179855121984905</v>
      </c>
      <c r="O1010">
        <v>3.0371277240069359E-2</v>
      </c>
      <c r="P1010">
        <v>1.830904271855938E-2</v>
      </c>
      <c r="Q1010">
        <v>0</v>
      </c>
      <c r="R1010">
        <v>6.6076197241039854E-3</v>
      </c>
      <c r="S1010">
        <v>0.17279768829276917</v>
      </c>
      <c r="T1010">
        <v>1.1882708693156023</v>
      </c>
      <c r="U1010">
        <v>0</v>
      </c>
      <c r="V1010">
        <v>1.5778123952412917E-2</v>
      </c>
      <c r="W1010">
        <v>6.4351432082885865E-2</v>
      </c>
      <c r="X1010">
        <v>-1.600235643080453E-2</v>
      </c>
      <c r="Y1010">
        <v>2.7209001911392937E-2</v>
      </c>
    </row>
    <row r="1011" spans="1:25" x14ac:dyDescent="0.25">
      <c r="A1011" s="879"/>
      <c r="B1011" s="1133">
        <v>761</v>
      </c>
      <c r="C1011" s="883">
        <v>1.0020172077399518</v>
      </c>
      <c r="D1011" s="883">
        <v>0.99151959469072359</v>
      </c>
      <c r="E1011" s="883">
        <v>1.0088530493673935</v>
      </c>
      <c r="F1011" s="883">
        <v>0.97095522119612498</v>
      </c>
      <c r="G1011" s="883">
        <v>1.0144780302121414</v>
      </c>
      <c r="H1011" s="883">
        <v>1.0168280519569344</v>
      </c>
      <c r="I1011" s="883">
        <v>1.0044855824161933</v>
      </c>
      <c r="K1011">
        <v>1.5834003804965882</v>
      </c>
      <c r="L1011">
        <v>0</v>
      </c>
      <c r="M1011">
        <v>6.4794098607647097E-3</v>
      </c>
      <c r="N1011">
        <v>0.12239529738323268</v>
      </c>
      <c r="O1011">
        <v>3.0882963188371516E-2</v>
      </c>
      <c r="P1011">
        <v>1.8008410862693832E-2</v>
      </c>
      <c r="Q1011">
        <v>0</v>
      </c>
      <c r="R1011">
        <v>6.4794098607647097E-3</v>
      </c>
      <c r="S1011">
        <v>0.17019571493114455</v>
      </c>
      <c r="T1011">
        <v>1.1513491209518869</v>
      </c>
      <c r="U1011">
        <v>0</v>
      </c>
      <c r="V1011">
        <v>1.5842936706101179E-2</v>
      </c>
      <c r="W1011">
        <v>6.4138280699075317E-2</v>
      </c>
      <c r="X1011">
        <v>-1.6093400740584685E-2</v>
      </c>
      <c r="Y1011">
        <v>2.6681056514666762E-2</v>
      </c>
    </row>
    <row r="1012" spans="1:25" x14ac:dyDescent="0.25">
      <c r="A1012" s="879"/>
      <c r="B1012" s="1133">
        <v>762</v>
      </c>
      <c r="C1012" s="883">
        <v>1.0133979175047272</v>
      </c>
      <c r="D1012" s="883">
        <v>0.95860550213731499</v>
      </c>
      <c r="E1012" s="883">
        <v>0.97355625652833444</v>
      </c>
      <c r="F1012" s="883">
        <v>1.0146319182007923</v>
      </c>
      <c r="G1012" s="883">
        <v>0.99868268687864648</v>
      </c>
      <c r="H1012" s="883">
        <v>1.0237663171539666</v>
      </c>
      <c r="I1012" s="883">
        <v>1.0182668835174076</v>
      </c>
      <c r="K1012">
        <v>1.6376405610380242</v>
      </c>
      <c r="L1012">
        <v>0</v>
      </c>
      <c r="M1012">
        <v>6.753224985884188E-3</v>
      </c>
      <c r="N1012">
        <v>0.12106420383410391</v>
      </c>
      <c r="O1012">
        <v>3.098052647039955E-2</v>
      </c>
      <c r="P1012">
        <v>1.8231044880639622E-2</v>
      </c>
      <c r="Q1012">
        <v>0</v>
      </c>
      <c r="R1012">
        <v>6.753224985884188E-3</v>
      </c>
      <c r="S1012">
        <v>0.1713425884648257</v>
      </c>
      <c r="T1012">
        <v>1.2038074902779503</v>
      </c>
      <c r="U1012">
        <v>0</v>
      </c>
      <c r="V1012">
        <v>1.5781836847996555E-2</v>
      </c>
      <c r="W1012">
        <v>6.4566733257347977E-2</v>
      </c>
      <c r="X1012">
        <v>-1.5942441457873695E-2</v>
      </c>
      <c r="Y1012">
        <v>2.7808578462633356E-2</v>
      </c>
    </row>
    <row r="1013" spans="1:25" x14ac:dyDescent="0.25">
      <c r="A1013" s="879"/>
      <c r="B1013" s="1133">
        <v>763</v>
      </c>
      <c r="C1013" s="883">
        <v>1.0084634664721213</v>
      </c>
      <c r="D1013" s="883">
        <v>0.96998454801116363</v>
      </c>
      <c r="E1013" s="883">
        <v>0.99718157657829654</v>
      </c>
      <c r="F1013" s="883">
        <v>0.98750218265510903</v>
      </c>
      <c r="G1013" s="883">
        <v>1.0078533444584978</v>
      </c>
      <c r="H1013" s="883">
        <v>0.99772092526594658</v>
      </c>
      <c r="I1013" s="883">
        <v>1.0410712212532853</v>
      </c>
      <c r="K1013">
        <v>1.6041791632946758</v>
      </c>
      <c r="L1013">
        <v>0</v>
      </c>
      <c r="M1013">
        <v>6.4446579464955515E-3</v>
      </c>
      <c r="N1013">
        <v>0.11965239945564113</v>
      </c>
      <c r="O1013">
        <v>3.0966341712480278E-2</v>
      </c>
      <c r="P1013">
        <v>1.816990764454204E-2</v>
      </c>
      <c r="Q1013">
        <v>0</v>
      </c>
      <c r="R1013">
        <v>6.4446579464955515E-3</v>
      </c>
      <c r="S1013">
        <v>0.17434345567584317</v>
      </c>
      <c r="T1013">
        <v>1.1711843979524765</v>
      </c>
      <c r="U1013">
        <v>0</v>
      </c>
      <c r="V1013">
        <v>1.5808159200899067E-2</v>
      </c>
      <c r="W1013">
        <v>6.3064979766682072E-2</v>
      </c>
      <c r="X1013">
        <v>-1.5548432431207002E-2</v>
      </c>
      <c r="Y1013">
        <v>2.6537954317316512E-2</v>
      </c>
    </row>
    <row r="1014" spans="1:25" x14ac:dyDescent="0.25">
      <c r="A1014" s="879"/>
      <c r="B1014" s="1133">
        <v>764</v>
      </c>
      <c r="C1014" s="883">
        <v>1.0177798924910564</v>
      </c>
      <c r="D1014" s="883">
        <v>1.0044982771802331</v>
      </c>
      <c r="E1014" s="883">
        <v>0.99700871050889595</v>
      </c>
      <c r="F1014" s="883">
        <v>0.97332312044388547</v>
      </c>
      <c r="G1014" s="883">
        <v>1.0075918302509996</v>
      </c>
      <c r="H1014" s="883">
        <v>0.99813140956941537</v>
      </c>
      <c r="I1014" s="883">
        <v>1.0041402862133542</v>
      </c>
      <c r="K1014">
        <v>1.5735768321740369</v>
      </c>
      <c r="L1014">
        <v>0</v>
      </c>
      <c r="M1014">
        <v>6.2903163535263339E-3</v>
      </c>
      <c r="N1014">
        <v>0.11675696088877278</v>
      </c>
      <c r="O1014">
        <v>3.0256904253630562E-2</v>
      </c>
      <c r="P1014">
        <v>1.7834829519988073E-2</v>
      </c>
      <c r="Q1014">
        <v>0</v>
      </c>
      <c r="R1014">
        <v>6.2903163535263339E-3</v>
      </c>
      <c r="S1014">
        <v>0.16628584273082681</v>
      </c>
      <c r="T1014">
        <v>1.1543710615921126</v>
      </c>
      <c r="U1014">
        <v>0</v>
      </c>
      <c r="V1014">
        <v>1.5758675594438106E-2</v>
      </c>
      <c r="W1014">
        <v>6.1544175737731417E-2</v>
      </c>
      <c r="X1014">
        <v>-1.5134021252713259E-2</v>
      </c>
      <c r="Y1014">
        <v>2.5902403109248729E-2</v>
      </c>
    </row>
    <row r="1015" spans="1:25" x14ac:dyDescent="0.25">
      <c r="A1015" s="879"/>
      <c r="B1015" s="1133">
        <v>765</v>
      </c>
      <c r="C1015" s="883">
        <v>0.98714519416620905</v>
      </c>
      <c r="D1015" s="883">
        <v>0.98465441510509799</v>
      </c>
      <c r="E1015" s="883">
        <v>1.0101496051240157</v>
      </c>
      <c r="F1015" s="883">
        <v>0.99160870774155563</v>
      </c>
      <c r="G1015" s="883">
        <v>1.0079064692032833</v>
      </c>
      <c r="H1015" s="883">
        <v>1.0121579075475182</v>
      </c>
      <c r="I1015" s="883">
        <v>1.015300361221767</v>
      </c>
      <c r="K1015">
        <v>1.6159279636812498</v>
      </c>
      <c r="L1015">
        <v>0</v>
      </c>
      <c r="M1015">
        <v>6.5597121883796961E-3</v>
      </c>
      <c r="N1015">
        <v>0.12415027345979322</v>
      </c>
      <c r="O1015">
        <v>3.1434318671269973E-2</v>
      </c>
      <c r="P1015">
        <v>1.8413769646480383E-2</v>
      </c>
      <c r="Q1015">
        <v>0</v>
      </c>
      <c r="R1015">
        <v>6.5597121883796961E-3</v>
      </c>
      <c r="S1015">
        <v>0.17441822389541431</v>
      </c>
      <c r="T1015">
        <v>1.1758159806139634</v>
      </c>
      <c r="U1015">
        <v>0</v>
      </c>
      <c r="V1015">
        <v>1.5924903811542438E-2</v>
      </c>
      <c r="W1015">
        <v>6.501621724877546E-2</v>
      </c>
      <c r="X1015">
        <v>-1.6257450872493064E-2</v>
      </c>
      <c r="Y1015">
        <v>2.7011727206503789E-2</v>
      </c>
    </row>
    <row r="1016" spans="1:25" x14ac:dyDescent="0.25">
      <c r="A1016" s="879"/>
      <c r="B1016" s="1133">
        <v>766</v>
      </c>
      <c r="C1016" s="883">
        <v>1.0048621613517039</v>
      </c>
      <c r="D1016" s="883">
        <v>0.95589527508505312</v>
      </c>
      <c r="E1016" s="883">
        <v>0.9788570279579687</v>
      </c>
      <c r="F1016" s="883">
        <v>0.9831008098058287</v>
      </c>
      <c r="G1016" s="883">
        <v>0.99578258517660045</v>
      </c>
      <c r="H1016" s="883">
        <v>0.99717719051909393</v>
      </c>
      <c r="I1016" s="883">
        <v>1.0197745659409951</v>
      </c>
      <c r="K1016">
        <v>1.5972282325780165</v>
      </c>
      <c r="L1016">
        <v>0</v>
      </c>
      <c r="M1016">
        <v>6.6115043454754423E-3</v>
      </c>
      <c r="N1016">
        <v>0.11945968169853528</v>
      </c>
      <c r="O1016">
        <v>3.1274895927855977E-2</v>
      </c>
      <c r="P1016">
        <v>1.7815133915496544E-2</v>
      </c>
      <c r="Q1016">
        <v>0</v>
      </c>
      <c r="R1016">
        <v>6.6115043454754423E-3</v>
      </c>
      <c r="S1016">
        <v>0.17149703109407061</v>
      </c>
      <c r="T1016">
        <v>1.1663000938422996</v>
      </c>
      <c r="U1016">
        <v>0</v>
      </c>
      <c r="V1016">
        <v>1.582753320096562E-2</v>
      </c>
      <c r="W1016">
        <v>6.354186323892147E-2</v>
      </c>
      <c r="X1016">
        <v>-1.5712998430893004E-2</v>
      </c>
      <c r="Y1016">
        <v>2.7224998090763772E-2</v>
      </c>
    </row>
    <row r="1017" spans="1:25" x14ac:dyDescent="0.25">
      <c r="A1017" s="879"/>
      <c r="B1017" s="1133">
        <v>767</v>
      </c>
      <c r="C1017" s="883">
        <v>0.98339457898579397</v>
      </c>
      <c r="D1017" s="883">
        <v>0.99490033940867084</v>
      </c>
      <c r="E1017" s="883">
        <v>1.0228133172021594</v>
      </c>
      <c r="F1017" s="883">
        <v>1.0189566396304748</v>
      </c>
      <c r="G1017" s="883">
        <v>0.9955986216892444</v>
      </c>
      <c r="H1017" s="883">
        <v>1.0215530096138707</v>
      </c>
      <c r="I1017" s="883">
        <v>0.98756977823319192</v>
      </c>
      <c r="K1017">
        <v>1.647466222273176</v>
      </c>
      <c r="L1017">
        <v>0</v>
      </c>
      <c r="M1017">
        <v>6.5423109817127779E-3</v>
      </c>
      <c r="N1017">
        <v>0.1261629884715551</v>
      </c>
      <c r="O1017">
        <v>3.1412218810383412E-2</v>
      </c>
      <c r="P1017">
        <v>1.8976981170236846E-2</v>
      </c>
      <c r="Q1017">
        <v>0</v>
      </c>
      <c r="R1017">
        <v>6.5423109817127779E-3</v>
      </c>
      <c r="S1017">
        <v>0.17075260115717855</v>
      </c>
      <c r="T1017">
        <v>1.2080053477494648</v>
      </c>
      <c r="U1017">
        <v>0</v>
      </c>
      <c r="V1017">
        <v>1.5945966786074912E-2</v>
      </c>
      <c r="W1017">
        <v>6.5658798614771155E-2</v>
      </c>
      <c r="X1017">
        <v>-1.6388752621238466E-2</v>
      </c>
      <c r="Y1017">
        <v>2.6940072134748746E-2</v>
      </c>
    </row>
    <row r="1018" spans="1:25" x14ac:dyDescent="0.25">
      <c r="A1018" s="879"/>
      <c r="B1018" s="1133">
        <v>768</v>
      </c>
      <c r="C1018" s="883">
        <v>0.98769722452820741</v>
      </c>
      <c r="D1018" s="883">
        <v>1.027483594169418</v>
      </c>
      <c r="E1018" s="883">
        <v>0.97954471489021433</v>
      </c>
      <c r="F1018" s="883">
        <v>0.9945302420809119</v>
      </c>
      <c r="G1018" s="883">
        <v>0.98477501510779475</v>
      </c>
      <c r="H1018" s="883">
        <v>0.99642369353665117</v>
      </c>
      <c r="I1018" s="883">
        <v>1.0050982874648877</v>
      </c>
      <c r="K1018">
        <v>1.6075236920840847</v>
      </c>
      <c r="L1018">
        <v>0</v>
      </c>
      <c r="M1018">
        <v>6.5042497990117241E-3</v>
      </c>
      <c r="N1018">
        <v>0.11764173412509461</v>
      </c>
      <c r="O1018">
        <v>3.0911852133863962E-2</v>
      </c>
      <c r="P1018">
        <v>1.7999848518070804E-2</v>
      </c>
      <c r="Q1018">
        <v>0</v>
      </c>
      <c r="R1018">
        <v>6.5042497990117241E-3</v>
      </c>
      <c r="S1018">
        <v>0.17116932821439748</v>
      </c>
      <c r="T1018">
        <v>1.1798466097677365</v>
      </c>
      <c r="U1018">
        <v>0</v>
      </c>
      <c r="V1018">
        <v>1.5921817184641252E-2</v>
      </c>
      <c r="W1018">
        <v>6.2553327932859157E-2</v>
      </c>
      <c r="X1018">
        <v>-1.5304168751603406E-2</v>
      </c>
      <c r="Y1018">
        <v>2.6783342959023779E-2</v>
      </c>
    </row>
    <row r="1019" spans="1:25" x14ac:dyDescent="0.25">
      <c r="A1019" s="879"/>
      <c r="B1019" s="1133">
        <v>769</v>
      </c>
      <c r="C1019" s="883">
        <v>1.0217691415903121</v>
      </c>
      <c r="D1019" s="883">
        <v>1.0154164127812977</v>
      </c>
      <c r="E1019" s="883">
        <v>0.9679311853673237</v>
      </c>
      <c r="F1019" s="883">
        <v>0.97038586338075061</v>
      </c>
      <c r="G1019" s="883">
        <v>1.0027026802903143</v>
      </c>
      <c r="H1019" s="883">
        <v>0.99895769590862549</v>
      </c>
      <c r="I1019" s="883">
        <v>0.98800240360648928</v>
      </c>
      <c r="K1019">
        <v>1.5635701434483713</v>
      </c>
      <c r="L1019">
        <v>0</v>
      </c>
      <c r="M1019">
        <v>6.4010371061361633E-3</v>
      </c>
      <c r="N1019">
        <v>0.11379622352060312</v>
      </c>
      <c r="O1019">
        <v>3.003134949564177E-2</v>
      </c>
      <c r="P1019">
        <v>1.7356789346839586E-2</v>
      </c>
      <c r="Q1019">
        <v>0</v>
      </c>
      <c r="R1019">
        <v>6.4010371061361633E-3</v>
      </c>
      <c r="S1019">
        <v>0.16288674598473249</v>
      </c>
      <c r="T1019">
        <v>1.1514140126719512</v>
      </c>
      <c r="U1019">
        <v>0</v>
      </c>
      <c r="V1019">
        <v>1.5737762873239886E-2</v>
      </c>
      <c r="W1019">
        <v>6.0862355220592447E-2</v>
      </c>
      <c r="X1019">
        <v>-1.4873427126165493E-2</v>
      </c>
      <c r="Y1019">
        <v>2.6358331460936708E-2</v>
      </c>
    </row>
    <row r="1020" spans="1:25" x14ac:dyDescent="0.25">
      <c r="A1020" s="879"/>
      <c r="B1020" s="1133">
        <v>770</v>
      </c>
      <c r="C1020" s="883">
        <v>0.9747514795203116</v>
      </c>
      <c r="D1020" s="883">
        <v>0.97886351708754171</v>
      </c>
      <c r="E1020" s="883">
        <v>1.0208959038076055</v>
      </c>
      <c r="F1020" s="883">
        <v>0.99948396344052537</v>
      </c>
      <c r="G1020" s="883">
        <v>1.0268609341333477</v>
      </c>
      <c r="H1020" s="883">
        <v>1.0109244763529592</v>
      </c>
      <c r="I1020" s="883">
        <v>1.0216186456154734</v>
      </c>
      <c r="K1020">
        <v>1.6326377549096089</v>
      </c>
      <c r="L1020">
        <v>0</v>
      </c>
      <c r="M1020">
        <v>6.5902568191035429E-3</v>
      </c>
      <c r="N1020">
        <v>0.12672767129764098</v>
      </c>
      <c r="O1020">
        <v>3.1899230312257928E-2</v>
      </c>
      <c r="P1020">
        <v>1.8732587317629019E-2</v>
      </c>
      <c r="Q1020">
        <v>0</v>
      </c>
      <c r="R1020">
        <v>6.5902568191035429E-3</v>
      </c>
      <c r="S1020">
        <v>0.17773857706770099</v>
      </c>
      <c r="T1020">
        <v>1.1849553063473997</v>
      </c>
      <c r="U1020">
        <v>0</v>
      </c>
      <c r="V1020">
        <v>1.5995122480861601E-2</v>
      </c>
      <c r="W1020">
        <v>6.6014950431407676E-2</v>
      </c>
      <c r="X1020">
        <v>-1.6563194904373423E-2</v>
      </c>
      <c r="Y1020">
        <v>2.7137504559083005E-2</v>
      </c>
    </row>
    <row r="1021" spans="1:25" x14ac:dyDescent="0.25">
      <c r="A1021" s="879"/>
      <c r="B1021" s="1133">
        <v>771</v>
      </c>
      <c r="C1021" s="883">
        <v>1.0268714422800524</v>
      </c>
      <c r="D1021" s="883">
        <v>1.0075770416191272</v>
      </c>
      <c r="E1021" s="883">
        <v>1.0107846557853539</v>
      </c>
      <c r="F1021" s="883">
        <v>1.012512518260454</v>
      </c>
      <c r="G1021" s="883">
        <v>1.0191627251627364</v>
      </c>
      <c r="H1021" s="883">
        <v>0.99969305026869848</v>
      </c>
      <c r="I1021" s="883">
        <v>0.99904116582300806</v>
      </c>
      <c r="K1021">
        <v>1.6172988928760406</v>
      </c>
      <c r="L1021">
        <v>0</v>
      </c>
      <c r="M1021">
        <v>6.1612384857968995E-3</v>
      </c>
      <c r="N1021">
        <v>0.11671836350997364</v>
      </c>
      <c r="O1021">
        <v>2.9940796234971572E-2</v>
      </c>
      <c r="P1021">
        <v>1.8613612949168599E-2</v>
      </c>
      <c r="Q1021">
        <v>0</v>
      </c>
      <c r="R1021">
        <v>6.1612384857968995E-3</v>
      </c>
      <c r="S1021">
        <v>0.16404907806087021</v>
      </c>
      <c r="T1021">
        <v>1.2005910896321701</v>
      </c>
      <c r="U1021">
        <v>0</v>
      </c>
      <c r="V1021">
        <v>1.5711252048942852E-2</v>
      </c>
      <c r="W1021">
        <v>6.1105010142418995E-2</v>
      </c>
      <c r="X1021">
        <v>-1.4801193127418647E-2</v>
      </c>
      <c r="Y1021">
        <v>2.5370883424942904E-2</v>
      </c>
    </row>
    <row r="1022" spans="1:25" x14ac:dyDescent="0.25">
      <c r="A1022" s="879"/>
      <c r="B1022" s="1133">
        <v>772</v>
      </c>
      <c r="C1022" s="883">
        <v>0.99489139170300711</v>
      </c>
      <c r="D1022" s="883">
        <v>0.97758495607830398</v>
      </c>
      <c r="E1022" s="883">
        <v>0.99778156865227985</v>
      </c>
      <c r="F1022" s="883">
        <v>0.99970805589361644</v>
      </c>
      <c r="G1022" s="883">
        <v>0.99206100233031702</v>
      </c>
      <c r="H1022" s="883">
        <v>0.98871977030498681</v>
      </c>
      <c r="I1022" s="883">
        <v>1.0182547314224561</v>
      </c>
      <c r="K1022">
        <v>1.6173953503198306</v>
      </c>
      <c r="L1022">
        <v>0</v>
      </c>
      <c r="M1022">
        <v>6.4477277383692289E-3</v>
      </c>
      <c r="N1022">
        <v>0.11981586775196448</v>
      </c>
      <c r="O1022">
        <v>3.1290419837111956E-2</v>
      </c>
      <c r="P1022">
        <v>1.8343946357127258E-2</v>
      </c>
      <c r="Q1022">
        <v>0</v>
      </c>
      <c r="R1022">
        <v>6.4477277383692289E-3</v>
      </c>
      <c r="S1022">
        <v>0.17222512568936968</v>
      </c>
      <c r="T1022">
        <v>1.1856494934140647</v>
      </c>
      <c r="U1022">
        <v>0</v>
      </c>
      <c r="V1022">
        <v>1.5881904856639824E-2</v>
      </c>
      <c r="W1022">
        <v>6.3132304604658421E-2</v>
      </c>
      <c r="X1022">
        <v>-1.5494307364955518E-2</v>
      </c>
      <c r="Y1022">
        <v>2.655059517384974E-2</v>
      </c>
    </row>
    <row r="1023" spans="1:25" x14ac:dyDescent="0.25">
      <c r="A1023" s="879"/>
      <c r="B1023" s="1133">
        <v>773</v>
      </c>
      <c r="C1023" s="883">
        <v>0.99568780883962826</v>
      </c>
      <c r="D1023" s="883">
        <v>1.0420121993611602</v>
      </c>
      <c r="E1023" s="883">
        <v>0.97573270575772353</v>
      </c>
      <c r="F1023" s="883">
        <v>0.99109147994150493</v>
      </c>
      <c r="G1023" s="883">
        <v>0.99667032024806224</v>
      </c>
      <c r="H1023" s="883">
        <v>1.0059832829281092</v>
      </c>
      <c r="I1023" s="883">
        <v>1.0245684012976279</v>
      </c>
      <c r="K1023">
        <v>1.6042111277452957</v>
      </c>
      <c r="L1023">
        <v>0</v>
      </c>
      <c r="M1023">
        <v>6.4949019599200401E-3</v>
      </c>
      <c r="N1023">
        <v>0.11681001837871373</v>
      </c>
      <c r="O1023">
        <v>3.0495000235598889E-2</v>
      </c>
      <c r="P1023">
        <v>1.7924387071597145E-2</v>
      </c>
      <c r="Q1023">
        <v>0</v>
      </c>
      <c r="R1023">
        <v>6.4949019599200401E-3</v>
      </c>
      <c r="S1023">
        <v>0.17350418905985529</v>
      </c>
      <c r="T1023">
        <v>1.1758376684859244</v>
      </c>
      <c r="U1023">
        <v>0</v>
      </c>
      <c r="V1023">
        <v>1.5877521893943106E-2</v>
      </c>
      <c r="W1023">
        <v>6.2229861946658901E-2</v>
      </c>
      <c r="X1023">
        <v>-1.521236954849375E-2</v>
      </c>
      <c r="Y1023">
        <v>2.674485022149756E-2</v>
      </c>
    </row>
    <row r="1024" spans="1:25" x14ac:dyDescent="0.25">
      <c r="A1024" s="879"/>
      <c r="B1024" s="1133">
        <v>774</v>
      </c>
      <c r="C1024" s="883">
        <v>1.0184721980987019</v>
      </c>
      <c r="D1024" s="883">
        <v>1.0166008918761418</v>
      </c>
      <c r="E1024" s="883">
        <v>1.0062412420451186</v>
      </c>
      <c r="F1024" s="883">
        <v>0.97336772238421732</v>
      </c>
      <c r="G1024" s="883">
        <v>0.98941909477707279</v>
      </c>
      <c r="H1024" s="883">
        <v>1.0236263224131645</v>
      </c>
      <c r="I1024" s="883">
        <v>0.98500274110712971</v>
      </c>
      <c r="K1024">
        <v>1.5753823846775494</v>
      </c>
      <c r="L1024">
        <v>0</v>
      </c>
      <c r="M1024">
        <v>6.3607599116373365E-3</v>
      </c>
      <c r="N1024">
        <v>0.11969025349877037</v>
      </c>
      <c r="O1024">
        <v>3.008412580637293E-2</v>
      </c>
      <c r="P1024">
        <v>1.7931824366806924E-2</v>
      </c>
      <c r="Q1024">
        <v>0</v>
      </c>
      <c r="R1024">
        <v>6.3607599116373365E-3</v>
      </c>
      <c r="S1024">
        <v>0.16431962971935285</v>
      </c>
      <c r="T1024">
        <v>1.1542570050571888</v>
      </c>
      <c r="U1024">
        <v>0</v>
      </c>
      <c r="V1024">
        <v>1.5755034593041537E-2</v>
      </c>
      <c r="W1024">
        <v>6.2801926055851137E-2</v>
      </c>
      <c r="X1024">
        <v>-1.5649891562899768E-2</v>
      </c>
      <c r="Y1024">
        <v>2.61924771430639E-2</v>
      </c>
    </row>
    <row r="1025" spans="1:25" x14ac:dyDescent="0.25">
      <c r="A1025" s="879"/>
      <c r="B1025" s="1133">
        <v>775</v>
      </c>
      <c r="C1025" s="883">
        <v>0.9606171875405134</v>
      </c>
      <c r="D1025" s="883">
        <v>1.0336273785861143</v>
      </c>
      <c r="E1025" s="883">
        <v>1.0041251480543447</v>
      </c>
      <c r="F1025" s="883">
        <v>0.99342755713775599</v>
      </c>
      <c r="G1025" s="883">
        <v>1.0082138858095402</v>
      </c>
      <c r="H1025" s="883">
        <v>0.97764433565423292</v>
      </c>
      <c r="I1025" s="883">
        <v>0.99592331678700274</v>
      </c>
      <c r="K1025">
        <v>1.611580102913668</v>
      </c>
      <c r="L1025">
        <v>0</v>
      </c>
      <c r="M1025">
        <v>6.4052716364536083E-3</v>
      </c>
      <c r="N1025">
        <v>0.12015071646913671</v>
      </c>
      <c r="O1025">
        <v>3.1686671463220344E-2</v>
      </c>
      <c r="P1025">
        <v>1.8347107633040989E-2</v>
      </c>
      <c r="Q1025">
        <v>0</v>
      </c>
      <c r="R1025">
        <v>6.4052716364536083E-3</v>
      </c>
      <c r="S1025">
        <v>0.17324424881651251</v>
      </c>
      <c r="T1025">
        <v>1.1780837529507349</v>
      </c>
      <c r="U1025">
        <v>0</v>
      </c>
      <c r="V1025">
        <v>1.6077414144756368E-2</v>
      </c>
      <c r="W1025">
        <v>6.3109681186024419E-2</v>
      </c>
      <c r="X1025">
        <v>-1.5495258252823028E-2</v>
      </c>
      <c r="Y1025">
        <v>2.6375768503065639E-2</v>
      </c>
    </row>
    <row r="1026" spans="1:25" x14ac:dyDescent="0.25">
      <c r="A1026" s="879"/>
      <c r="B1026" s="1133">
        <v>776</v>
      </c>
      <c r="C1026" s="883">
        <v>0.97642195844311686</v>
      </c>
      <c r="D1026" s="883">
        <v>1.0160870850995349</v>
      </c>
      <c r="E1026" s="883">
        <v>0.97070464984065241</v>
      </c>
      <c r="F1026" s="883">
        <v>1.0228802526320562</v>
      </c>
      <c r="G1026" s="883">
        <v>1.0073211489653211</v>
      </c>
      <c r="H1026" s="883">
        <v>0.98022055976742051</v>
      </c>
      <c r="I1026" s="883">
        <v>1.0037813411791454</v>
      </c>
      <c r="K1026">
        <v>1.6428682118737301</v>
      </c>
      <c r="L1026">
        <v>0</v>
      </c>
      <c r="M1026">
        <v>6.5548966845623531E-3</v>
      </c>
      <c r="N1026">
        <v>0.11701239419763078</v>
      </c>
      <c r="O1026">
        <v>3.1415624753069617E-2</v>
      </c>
      <c r="P1026">
        <v>1.8331451706400145E-2</v>
      </c>
      <c r="Q1026">
        <v>0</v>
      </c>
      <c r="R1026">
        <v>6.5548966845623531E-3</v>
      </c>
      <c r="S1026">
        <v>0.17206148944189736</v>
      </c>
      <c r="T1026">
        <v>1.2136482705726162</v>
      </c>
      <c r="U1026">
        <v>0</v>
      </c>
      <c r="V1026">
        <v>1.598555416285781E-2</v>
      </c>
      <c r="W1026">
        <v>6.249525223776204E-2</v>
      </c>
      <c r="X1026">
        <v>-1.5073723017414655E-2</v>
      </c>
      <c r="Y1026">
        <v>2.6991897818911707E-2</v>
      </c>
    </row>
    <row r="1027" spans="1:25" x14ac:dyDescent="0.25">
      <c r="A1027" s="879"/>
      <c r="B1027" s="1133">
        <v>777</v>
      </c>
      <c r="C1027" s="883">
        <v>1.0002892993858767</v>
      </c>
      <c r="D1027" s="883">
        <v>1.0023396695937055</v>
      </c>
      <c r="E1027" s="883">
        <v>0.98458725032647609</v>
      </c>
      <c r="F1027" s="883">
        <v>0.96337646540095823</v>
      </c>
      <c r="G1027" s="883">
        <v>0.99057136726184514</v>
      </c>
      <c r="H1027" s="883">
        <v>1.0247496533087253</v>
      </c>
      <c r="I1027" s="883">
        <v>0.99624183836144475</v>
      </c>
      <c r="K1027">
        <v>1.573092381563737</v>
      </c>
      <c r="L1027">
        <v>0</v>
      </c>
      <c r="M1027">
        <v>6.6489827436195968E-3</v>
      </c>
      <c r="N1027">
        <v>0.12116246225868108</v>
      </c>
      <c r="O1027">
        <v>3.0822691889536805E-2</v>
      </c>
      <c r="P1027">
        <v>1.7555967846229769E-2</v>
      </c>
      <c r="Q1027">
        <v>0</v>
      </c>
      <c r="R1027">
        <v>6.6489827436195968E-3</v>
      </c>
      <c r="S1027">
        <v>0.16940611401082187</v>
      </c>
      <c r="T1027">
        <v>1.1427971110613537</v>
      </c>
      <c r="U1027">
        <v>0</v>
      </c>
      <c r="V1027">
        <v>1.585233493336257E-2</v>
      </c>
      <c r="W1027">
        <v>6.4263073224490874E-2</v>
      </c>
      <c r="X1027">
        <v>-1.6146701124155484E-2</v>
      </c>
      <c r="Y1027">
        <v>2.7379327463415214E-2</v>
      </c>
    </row>
    <row r="1028" spans="1:25" x14ac:dyDescent="0.25">
      <c r="A1028" s="879"/>
      <c r="B1028" s="1133">
        <v>778</v>
      </c>
      <c r="C1028" s="883">
        <v>1.0255461956465519</v>
      </c>
      <c r="D1028" s="883">
        <v>0.99437948407466781</v>
      </c>
      <c r="E1028" s="883">
        <v>0.99625747070474735</v>
      </c>
      <c r="F1028" s="883">
        <v>0.98556036545689252</v>
      </c>
      <c r="G1028" s="883">
        <v>1.002123484291765</v>
      </c>
      <c r="H1028" s="883">
        <v>0.96482646166592323</v>
      </c>
      <c r="I1028" s="883">
        <v>1.0104184811061754</v>
      </c>
      <c r="K1028">
        <v>1.5795226085410032</v>
      </c>
      <c r="L1028">
        <v>0</v>
      </c>
      <c r="M1028">
        <v>6.0656707470894723E-3</v>
      </c>
      <c r="N1028">
        <v>0.11246196287470536</v>
      </c>
      <c r="O1028">
        <v>3.0150245156399035E-2</v>
      </c>
      <c r="P1028">
        <v>1.799063631490555E-2</v>
      </c>
      <c r="Q1028">
        <v>0</v>
      </c>
      <c r="R1028">
        <v>6.0656707470894723E-3</v>
      </c>
      <c r="S1028">
        <v>0.16425139437043029</v>
      </c>
      <c r="T1028">
        <v>1.1688983291959005</v>
      </c>
      <c r="U1028">
        <v>0</v>
      </c>
      <c r="V1028">
        <v>1.5718112480668608E-2</v>
      </c>
      <c r="W1028">
        <v>5.9302375609822169E-2</v>
      </c>
      <c r="X1028">
        <v>-1.4227799949197295E-2</v>
      </c>
      <c r="Y1028">
        <v>2.4977352487369073E-2</v>
      </c>
    </row>
    <row r="1029" spans="1:25" x14ac:dyDescent="0.25">
      <c r="A1029" s="879"/>
      <c r="B1029" s="1133">
        <v>779</v>
      </c>
      <c r="C1029" s="883">
        <v>0.99619751474716067</v>
      </c>
      <c r="D1029" s="883">
        <v>1.0199399964918923</v>
      </c>
      <c r="E1029" s="883">
        <v>0.99997570546665493</v>
      </c>
      <c r="F1029" s="883">
        <v>0.9745233138910655</v>
      </c>
      <c r="G1029" s="883">
        <v>1.0071852346110801</v>
      </c>
      <c r="H1029" s="883">
        <v>0.96627978474760701</v>
      </c>
      <c r="I1029" s="883">
        <v>1.0004164536246769</v>
      </c>
      <c r="K1029">
        <v>1.5735935979485987</v>
      </c>
      <c r="L1029">
        <v>0</v>
      </c>
      <c r="M1029">
        <v>6.1633589688452773E-3</v>
      </c>
      <c r="N1029">
        <v>0.11490447235521874</v>
      </c>
      <c r="O1029">
        <v>3.0721849412873144E-2</v>
      </c>
      <c r="P1029">
        <v>1.7908108891945378E-2</v>
      </c>
      <c r="Q1029">
        <v>0</v>
      </c>
      <c r="R1029">
        <v>6.1633589688452773E-3</v>
      </c>
      <c r="S1029">
        <v>0.1672718245524607</v>
      </c>
      <c r="T1029">
        <v>1.1557407465638494</v>
      </c>
      <c r="U1029">
        <v>0</v>
      </c>
      <c r="V1029">
        <v>1.5874720481428028E-2</v>
      </c>
      <c r="W1029">
        <v>6.0478467619604577E-2</v>
      </c>
      <c r="X1029">
        <v>-1.4686207125486231E-2</v>
      </c>
      <c r="Y1029">
        <v>2.5379615196704199E-2</v>
      </c>
    </row>
    <row r="1030" spans="1:25" x14ac:dyDescent="0.25">
      <c r="A1030" s="879"/>
      <c r="B1030" s="1133">
        <v>780</v>
      </c>
      <c r="C1030" s="883">
        <v>1.0359620688159006</v>
      </c>
      <c r="D1030" s="883">
        <v>0.99716848958052018</v>
      </c>
      <c r="E1030" s="883">
        <v>1.0196188070591024</v>
      </c>
      <c r="F1030" s="883">
        <v>0.97549623767653004</v>
      </c>
      <c r="G1030" s="883">
        <v>1.0041110839986185</v>
      </c>
      <c r="H1030" s="883">
        <v>1.0379405430368347</v>
      </c>
      <c r="I1030" s="883">
        <v>0.98079147029739755</v>
      </c>
      <c r="K1030">
        <v>1.5766923560112083</v>
      </c>
      <c r="L1030">
        <v>0</v>
      </c>
      <c r="M1030">
        <v>6.3212100277843233E-3</v>
      </c>
      <c r="N1030">
        <v>0.12132460436617407</v>
      </c>
      <c r="O1030">
        <v>2.9793947931354675E-2</v>
      </c>
      <c r="P1030">
        <v>1.8108634561458441E-2</v>
      </c>
      <c r="Q1030">
        <v>0</v>
      </c>
      <c r="R1030">
        <v>6.3212100277843233E-3</v>
      </c>
      <c r="S1030">
        <v>0.16184983971079461</v>
      </c>
      <c r="T1030">
        <v>1.1565392901564473</v>
      </c>
      <c r="U1030">
        <v>0</v>
      </c>
      <c r="V1030">
        <v>1.5664665565741726E-2</v>
      </c>
      <c r="W1030">
        <v>6.3240153013812361E-2</v>
      </c>
      <c r="X1030">
        <v>-1.5858397055549266E-2</v>
      </c>
      <c r="Y1030">
        <v>2.6029617760974094E-2</v>
      </c>
    </row>
    <row r="1031" spans="1:25" x14ac:dyDescent="0.25">
      <c r="A1031" s="879"/>
      <c r="B1031" s="1133">
        <v>781</v>
      </c>
      <c r="C1031" s="883">
        <v>0.9692928078845352</v>
      </c>
      <c r="D1031" s="883">
        <v>1.0094272520815526</v>
      </c>
      <c r="E1031" s="883">
        <v>1.0029258013643152</v>
      </c>
      <c r="F1031" s="883">
        <v>1.0030441008465283</v>
      </c>
      <c r="G1031" s="883">
        <v>1.0142575911999119</v>
      </c>
      <c r="H1031" s="883">
        <v>1.0080889410969684</v>
      </c>
      <c r="I1031" s="883">
        <v>0.99951433423985137</v>
      </c>
      <c r="K1031">
        <v>1.630296995023589</v>
      </c>
      <c r="L1031">
        <v>0</v>
      </c>
      <c r="M1031">
        <v>6.62200978087071E-3</v>
      </c>
      <c r="N1031">
        <v>0.12399585664567356</v>
      </c>
      <c r="O1031">
        <v>3.1703129255457221E-2</v>
      </c>
      <c r="P1031">
        <v>1.849777190122406E-2</v>
      </c>
      <c r="Q1031">
        <v>0</v>
      </c>
      <c r="R1031">
        <v>6.62200978087071E-3</v>
      </c>
      <c r="S1031">
        <v>0.17434859198473063</v>
      </c>
      <c r="T1031">
        <v>1.1895101386794935</v>
      </c>
      <c r="U1031">
        <v>0</v>
      </c>
      <c r="V1031">
        <v>1.6026619112981654E-2</v>
      </c>
      <c r="W1031">
        <v>6.516810670298831E-2</v>
      </c>
      <c r="X1031">
        <v>-1.6221476862783264E-2</v>
      </c>
      <c r="Y1031">
        <v>2.7268257603823686E-2</v>
      </c>
    </row>
    <row r="1032" spans="1:25" x14ac:dyDescent="0.25">
      <c r="A1032" s="879"/>
      <c r="B1032" s="1133">
        <v>782</v>
      </c>
      <c r="C1032" s="883">
        <v>0.99114233255919282</v>
      </c>
      <c r="D1032" s="883">
        <v>0.97066119526782424</v>
      </c>
      <c r="E1032" s="883">
        <v>1.008936544715114</v>
      </c>
      <c r="F1032" s="883">
        <v>0.96662093085882539</v>
      </c>
      <c r="G1032" s="883">
        <v>1.0076059363257213</v>
      </c>
      <c r="H1032" s="883">
        <v>0.98798473576143686</v>
      </c>
      <c r="I1032" s="883">
        <v>1.0146284554674236</v>
      </c>
      <c r="K1032">
        <v>1.5794561964165112</v>
      </c>
      <c r="L1032">
        <v>0</v>
      </c>
      <c r="M1032">
        <v>6.4249346249909091E-3</v>
      </c>
      <c r="N1032">
        <v>0.12138127018872577</v>
      </c>
      <c r="O1032">
        <v>3.1488396673250159E-2</v>
      </c>
      <c r="P1032">
        <v>1.7969576136858536E-2</v>
      </c>
      <c r="Q1032">
        <v>0</v>
      </c>
      <c r="R1032">
        <v>6.4249346249909091E-3</v>
      </c>
      <c r="S1032">
        <v>0.172304342965996</v>
      </c>
      <c r="T1032">
        <v>1.1462080654073021</v>
      </c>
      <c r="U1032">
        <v>0</v>
      </c>
      <c r="V1032">
        <v>1.590263186554345E-2</v>
      </c>
      <c r="W1032">
        <v>6.3604276452779468E-2</v>
      </c>
      <c r="X1032">
        <v>-1.5859100463923817E-2</v>
      </c>
      <c r="Y1032">
        <v>2.6456737189980751E-2</v>
      </c>
    </row>
    <row r="1033" spans="1:25" x14ac:dyDescent="0.25">
      <c r="A1033" s="879"/>
      <c r="B1033" s="1133">
        <v>783</v>
      </c>
      <c r="C1033" s="883">
        <v>1.0200203013788947</v>
      </c>
      <c r="D1033" s="883">
        <v>0.97319145016198583</v>
      </c>
      <c r="E1033" s="883">
        <v>1.0087712078098043</v>
      </c>
      <c r="F1033" s="883">
        <v>0.98321373680145818</v>
      </c>
      <c r="G1033" s="883">
        <v>0.99165925172772074</v>
      </c>
      <c r="H1033" s="883">
        <v>0.96616027885411826</v>
      </c>
      <c r="I1033" s="883">
        <v>1.0262687865090407</v>
      </c>
      <c r="K1033">
        <v>1.5844627390777752</v>
      </c>
      <c r="L1033">
        <v>0</v>
      </c>
      <c r="M1033">
        <v>6.0989142413821265E-3</v>
      </c>
      <c r="N1033">
        <v>0.11519382085157115</v>
      </c>
      <c r="O1033">
        <v>3.056522182101171E-2</v>
      </c>
      <c r="P1033">
        <v>1.8172501725960164E-2</v>
      </c>
      <c r="Q1033">
        <v>0</v>
      </c>
      <c r="R1033">
        <v>6.0989142413821265E-3</v>
      </c>
      <c r="S1033">
        <v>0.16803094199516289</v>
      </c>
      <c r="T1033">
        <v>1.1658866401985346</v>
      </c>
      <c r="U1033">
        <v>0</v>
      </c>
      <c r="V1033">
        <v>1.5746910629270659E-2</v>
      </c>
      <c r="W1033">
        <v>6.0366966724818033E-2</v>
      </c>
      <c r="X1033">
        <v>-1.4614508148300362E-2</v>
      </c>
      <c r="Y1033">
        <v>2.5114243279744829E-2</v>
      </c>
    </row>
    <row r="1034" spans="1:25" x14ac:dyDescent="0.25">
      <c r="A1034" s="879"/>
      <c r="B1034" s="1133">
        <v>784</v>
      </c>
      <c r="C1034" s="883">
        <v>0.98702279740741572</v>
      </c>
      <c r="D1034" s="883">
        <v>1.0148640022368796</v>
      </c>
      <c r="E1034" s="883">
        <v>1.0298233223611835</v>
      </c>
      <c r="F1034" s="883">
        <v>1.0164383575009162</v>
      </c>
      <c r="G1034" s="883">
        <v>0.96865623377002019</v>
      </c>
      <c r="H1034" s="883">
        <v>1.0084450328973651</v>
      </c>
      <c r="I1034" s="883">
        <v>0.98986386208226085</v>
      </c>
      <c r="K1034">
        <v>1.638276859075904</v>
      </c>
      <c r="L1034">
        <v>0</v>
      </c>
      <c r="M1034">
        <v>6.3388225231306152E-3</v>
      </c>
      <c r="N1034">
        <v>0.12351247732241881</v>
      </c>
      <c r="O1034">
        <v>3.1042474529907618E-2</v>
      </c>
      <c r="P1034">
        <v>1.9016501831632789E-2</v>
      </c>
      <c r="Q1034">
        <v>0</v>
      </c>
      <c r="R1034">
        <v>6.3388225231306152E-3</v>
      </c>
      <c r="S1034">
        <v>0.16955865612957516</v>
      </c>
      <c r="T1034">
        <v>1.204888247872824</v>
      </c>
      <c r="U1034">
        <v>0</v>
      </c>
      <c r="V1034">
        <v>1.5925588649367026E-2</v>
      </c>
      <c r="W1034">
        <v>6.4058388033643471E-2</v>
      </c>
      <c r="X1034">
        <v>-1.5827618175367479E-2</v>
      </c>
      <c r="Y1034">
        <v>2.6102142881902823E-2</v>
      </c>
    </row>
    <row r="1035" spans="1:25" x14ac:dyDescent="0.25">
      <c r="A1035" s="879"/>
      <c r="B1035" s="1133">
        <v>785</v>
      </c>
      <c r="C1035" s="883">
        <v>0.98628506946799011</v>
      </c>
      <c r="D1035" s="883">
        <v>0.98210516211355881</v>
      </c>
      <c r="E1035" s="883">
        <v>0.99876252253359976</v>
      </c>
      <c r="F1035" s="883">
        <v>1.0071751704738792</v>
      </c>
      <c r="G1035" s="883">
        <v>0.98307466151266576</v>
      </c>
      <c r="H1035" s="883">
        <v>0.97646846444658408</v>
      </c>
      <c r="I1035" s="883">
        <v>0.98781519232288151</v>
      </c>
      <c r="K1035">
        <v>1.6211210686050508</v>
      </c>
      <c r="L1035">
        <v>0</v>
      </c>
      <c r="M1035">
        <v>6.4046904018980038E-3</v>
      </c>
      <c r="N1035">
        <v>0.11918922986917448</v>
      </c>
      <c r="O1035">
        <v>3.1504422546385483E-2</v>
      </c>
      <c r="P1035">
        <v>1.841669739671329E-2</v>
      </c>
      <c r="Q1035">
        <v>0</v>
      </c>
      <c r="R1035">
        <v>6.4046904018980038E-3</v>
      </c>
      <c r="S1035">
        <v>0.16777110726717731</v>
      </c>
      <c r="T1035">
        <v>1.1944870899169922</v>
      </c>
      <c r="U1035">
        <v>0</v>
      </c>
      <c r="V1035">
        <v>1.5929720005463281E-2</v>
      </c>
      <c r="W1035">
        <v>6.2771512419176737E-2</v>
      </c>
      <c r="X1035">
        <v>-1.5322085898653658E-2</v>
      </c>
      <c r="Y1035">
        <v>2.637337508262156E-2</v>
      </c>
    </row>
    <row r="1036" spans="1:25" x14ac:dyDescent="0.25">
      <c r="A1036" s="879"/>
      <c r="B1036" s="1133">
        <v>786</v>
      </c>
      <c r="C1036" s="883">
        <v>0.99927050515066151</v>
      </c>
      <c r="D1036" s="883">
        <v>0.98673337487229473</v>
      </c>
      <c r="E1036" s="883">
        <v>0.96477882877259991</v>
      </c>
      <c r="F1036" s="883">
        <v>1.0242072124363262</v>
      </c>
      <c r="G1036" s="883">
        <v>0.96710585452615194</v>
      </c>
      <c r="H1036" s="883">
        <v>1.0448352261336549</v>
      </c>
      <c r="I1036" s="883">
        <v>0.99441694675684222</v>
      </c>
      <c r="K1036">
        <v>1.6522778836877177</v>
      </c>
      <c r="L1036">
        <v>0</v>
      </c>
      <c r="M1036">
        <v>6.9528469220690179E-3</v>
      </c>
      <c r="N1036">
        <v>0.12302882647837769</v>
      </c>
      <c r="O1036">
        <v>3.1063877969060256E-2</v>
      </c>
      <c r="P1036">
        <v>1.8247942636883892E-2</v>
      </c>
      <c r="Q1036">
        <v>0</v>
      </c>
      <c r="R1036">
        <v>6.9528469220690179E-3</v>
      </c>
      <c r="S1036">
        <v>0.17058274941310286</v>
      </c>
      <c r="T1036">
        <v>1.2153363605150076</v>
      </c>
      <c r="U1036">
        <v>0</v>
      </c>
      <c r="V1036">
        <v>1.5857891465469048E-2</v>
      </c>
      <c r="W1036">
        <v>6.5904811004616329E-2</v>
      </c>
      <c r="X1036">
        <v>-1.6375161859263011E-2</v>
      </c>
      <c r="Y1036">
        <v>2.8630586064462393E-2</v>
      </c>
    </row>
    <row r="1037" spans="1:25" x14ac:dyDescent="0.25">
      <c r="A1037" s="879"/>
      <c r="B1037" s="1133">
        <v>787</v>
      </c>
      <c r="C1037" s="883">
        <v>1.012578995427293</v>
      </c>
      <c r="D1037" s="883">
        <v>0.98332162351766739</v>
      </c>
      <c r="E1037" s="883">
        <v>1.0024375006041424</v>
      </c>
      <c r="F1037" s="883">
        <v>0.99142055790651729</v>
      </c>
      <c r="G1037" s="883">
        <v>1.0010431436730436</v>
      </c>
      <c r="H1037" s="883">
        <v>1.0086976199063147</v>
      </c>
      <c r="I1037" s="883">
        <v>0.96973768340200339</v>
      </c>
      <c r="K1037">
        <v>1.5966178673008327</v>
      </c>
      <c r="L1037">
        <v>0</v>
      </c>
      <c r="M1037">
        <v>6.4200751068446927E-3</v>
      </c>
      <c r="N1037">
        <v>0.12012775319000264</v>
      </c>
      <c r="O1037">
        <v>3.06680312545386E-2</v>
      </c>
      <c r="P1037">
        <v>1.8140361937046115E-2</v>
      </c>
      <c r="Q1037">
        <v>0</v>
      </c>
      <c r="R1037">
        <v>6.4200751068446927E-3</v>
      </c>
      <c r="S1037">
        <v>0.16221903757924591</v>
      </c>
      <c r="T1037">
        <v>1.1757347691201518</v>
      </c>
      <c r="U1037">
        <v>0</v>
      </c>
      <c r="V1037">
        <v>1.5786187553615338E-2</v>
      </c>
      <c r="W1037">
        <v>6.3150455696510358E-2</v>
      </c>
      <c r="X1037">
        <v>-1.5645455589494935E-2</v>
      </c>
      <c r="Y1037">
        <v>2.6436726559216629E-2</v>
      </c>
    </row>
    <row r="1038" spans="1:25" x14ac:dyDescent="0.25">
      <c r="A1038" s="879"/>
      <c r="B1038" s="1133">
        <v>788</v>
      </c>
      <c r="C1038" s="883">
        <v>1.0040908910425668</v>
      </c>
      <c r="D1038" s="883">
        <v>0.98557579958146424</v>
      </c>
      <c r="E1038" s="883">
        <v>1.0056172937868091</v>
      </c>
      <c r="F1038" s="883">
        <v>1.0072122642624322</v>
      </c>
      <c r="G1038" s="883">
        <v>0.99754379229044721</v>
      </c>
      <c r="H1038" s="883">
        <v>1.0057080891088401</v>
      </c>
      <c r="I1038" s="883">
        <v>1.0183505053561899</v>
      </c>
      <c r="K1038">
        <v>1.6264939663432221</v>
      </c>
      <c r="L1038">
        <v>0</v>
      </c>
      <c r="M1038">
        <v>6.4306680240436113E-3</v>
      </c>
      <c r="N1038">
        <v>0.1208939595858642</v>
      </c>
      <c r="O1038">
        <v>3.0896221558661754E-2</v>
      </c>
      <c r="P1038">
        <v>1.8561402942202303E-2</v>
      </c>
      <c r="Q1038">
        <v>0</v>
      </c>
      <c r="R1038">
        <v>6.4306680240436113E-3</v>
      </c>
      <c r="S1038">
        <v>0.17159285565262963</v>
      </c>
      <c r="T1038">
        <v>1.1944028322903655</v>
      </c>
      <c r="U1038">
        <v>0</v>
      </c>
      <c r="V1038">
        <v>1.5831700485304228E-2</v>
      </c>
      <c r="W1038">
        <v>6.3453127023086323E-2</v>
      </c>
      <c r="X1038">
        <v>-1.5618479501664988E-2</v>
      </c>
      <c r="Y1038">
        <v>2.6480346306772807E-2</v>
      </c>
    </row>
    <row r="1039" spans="1:25" x14ac:dyDescent="0.25">
      <c r="A1039" s="879"/>
      <c r="B1039" s="1133">
        <v>789</v>
      </c>
      <c r="C1039" s="883">
        <v>0.98179608308314004</v>
      </c>
      <c r="D1039" s="883">
        <v>1.0142328042047071</v>
      </c>
      <c r="E1039" s="883">
        <v>1.00299336456804</v>
      </c>
      <c r="F1039" s="883">
        <v>1.0111912212615657</v>
      </c>
      <c r="G1039" s="883">
        <v>1.0243512725833703</v>
      </c>
      <c r="H1039" s="883">
        <v>1.0382530974216009</v>
      </c>
      <c r="I1039" s="883">
        <v>0.9994789174789227</v>
      </c>
      <c r="K1039">
        <v>1.6418583460247618</v>
      </c>
      <c r="L1039">
        <v>0</v>
      </c>
      <c r="M1039">
        <v>6.7186630413185663E-3</v>
      </c>
      <c r="N1039">
        <v>0.12581826053287745</v>
      </c>
      <c r="O1039">
        <v>3.1239923071913402E-2</v>
      </c>
      <c r="P1039">
        <v>1.862043010030175E-2</v>
      </c>
      <c r="Q1039">
        <v>0</v>
      </c>
      <c r="R1039">
        <v>6.7186630413185663E-3</v>
      </c>
      <c r="S1039">
        <v>0.17384232451524878</v>
      </c>
      <c r="T1039">
        <v>1.1991705410691147</v>
      </c>
      <c r="U1039">
        <v>0</v>
      </c>
      <c r="V1039">
        <v>1.5954992643383032E-2</v>
      </c>
      <c r="W1039">
        <v>6.6123685617339306E-2</v>
      </c>
      <c r="X1039">
        <v>-1.6578070052125145E-2</v>
      </c>
      <c r="Y1039">
        <v>2.7666258526708936E-2</v>
      </c>
    </row>
    <row r="1040" spans="1:25" x14ac:dyDescent="0.25">
      <c r="A1040" s="879"/>
      <c r="B1040" s="1133">
        <v>790</v>
      </c>
      <c r="C1040" s="883">
        <v>1.0007305449489809</v>
      </c>
      <c r="D1040" s="883">
        <v>0.98576065404709334</v>
      </c>
      <c r="E1040" s="883">
        <v>1.0381105872616205</v>
      </c>
      <c r="F1040" s="883">
        <v>1.013665359941665</v>
      </c>
      <c r="G1040" s="883">
        <v>1.0058058801649457</v>
      </c>
      <c r="H1040" s="883">
        <v>0.96854478064847271</v>
      </c>
      <c r="I1040" s="883">
        <v>1.0072194263439311</v>
      </c>
      <c r="K1040">
        <v>1.6260978352597464</v>
      </c>
      <c r="L1040">
        <v>0</v>
      </c>
      <c r="M1040">
        <v>6.0390243419813803E-3</v>
      </c>
      <c r="N1040">
        <v>0.11912081560189289</v>
      </c>
      <c r="O1040">
        <v>3.0967778702926531E-2</v>
      </c>
      <c r="P1040">
        <v>1.9064820939581423E-2</v>
      </c>
      <c r="Q1040">
        <v>0</v>
      </c>
      <c r="R1040">
        <v>6.0390243419813803E-3</v>
      </c>
      <c r="S1040">
        <v>0.16813745922641127</v>
      </c>
      <c r="T1040">
        <v>1.2014462663323577</v>
      </c>
      <c r="U1040">
        <v>0</v>
      </c>
      <c r="V1040">
        <v>1.5849931878900405E-2</v>
      </c>
      <c r="W1040">
        <v>6.1530438741096864E-2</v>
      </c>
      <c r="X1040">
        <v>-1.4887303497439955E-2</v>
      </c>
      <c r="Y1040">
        <v>2.4867627334017262E-2</v>
      </c>
    </row>
    <row r="1041" spans="1:25" x14ac:dyDescent="0.25">
      <c r="A1041" s="879"/>
      <c r="B1041" s="1133">
        <v>791</v>
      </c>
      <c r="C1041" s="883">
        <v>0.98814679233614311</v>
      </c>
      <c r="D1041" s="883">
        <v>0.97393778434297695</v>
      </c>
      <c r="E1041" s="883">
        <v>0.99834289063364756</v>
      </c>
      <c r="F1041" s="883">
        <v>0.96455330422910524</v>
      </c>
      <c r="G1041" s="883">
        <v>0.98439574939878138</v>
      </c>
      <c r="H1041" s="883">
        <v>1.0363341952347798</v>
      </c>
      <c r="I1041" s="883">
        <v>1.0208438930335264</v>
      </c>
      <c r="K1041">
        <v>1.5905040278863964</v>
      </c>
      <c r="L1041">
        <v>0</v>
      </c>
      <c r="M1041">
        <v>6.8123926636900105E-3</v>
      </c>
      <c r="N1041">
        <v>0.12669763998967301</v>
      </c>
      <c r="O1041">
        <v>3.1550644533984713E-2</v>
      </c>
      <c r="P1041">
        <v>1.7856086077545567E-2</v>
      </c>
      <c r="Q1041">
        <v>0</v>
      </c>
      <c r="R1041">
        <v>6.8123926636900105E-3</v>
      </c>
      <c r="S1041">
        <v>0.17676775543021406</v>
      </c>
      <c r="T1041">
        <v>1.1439460406594242</v>
      </c>
      <c r="U1041">
        <v>0</v>
      </c>
      <c r="V1041">
        <v>1.5919306015605036E-2</v>
      </c>
      <c r="W1041">
        <v>6.6739763959877019E-2</v>
      </c>
      <c r="X1041">
        <v>-1.7025429208311977E-2</v>
      </c>
      <c r="Y1041">
        <v>2.8052220428383665E-2</v>
      </c>
    </row>
    <row r="1042" spans="1:25" x14ac:dyDescent="0.25">
      <c r="A1042" s="879"/>
      <c r="B1042" s="1133">
        <v>792</v>
      </c>
      <c r="C1042" s="883">
        <v>1.0342717556889192</v>
      </c>
      <c r="D1042" s="883">
        <v>1.0116298848911816</v>
      </c>
      <c r="E1042" s="883">
        <v>0.97015038054891245</v>
      </c>
      <c r="F1042" s="883">
        <v>0.99811214775948143</v>
      </c>
      <c r="G1042" s="883">
        <v>1.0126914893558618</v>
      </c>
      <c r="H1042" s="883">
        <v>0.9853130634294055</v>
      </c>
      <c r="I1042" s="883">
        <v>1.0285688660841763</v>
      </c>
      <c r="K1042">
        <v>1.5964330372494338</v>
      </c>
      <c r="L1042">
        <v>0</v>
      </c>
      <c r="M1042">
        <v>6.2356208627732113E-3</v>
      </c>
      <c r="N1042">
        <v>0.11122138956673457</v>
      </c>
      <c r="O1042">
        <v>2.9711066871700682E-2</v>
      </c>
      <c r="P1042">
        <v>1.7866389727833755E-2</v>
      </c>
      <c r="Q1042">
        <v>0</v>
      </c>
      <c r="R1042">
        <v>6.2356208627732113E-3</v>
      </c>
      <c r="S1042">
        <v>0.1667814032394983</v>
      </c>
      <c r="T1042">
        <v>1.1842712465815504</v>
      </c>
      <c r="U1042">
        <v>0</v>
      </c>
      <c r="V1042">
        <v>1.5673265887232227E-2</v>
      </c>
      <c r="W1042">
        <v>5.9418882266825498E-2</v>
      </c>
      <c r="X1042">
        <v>-1.4187783705702952E-2</v>
      </c>
      <c r="Y1042">
        <v>2.5677176813761797E-2</v>
      </c>
    </row>
    <row r="1043" spans="1:25" x14ac:dyDescent="0.25">
      <c r="A1043" s="879"/>
      <c r="B1043" s="1133">
        <v>793</v>
      </c>
      <c r="C1043" s="883">
        <v>1.0009417600414343</v>
      </c>
      <c r="D1043" s="883">
        <v>0.99336034085658842</v>
      </c>
      <c r="E1043" s="883">
        <v>1.0222852378685869</v>
      </c>
      <c r="F1043" s="883">
        <v>1.0075780268102854</v>
      </c>
      <c r="G1043" s="883">
        <v>1.0124774902653915</v>
      </c>
      <c r="H1043" s="883">
        <v>1.0076888272857558</v>
      </c>
      <c r="I1043" s="883">
        <v>1.0091993843224678</v>
      </c>
      <c r="K1043">
        <v>1.627073981667853</v>
      </c>
      <c r="L1043">
        <v>0</v>
      </c>
      <c r="M1043">
        <v>6.3477049847055671E-3</v>
      </c>
      <c r="N1043">
        <v>0.12231460546443669</v>
      </c>
      <c r="O1043">
        <v>3.0881155265453441E-2</v>
      </c>
      <c r="P1043">
        <v>1.8783339830698027E-2</v>
      </c>
      <c r="Q1043">
        <v>0</v>
      </c>
      <c r="R1043">
        <v>6.3477049847055671E-3</v>
      </c>
      <c r="S1043">
        <v>0.17063680575557169</v>
      </c>
      <c r="T1043">
        <v>1.1945254780556365</v>
      </c>
      <c r="U1043">
        <v>0</v>
      </c>
      <c r="V1043">
        <v>1.5848782336422066E-2</v>
      </c>
      <c r="W1043">
        <v>6.3672534561637545E-2</v>
      </c>
      <c r="X1043">
        <v>-1.5727438879652115E-2</v>
      </c>
      <c r="Y1043">
        <v>2.6138719277649252E-2</v>
      </c>
    </row>
    <row r="1044" spans="1:25" x14ac:dyDescent="0.25">
      <c r="A1044" s="879"/>
      <c r="B1044" s="1133">
        <v>794</v>
      </c>
      <c r="C1044" s="883">
        <v>0.972386587400206</v>
      </c>
      <c r="D1044" s="883">
        <v>0.99056733234837979</v>
      </c>
      <c r="E1044" s="883">
        <v>1.0027595259003033</v>
      </c>
      <c r="F1044" s="883">
        <v>0.99674681319662284</v>
      </c>
      <c r="G1044" s="883">
        <v>1.0386706945795361</v>
      </c>
      <c r="H1044" s="883">
        <v>0.97484079380856181</v>
      </c>
      <c r="I1044" s="883">
        <v>0.98397800870348462</v>
      </c>
      <c r="K1044">
        <v>1.6123625002169126</v>
      </c>
      <c r="L1044">
        <v>0</v>
      </c>
      <c r="M1044">
        <v>6.4380941813707857E-3</v>
      </c>
      <c r="N1044">
        <v>0.12052238632851453</v>
      </c>
      <c r="O1044">
        <v>3.184172523846817E-2</v>
      </c>
      <c r="P1044">
        <v>1.8327815775945309E-2</v>
      </c>
      <c r="Q1044">
        <v>0</v>
      </c>
      <c r="R1044">
        <v>6.4380941813707857E-3</v>
      </c>
      <c r="S1044">
        <v>0.16933132291687034</v>
      </c>
      <c r="T1044">
        <v>1.1820452625283204</v>
      </c>
      <c r="U1044">
        <v>0</v>
      </c>
      <c r="V1044">
        <v>1.6008724535416199E-2</v>
      </c>
      <c r="W1044">
        <v>6.3347790839638249E-2</v>
      </c>
      <c r="X1044">
        <v>-1.5573453847100203E-2</v>
      </c>
      <c r="Y1044">
        <v>2.6510925900839366E-2</v>
      </c>
    </row>
    <row r="1045" spans="1:25" x14ac:dyDescent="0.25">
      <c r="A1045" s="879"/>
      <c r="B1045" s="1133">
        <v>795</v>
      </c>
      <c r="C1045" s="883">
        <v>1.0107511912438285</v>
      </c>
      <c r="D1045" s="883">
        <v>1.0057993683819852</v>
      </c>
      <c r="E1045" s="883">
        <v>1.0019234149187093</v>
      </c>
      <c r="F1045" s="883">
        <v>1.0058291014857079</v>
      </c>
      <c r="G1045" s="883">
        <v>0.98586026058238263</v>
      </c>
      <c r="H1045" s="883">
        <v>0.99116889972423317</v>
      </c>
      <c r="I1045" s="883">
        <v>0.99066907844519447</v>
      </c>
      <c r="K1045">
        <v>1.6116559634711409</v>
      </c>
      <c r="L1045">
        <v>0</v>
      </c>
      <c r="M1045">
        <v>6.2593164442657232E-3</v>
      </c>
      <c r="N1045">
        <v>0.11703060354980734</v>
      </c>
      <c r="O1045">
        <v>3.0447415998376668E-2</v>
      </c>
      <c r="P1045">
        <v>1.8396939215200359E-2</v>
      </c>
      <c r="Q1045">
        <v>0</v>
      </c>
      <c r="R1045">
        <v>6.2593164442657232E-3</v>
      </c>
      <c r="S1045">
        <v>0.16479366278092747</v>
      </c>
      <c r="T1045">
        <v>1.1928315987841829</v>
      </c>
      <c r="U1045">
        <v>0</v>
      </c>
      <c r="V1045">
        <v>1.579592359770313E-2</v>
      </c>
      <c r="W1045">
        <v>6.1537997701963505E-2</v>
      </c>
      <c r="X1045">
        <v>-1.4952929157712961E-2</v>
      </c>
      <c r="Y1045">
        <v>2.5774751000691685E-2</v>
      </c>
    </row>
    <row r="1046" spans="1:25" x14ac:dyDescent="0.25">
      <c r="A1046" s="879"/>
      <c r="B1046" s="1133">
        <v>796</v>
      </c>
      <c r="C1046" s="883">
        <v>0.99500379275111783</v>
      </c>
      <c r="D1046" s="883">
        <v>1.0081353871943961</v>
      </c>
      <c r="E1046" s="883">
        <v>1.0186255469597256</v>
      </c>
      <c r="F1046" s="883">
        <v>1.0074952854312964</v>
      </c>
      <c r="G1046" s="883">
        <v>0.97640794955488242</v>
      </c>
      <c r="H1046" s="883">
        <v>0.99461530503297491</v>
      </c>
      <c r="I1046" s="883">
        <v>0.98233733499423859</v>
      </c>
      <c r="K1046">
        <v>1.619750440970789</v>
      </c>
      <c r="L1046">
        <v>0</v>
      </c>
      <c r="M1046">
        <v>6.2814672467847756E-3</v>
      </c>
      <c r="N1046">
        <v>0.12038478573375951</v>
      </c>
      <c r="O1046">
        <v>3.0885862145648327E-2</v>
      </c>
      <c r="P1046">
        <v>1.8671800467652707E-2</v>
      </c>
      <c r="Q1046">
        <v>0</v>
      </c>
      <c r="R1046">
        <v>6.2814672467847756E-3</v>
      </c>
      <c r="S1046">
        <v>0.16618568550612997</v>
      </c>
      <c r="T1046">
        <v>1.1944955783674547</v>
      </c>
      <c r="U1046">
        <v>0</v>
      </c>
      <c r="V1046">
        <v>1.5881285849023593E-2</v>
      </c>
      <c r="W1046">
        <v>6.2780995405488621E-2</v>
      </c>
      <c r="X1046">
        <v>-1.5401516567138391E-2</v>
      </c>
      <c r="Y1046">
        <v>2.5865964062769278E-2</v>
      </c>
    </row>
    <row r="1047" spans="1:25" x14ac:dyDescent="0.25">
      <c r="A1047" s="879"/>
      <c r="B1047" s="1133">
        <v>797</v>
      </c>
      <c r="C1047" s="883">
        <v>0.99484860744491554</v>
      </c>
      <c r="D1047" s="883">
        <v>0.99292332911221448</v>
      </c>
      <c r="E1047" s="883">
        <v>0.96734671967991592</v>
      </c>
      <c r="F1047" s="883">
        <v>1.0103029371968839</v>
      </c>
      <c r="G1047" s="883">
        <v>1.021871897165523</v>
      </c>
      <c r="H1047" s="883">
        <v>0.98760073960341754</v>
      </c>
      <c r="I1047" s="883">
        <v>0.98404939045735917</v>
      </c>
      <c r="K1047">
        <v>1.6209724147877993</v>
      </c>
      <c r="L1047">
        <v>0</v>
      </c>
      <c r="M1047">
        <v>6.5680984465539809E-3</v>
      </c>
      <c r="N1047">
        <v>0.11666489920300914</v>
      </c>
      <c r="O1047">
        <v>3.1122053413903682E-2</v>
      </c>
      <c r="P1047">
        <v>1.8011768807535848E-2</v>
      </c>
      <c r="Q1047">
        <v>0</v>
      </c>
      <c r="R1047">
        <v>6.5680984465539809E-3</v>
      </c>
      <c r="S1047">
        <v>0.16619409513337915</v>
      </c>
      <c r="T1047">
        <v>1.1987887838219877</v>
      </c>
      <c r="U1047">
        <v>0</v>
      </c>
      <c r="V1047">
        <v>1.5882140512029453E-2</v>
      </c>
      <c r="W1047">
        <v>6.2414982666306774E-2</v>
      </c>
      <c r="X1047">
        <v>-1.515256909531946E-2</v>
      </c>
      <c r="Y1047">
        <v>2.7046260324967198E-2</v>
      </c>
    </row>
    <row r="1048" spans="1:25" x14ac:dyDescent="0.25">
      <c r="A1048" s="879"/>
      <c r="B1048" s="1133">
        <v>798</v>
      </c>
      <c r="C1048" s="883">
        <v>0.9950804253994715</v>
      </c>
      <c r="D1048" s="883">
        <v>1.0120381579603572</v>
      </c>
      <c r="E1048" s="883">
        <v>1.011311553345843</v>
      </c>
      <c r="F1048" s="883">
        <v>0.97931348402845042</v>
      </c>
      <c r="G1048" s="883">
        <v>1.015005964839661</v>
      </c>
      <c r="H1048" s="883">
        <v>0.95702517748854088</v>
      </c>
      <c r="I1048" s="883">
        <v>1.0246344966931442</v>
      </c>
      <c r="K1048">
        <v>1.5829846255270255</v>
      </c>
      <c r="L1048">
        <v>0</v>
      </c>
      <c r="M1048">
        <v>6.0719356524864612E-3</v>
      </c>
      <c r="N1048">
        <v>0.1151163627222237</v>
      </c>
      <c r="O1048">
        <v>3.0842333773889282E-2</v>
      </c>
      <c r="P1048">
        <v>1.8186798027196919E-2</v>
      </c>
      <c r="Q1048">
        <v>0</v>
      </c>
      <c r="R1048">
        <v>6.0719356524864612E-3</v>
      </c>
      <c r="S1048">
        <v>0.17104835581802966</v>
      </c>
      <c r="T1048">
        <v>1.1612156265934501</v>
      </c>
      <c r="U1048">
        <v>0</v>
      </c>
      <c r="V1048">
        <v>1.5880863902943812E-2</v>
      </c>
      <c r="W1048">
        <v>6.0250625145545994E-2</v>
      </c>
      <c r="X1048">
        <v>-1.4559490708936699E-2</v>
      </c>
      <c r="Y1048">
        <v>2.5003150252682294E-2</v>
      </c>
    </row>
    <row r="1049" spans="1:25" x14ac:dyDescent="0.25">
      <c r="A1049" s="879"/>
      <c r="B1049" s="1133">
        <v>799</v>
      </c>
      <c r="C1049" s="883">
        <v>0.97964509640238873</v>
      </c>
      <c r="D1049" s="883">
        <v>1.0116298727071236</v>
      </c>
      <c r="E1049" s="883">
        <v>1.018739376700825</v>
      </c>
      <c r="F1049" s="883">
        <v>1.0033617840345159</v>
      </c>
      <c r="G1049" s="883">
        <v>1.0143285068441603</v>
      </c>
      <c r="H1049" s="883">
        <v>1.0350895345605073</v>
      </c>
      <c r="I1049" s="883">
        <v>1.0053736605127825</v>
      </c>
      <c r="K1049">
        <v>1.6346550123250412</v>
      </c>
      <c r="L1049">
        <v>0</v>
      </c>
      <c r="M1049">
        <v>6.6286738062395177E-3</v>
      </c>
      <c r="N1049">
        <v>0.12706042083188251</v>
      </c>
      <c r="O1049">
        <v>3.1326590399052938E-2</v>
      </c>
      <c r="P1049">
        <v>1.872932940339099E-2</v>
      </c>
      <c r="Q1049">
        <v>0</v>
      </c>
      <c r="R1049">
        <v>6.6286738062395177E-3</v>
      </c>
      <c r="S1049">
        <v>0.17511064810963115</v>
      </c>
      <c r="T1049">
        <v>1.1895927482323625</v>
      </c>
      <c r="U1049">
        <v>0</v>
      </c>
      <c r="V1049">
        <v>1.5967184608125365E-2</v>
      </c>
      <c r="W1049">
        <v>6.6258640046571574E-2</v>
      </c>
      <c r="X1049">
        <v>-1.668624818011669E-2</v>
      </c>
      <c r="Y1049">
        <v>2.7295698874140135E-2</v>
      </c>
    </row>
    <row r="1050" spans="1:25" x14ac:dyDescent="0.25">
      <c r="A1050" s="879"/>
      <c r="B1050" s="1133">
        <v>800</v>
      </c>
      <c r="C1050" s="883">
        <v>0.97956007187675209</v>
      </c>
      <c r="D1050" s="883">
        <v>0.99995493888052778</v>
      </c>
      <c r="E1050" s="883">
        <v>1.0142054316060714</v>
      </c>
      <c r="F1050" s="883">
        <v>1.0138976504474184</v>
      </c>
      <c r="G1050" s="883">
        <v>1.0295407353123209</v>
      </c>
      <c r="H1050" s="883">
        <v>1.0380658721423992</v>
      </c>
      <c r="I1050" s="883">
        <v>0.97257422331316079</v>
      </c>
      <c r="K1050">
        <v>1.6433961516681983</v>
      </c>
      <c r="L1050">
        <v>0</v>
      </c>
      <c r="M1050">
        <v>6.7093795471066062E-3</v>
      </c>
      <c r="N1050">
        <v>0.12774750299746915</v>
      </c>
      <c r="O1050">
        <v>3.1479275313661924E-2</v>
      </c>
      <c r="P1050">
        <v>1.876279844707459E-2</v>
      </c>
      <c r="Q1050">
        <v>0</v>
      </c>
      <c r="R1050">
        <v>6.7093795471066062E-3</v>
      </c>
      <c r="S1050">
        <v>0.16970528677634139</v>
      </c>
      <c r="T1050">
        <v>1.20216924724987</v>
      </c>
      <c r="U1050">
        <v>0</v>
      </c>
      <c r="V1050">
        <v>1.5967667634021878E-2</v>
      </c>
      <c r="W1050">
        <v>6.6766098065046395E-2</v>
      </c>
      <c r="X1050">
        <v>-1.6829755565232734E-2</v>
      </c>
      <c r="Y1050">
        <v>2.7628030749944448E-2</v>
      </c>
    </row>
    <row r="1051" spans="1:25" x14ac:dyDescent="0.25">
      <c r="A1051" s="879"/>
      <c r="B1051" s="1133">
        <v>801</v>
      </c>
      <c r="C1051" s="883">
        <v>1.0290933515573795</v>
      </c>
      <c r="D1051" s="883">
        <v>0.97762447426820809</v>
      </c>
      <c r="E1051" s="883">
        <v>0.97320872916035839</v>
      </c>
      <c r="F1051" s="883">
        <v>0.99643913043557397</v>
      </c>
      <c r="G1051" s="883">
        <v>1.0111601314393133</v>
      </c>
      <c r="H1051" s="883">
        <v>0.96798112508700351</v>
      </c>
      <c r="I1051" s="883">
        <v>1.0189877002382659</v>
      </c>
      <c r="K1051">
        <v>1.5941977936972509</v>
      </c>
      <c r="L1051">
        <v>0</v>
      </c>
      <c r="M1051">
        <v>6.2347805301860492E-3</v>
      </c>
      <c r="N1051">
        <v>0.11171247187820556</v>
      </c>
      <c r="O1051">
        <v>3.0269478724635906E-2</v>
      </c>
      <c r="P1051">
        <v>1.7864270285615977E-2</v>
      </c>
      <c r="Q1051">
        <v>0</v>
      </c>
      <c r="R1051">
        <v>6.2347805301860492E-3</v>
      </c>
      <c r="S1051">
        <v>0.16539219969874028</v>
      </c>
      <c r="T1051">
        <v>1.1822291789980823</v>
      </c>
      <c r="U1051">
        <v>0</v>
      </c>
      <c r="V1051">
        <v>1.5699789491773274E-2</v>
      </c>
      <c r="W1051">
        <v>5.9589604326766597E-2</v>
      </c>
      <c r="X1051">
        <v>-1.4232916180311748E-2</v>
      </c>
      <c r="Y1051">
        <v>2.567371647374149E-2</v>
      </c>
    </row>
    <row r="1052" spans="1:25" x14ac:dyDescent="0.25">
      <c r="A1052" s="879"/>
      <c r="B1052" s="1133">
        <v>802</v>
      </c>
      <c r="C1052" s="883">
        <v>0.99806986059634561</v>
      </c>
      <c r="D1052" s="883">
        <v>1.033182714306647</v>
      </c>
      <c r="E1052" s="883">
        <v>0.97913440374505745</v>
      </c>
      <c r="F1052" s="883">
        <v>0.99816611207287209</v>
      </c>
      <c r="G1052" s="883">
        <v>0.99581550909002581</v>
      </c>
      <c r="H1052" s="883">
        <v>0.99772166334080226</v>
      </c>
      <c r="I1052" s="883">
        <v>0.98160947238660978</v>
      </c>
      <c r="K1052">
        <v>1.6034871540361548</v>
      </c>
      <c r="L1052">
        <v>0</v>
      </c>
      <c r="M1052">
        <v>6.4314825980905524E-3</v>
      </c>
      <c r="N1052">
        <v>0.11625480335120324</v>
      </c>
      <c r="O1052">
        <v>3.0523307241708288E-2</v>
      </c>
      <c r="P1052">
        <v>1.7974877506980753E-2</v>
      </c>
      <c r="Q1052">
        <v>0</v>
      </c>
      <c r="R1052">
        <v>6.4314825980905524E-3</v>
      </c>
      <c r="S1052">
        <v>0.16545256425655028</v>
      </c>
      <c r="T1052">
        <v>1.1841676203803695</v>
      </c>
      <c r="U1052">
        <v>0</v>
      </c>
      <c r="V1052">
        <v>1.5864454376041393E-2</v>
      </c>
      <c r="W1052">
        <v>6.1828563511033295E-2</v>
      </c>
      <c r="X1052">
        <v>-1.506273716544131E-2</v>
      </c>
      <c r="Y1052">
        <v>2.6483700577709313E-2</v>
      </c>
    </row>
    <row r="1053" spans="1:25" x14ac:dyDescent="0.25">
      <c r="A1053" s="879"/>
      <c r="B1053" s="1133">
        <v>803</v>
      </c>
      <c r="C1053" s="883">
        <v>0.96517808782877901</v>
      </c>
      <c r="D1053" s="883">
        <v>1.0247210022630187</v>
      </c>
      <c r="E1053" s="883">
        <v>0.99085220765326298</v>
      </c>
      <c r="F1053" s="883">
        <v>1.0082673649109344</v>
      </c>
      <c r="G1053" s="883">
        <v>1.0126173592232892</v>
      </c>
      <c r="H1053" s="883">
        <v>0.96836261528932033</v>
      </c>
      <c r="I1053" s="883">
        <v>1.0385413239820189</v>
      </c>
      <c r="K1053">
        <v>1.6330541731669594</v>
      </c>
      <c r="L1053">
        <v>0</v>
      </c>
      <c r="M1053">
        <v>6.4127659908246705E-3</v>
      </c>
      <c r="N1053">
        <v>0.1179486069045418</v>
      </c>
      <c r="O1053">
        <v>3.1657786924637651E-2</v>
      </c>
      <c r="P1053">
        <v>1.8480298392735173E-2</v>
      </c>
      <c r="Q1053">
        <v>0</v>
      </c>
      <c r="R1053">
        <v>6.4127659908246705E-3</v>
      </c>
      <c r="S1053">
        <v>0.17930052130544383</v>
      </c>
      <c r="T1053">
        <v>1.1959308198940999</v>
      </c>
      <c r="U1053">
        <v>0</v>
      </c>
      <c r="V1053">
        <v>1.6050596612471189E-2</v>
      </c>
      <c r="W1053">
        <v>6.2363166472761133E-2</v>
      </c>
      <c r="X1053">
        <v>-1.5084252260151707E-2</v>
      </c>
      <c r="Y1053">
        <v>2.6406628920420321E-2</v>
      </c>
    </row>
    <row r="1054" spans="1:25" x14ac:dyDescent="0.25">
      <c r="A1054" s="879"/>
      <c r="B1054" s="1133">
        <v>804</v>
      </c>
      <c r="C1054" s="883">
        <v>1.0199171289687914</v>
      </c>
      <c r="D1054" s="883">
        <v>0.98314979643276135</v>
      </c>
      <c r="E1054" s="883">
        <v>1.0072389146207736</v>
      </c>
      <c r="F1054" s="883">
        <v>1.0335047612189987</v>
      </c>
      <c r="G1054" s="883">
        <v>1.0098995461621996</v>
      </c>
      <c r="H1054" s="883">
        <v>0.99602414829222863</v>
      </c>
      <c r="I1054" s="883">
        <v>1.0397466506416537</v>
      </c>
      <c r="K1054">
        <v>1.6536256201543282</v>
      </c>
      <c r="L1054">
        <v>0</v>
      </c>
      <c r="M1054">
        <v>6.2679331082904841E-3</v>
      </c>
      <c r="N1054">
        <v>0.11811790022003156</v>
      </c>
      <c r="O1054">
        <v>3.0445407001890318E-2</v>
      </c>
      <c r="P1054">
        <v>1.9006320351708721E-2</v>
      </c>
      <c r="Q1054">
        <v>0</v>
      </c>
      <c r="R1054">
        <v>6.2679331082904841E-3</v>
      </c>
      <c r="S1054">
        <v>0.17193122923681889</v>
      </c>
      <c r="T1054">
        <v>1.22555069354864</v>
      </c>
      <c r="U1054">
        <v>0</v>
      </c>
      <c r="V1054">
        <v>1.5747451278907462E-2</v>
      </c>
      <c r="W1054">
        <v>6.1946290196039144E-2</v>
      </c>
      <c r="X1054">
        <v>-1.49299045691445E-2</v>
      </c>
      <c r="Y1054">
        <v>2.5810232889436627E-2</v>
      </c>
    </row>
    <row r="1055" spans="1:25" x14ac:dyDescent="0.25">
      <c r="A1055" s="879"/>
      <c r="B1055" s="1133">
        <v>805</v>
      </c>
      <c r="C1055" s="883">
        <v>0.98139433345909854</v>
      </c>
      <c r="D1055" s="883">
        <v>0.98159267269712402</v>
      </c>
      <c r="E1055" s="883">
        <v>1.0333313270397333</v>
      </c>
      <c r="F1055" s="883">
        <v>1.0018750356720367</v>
      </c>
      <c r="G1055" s="883">
        <v>1.0134736232192221</v>
      </c>
      <c r="H1055" s="883">
        <v>0.98000272650959475</v>
      </c>
      <c r="I1055" s="883">
        <v>1.0087132162966788</v>
      </c>
      <c r="K1055">
        <v>1.6229535922532214</v>
      </c>
      <c r="L1055">
        <v>0</v>
      </c>
      <c r="M1055">
        <v>6.2688761397067536E-3</v>
      </c>
      <c r="N1055">
        <v>0.1227845462952797</v>
      </c>
      <c r="O1055">
        <v>3.1636178079106451E-2</v>
      </c>
      <c r="P1055">
        <v>1.8868062357176228E-2</v>
      </c>
      <c r="Q1055">
        <v>0</v>
      </c>
      <c r="R1055">
        <v>6.2688761397067536E-3</v>
      </c>
      <c r="S1055">
        <v>0.17242992540304736</v>
      </c>
      <c r="T1055">
        <v>1.1875600253587166</v>
      </c>
      <c r="U1055">
        <v>0</v>
      </c>
      <c r="V1055">
        <v>1.5957265733631393E-2</v>
      </c>
      <c r="W1055">
        <v>6.3571425864678455E-2</v>
      </c>
      <c r="X1055">
        <v>-1.5667952963369626E-2</v>
      </c>
      <c r="Y1055">
        <v>2.5814116124955485E-2</v>
      </c>
    </row>
    <row r="1056" spans="1:25" x14ac:dyDescent="0.25">
      <c r="A1056" s="879"/>
      <c r="B1056" s="1133">
        <v>806</v>
      </c>
      <c r="C1056" s="883">
        <v>1.0205842062198951</v>
      </c>
      <c r="D1056" s="883">
        <v>1.0212733678000308</v>
      </c>
      <c r="E1056" s="883">
        <v>0.99948643572731499</v>
      </c>
      <c r="F1056" s="883">
        <v>0.99805410458406352</v>
      </c>
      <c r="G1056" s="883">
        <v>0.96782113072854492</v>
      </c>
      <c r="H1056" s="883">
        <v>0.97434489259994461</v>
      </c>
      <c r="I1056" s="883">
        <v>0.99186141708799846</v>
      </c>
      <c r="K1056">
        <v>1.5931005739144117</v>
      </c>
      <c r="L1056">
        <v>0</v>
      </c>
      <c r="M1056">
        <v>6.065362008634727E-3</v>
      </c>
      <c r="N1056">
        <v>0.11299556409850139</v>
      </c>
      <c r="O1056">
        <v>2.997249322519497E-2</v>
      </c>
      <c r="P1056">
        <v>1.8206504924393973E-2</v>
      </c>
      <c r="Q1056">
        <v>0</v>
      </c>
      <c r="R1056">
        <v>6.065362008634727E-3</v>
      </c>
      <c r="S1056">
        <v>0.16231700961033879</v>
      </c>
      <c r="T1056">
        <v>1.1836562803071664</v>
      </c>
      <c r="U1056">
        <v>0</v>
      </c>
      <c r="V1056">
        <v>1.5743957556119383E-2</v>
      </c>
      <c r="W1056">
        <v>5.9488193443767372E-2</v>
      </c>
      <c r="X1056">
        <v>-1.4255510408436841E-2</v>
      </c>
      <c r="Y1056">
        <v>2.4976081157365829E-2</v>
      </c>
    </row>
    <row r="1057" spans="1:25" x14ac:dyDescent="0.25">
      <c r="A1057" s="879"/>
      <c r="B1057" s="1133">
        <v>807</v>
      </c>
      <c r="C1057" s="883">
        <v>0.99118503498325383</v>
      </c>
      <c r="D1057" s="883">
        <v>1.0068447303239514</v>
      </c>
      <c r="E1057" s="883">
        <v>1.0344840761381653</v>
      </c>
      <c r="F1057" s="883">
        <v>0.97176353443240637</v>
      </c>
      <c r="G1057" s="883">
        <v>0.99750210616151935</v>
      </c>
      <c r="H1057" s="883">
        <v>0.99097344406383703</v>
      </c>
      <c r="I1057" s="883">
        <v>0.99716040957613539</v>
      </c>
      <c r="K1057">
        <v>1.5807070262025824</v>
      </c>
      <c r="L1057">
        <v>0</v>
      </c>
      <c r="M1057">
        <v>6.1994375577474631E-3</v>
      </c>
      <c r="N1057">
        <v>0.12163151897268126</v>
      </c>
      <c r="O1057">
        <v>3.100594098628269E-2</v>
      </c>
      <c r="P1057">
        <v>1.8348371819231952E-2</v>
      </c>
      <c r="Q1057">
        <v>0</v>
      </c>
      <c r="R1057">
        <v>6.1994375577474631E-3</v>
      </c>
      <c r="S1057">
        <v>0.1691613825641021</v>
      </c>
      <c r="T1057">
        <v>1.1518470832259042</v>
      </c>
      <c r="U1057">
        <v>0</v>
      </c>
      <c r="V1057">
        <v>1.5902394898577515E-2</v>
      </c>
      <c r="W1057">
        <v>6.293890183658192E-2</v>
      </c>
      <c r="X1057">
        <v>-1.5656748504833919E-2</v>
      </c>
      <c r="Y1057">
        <v>2.5528180404053982E-2</v>
      </c>
    </row>
    <row r="1058" spans="1:25" x14ac:dyDescent="0.25">
      <c r="A1058" s="879"/>
      <c r="B1058" s="1133">
        <v>808</v>
      </c>
      <c r="C1058" s="883">
        <v>1.0163319136176172</v>
      </c>
      <c r="D1058" s="883">
        <v>1.0085772120508678</v>
      </c>
      <c r="E1058" s="883">
        <v>0.96794110926364152</v>
      </c>
      <c r="F1058" s="883">
        <v>1.001173410459566</v>
      </c>
      <c r="G1058" s="883">
        <v>0.97025730085823636</v>
      </c>
      <c r="H1058" s="883">
        <v>1.0216057929231321</v>
      </c>
      <c r="I1058" s="883">
        <v>1.0185819750935439</v>
      </c>
      <c r="K1058">
        <v>1.6140404743414092</v>
      </c>
      <c r="L1058">
        <v>0</v>
      </c>
      <c r="M1058">
        <v>6.6009783887369441E-3</v>
      </c>
      <c r="N1058">
        <v>0.11735246488937418</v>
      </c>
      <c r="O1058">
        <v>3.0273732935015209E-2</v>
      </c>
      <c r="P1058">
        <v>1.7929556711295803E-2</v>
      </c>
      <c r="Q1058">
        <v>0</v>
      </c>
      <c r="R1058">
        <v>6.6009783887369441E-3</v>
      </c>
      <c r="S1058">
        <v>0.17020448255221923</v>
      </c>
      <c r="T1058">
        <v>1.1879448752167652</v>
      </c>
      <c r="U1058">
        <v>0</v>
      </c>
      <c r="V1058">
        <v>1.5766306899885816E-2</v>
      </c>
      <c r="W1058">
        <v>6.2764048906589986E-2</v>
      </c>
      <c r="X1058">
        <v>-1.5376647844202349E-2</v>
      </c>
      <c r="Y1058">
        <v>2.7181654074465097E-2</v>
      </c>
    </row>
    <row r="1059" spans="1:25" x14ac:dyDescent="0.25">
      <c r="A1059" s="879"/>
      <c r="B1059" s="1133">
        <v>809</v>
      </c>
      <c r="C1059" s="883">
        <v>1.0251968647405272</v>
      </c>
      <c r="D1059" s="883">
        <v>1.0065664628651736</v>
      </c>
      <c r="E1059" s="883">
        <v>0.96817522957500202</v>
      </c>
      <c r="F1059" s="883">
        <v>0.99022966412171465</v>
      </c>
      <c r="G1059" s="883">
        <v>0.98919800815665249</v>
      </c>
      <c r="H1059" s="883">
        <v>0.99592296153615523</v>
      </c>
      <c r="I1059" s="883">
        <v>1.0000517634519415</v>
      </c>
      <c r="K1059">
        <v>1.5884572390920837</v>
      </c>
      <c r="L1059">
        <v>0</v>
      </c>
      <c r="M1059">
        <v>6.3837652333753551E-3</v>
      </c>
      <c r="N1059">
        <v>0.1135303044301796</v>
      </c>
      <c r="O1059">
        <v>3.0035748130014611E-2</v>
      </c>
      <c r="P1059">
        <v>1.768468706472965E-2</v>
      </c>
      <c r="Q1059">
        <v>0</v>
      </c>
      <c r="R1059">
        <v>6.3837652333753551E-3</v>
      </c>
      <c r="S1059">
        <v>0.16423595943160352</v>
      </c>
      <c r="T1059">
        <v>1.1749552040550164</v>
      </c>
      <c r="U1059">
        <v>0</v>
      </c>
      <c r="V1059">
        <v>1.571992382307183E-2</v>
      </c>
      <c r="W1059">
        <v>6.0712676436816354E-2</v>
      </c>
      <c r="X1059">
        <v>-1.4704473242534693E-2</v>
      </c>
      <c r="Y1059">
        <v>2.6287208963186447E-2</v>
      </c>
    </row>
    <row r="1060" spans="1:25" x14ac:dyDescent="0.25">
      <c r="A1060" s="879"/>
      <c r="B1060" s="1133">
        <v>810</v>
      </c>
      <c r="C1060" s="883">
        <v>1.0097743743310859</v>
      </c>
      <c r="D1060" s="883">
        <v>1.0273918671662114</v>
      </c>
      <c r="E1060" s="883">
        <v>1.0045608565854431</v>
      </c>
      <c r="F1060" s="883">
        <v>1.0088223451969598</v>
      </c>
      <c r="G1060" s="883">
        <v>0.97522753074462465</v>
      </c>
      <c r="H1060" s="883">
        <v>1.0168973907603363</v>
      </c>
      <c r="I1060" s="883">
        <v>0.97066592785432404</v>
      </c>
      <c r="K1060">
        <v>1.6162928857420635</v>
      </c>
      <c r="L1060">
        <v>0</v>
      </c>
      <c r="M1060">
        <v>6.3527909612243428E-3</v>
      </c>
      <c r="N1060">
        <v>0.11924320000211583</v>
      </c>
      <c r="O1060">
        <v>3.0216800929278486E-2</v>
      </c>
      <c r="P1060">
        <v>1.8454486451918439E-2</v>
      </c>
      <c r="Q1060">
        <v>0</v>
      </c>
      <c r="R1060">
        <v>6.3527909612243428E-3</v>
      </c>
      <c r="S1060">
        <v>0.16284527169933635</v>
      </c>
      <c r="T1060">
        <v>1.1963319305771669</v>
      </c>
      <c r="U1060">
        <v>0</v>
      </c>
      <c r="V1060">
        <v>1.5801141195576355E-2</v>
      </c>
      <c r="W1060">
        <v>6.2619476737413818E-2</v>
      </c>
      <c r="X1060">
        <v>-1.5379084274425714E-2</v>
      </c>
      <c r="Y1060">
        <v>2.6159662423683491E-2</v>
      </c>
    </row>
    <row r="1061" spans="1:25" x14ac:dyDescent="0.25">
      <c r="A1061" s="879"/>
      <c r="B1061" s="1133">
        <v>811</v>
      </c>
      <c r="C1061" s="883">
        <v>0.97582171644978721</v>
      </c>
      <c r="D1061" s="883">
        <v>0.97286666311627812</v>
      </c>
      <c r="E1061" s="883">
        <v>0.99196499108000469</v>
      </c>
      <c r="F1061" s="883">
        <v>0.96861102447802072</v>
      </c>
      <c r="G1061" s="883">
        <v>1.0151700112638866</v>
      </c>
      <c r="H1061" s="883">
        <v>0.97356611363769674</v>
      </c>
      <c r="I1061" s="883">
        <v>1.0374114879104857</v>
      </c>
      <c r="K1061">
        <v>1.5874112235777664</v>
      </c>
      <c r="L1061">
        <v>0</v>
      </c>
      <c r="M1061">
        <v>6.520008590385218E-3</v>
      </c>
      <c r="N1061">
        <v>0.12011908389895611</v>
      </c>
      <c r="O1061">
        <v>3.1968740934910693E-2</v>
      </c>
      <c r="P1061">
        <v>1.7852382712240954E-2</v>
      </c>
      <c r="Q1061">
        <v>0</v>
      </c>
      <c r="R1061">
        <v>6.520008590385218E-3</v>
      </c>
      <c r="S1061">
        <v>0.17799527219200936</v>
      </c>
      <c r="T1061">
        <v>1.1488733825026249</v>
      </c>
      <c r="U1061">
        <v>0</v>
      </c>
      <c r="V1061">
        <v>1.5988988511651831E-2</v>
      </c>
      <c r="W1061">
        <v>6.3475553810399474E-2</v>
      </c>
      <c r="X1061">
        <v>-1.571041584196604E-2</v>
      </c>
      <c r="Y1061">
        <v>2.6848234856939532E-2</v>
      </c>
    </row>
    <row r="1062" spans="1:25" x14ac:dyDescent="0.25">
      <c r="A1062" s="879"/>
      <c r="B1062" s="1133">
        <v>812</v>
      </c>
      <c r="C1062" s="883">
        <v>0.96141421841417662</v>
      </c>
      <c r="D1062" s="883">
        <v>1.0281152604513779</v>
      </c>
      <c r="E1062" s="883">
        <v>0.97992259096734236</v>
      </c>
      <c r="F1062" s="883">
        <v>0.99259416271887935</v>
      </c>
      <c r="G1062" s="883">
        <v>0.98791794123900289</v>
      </c>
      <c r="H1062" s="883">
        <v>1.0137344433967028</v>
      </c>
      <c r="I1062" s="883">
        <v>1.0362279838767698</v>
      </c>
      <c r="K1062">
        <v>1.6258687936156491</v>
      </c>
      <c r="L1062">
        <v>0</v>
      </c>
      <c r="M1062">
        <v>6.7940502247861223E-3</v>
      </c>
      <c r="N1062">
        <v>0.12295224111380998</v>
      </c>
      <c r="O1062">
        <v>3.1748802262317244E-2</v>
      </c>
      <c r="P1062">
        <v>1.812436651538827E-2</v>
      </c>
      <c r="Q1062">
        <v>0</v>
      </c>
      <c r="R1062">
        <v>6.7940502247861223E-3</v>
      </c>
      <c r="S1062">
        <v>0.18235749162958295</v>
      </c>
      <c r="T1062">
        <v>1.177542765846094</v>
      </c>
      <c r="U1062">
        <v>0</v>
      </c>
      <c r="V1062">
        <v>1.6072709354229074E-2</v>
      </c>
      <c r="W1062">
        <v>6.5364699829988465E-2</v>
      </c>
      <c r="X1062">
        <v>-1.6270972465571253E-2</v>
      </c>
      <c r="Y1062">
        <v>2.7976689529809876E-2</v>
      </c>
    </row>
    <row r="1063" spans="1:25" x14ac:dyDescent="0.25">
      <c r="A1063" s="879"/>
      <c r="B1063" s="1133">
        <v>813</v>
      </c>
      <c r="C1063" s="883">
        <v>0.99564546293844325</v>
      </c>
      <c r="D1063" s="883">
        <v>0.97789020803109128</v>
      </c>
      <c r="E1063" s="883">
        <v>0.98361157616206785</v>
      </c>
      <c r="F1063" s="883">
        <v>0.98521481111981901</v>
      </c>
      <c r="G1063" s="883">
        <v>0.96853418379913481</v>
      </c>
      <c r="H1063" s="883">
        <v>1.0266355574166686</v>
      </c>
      <c r="I1063" s="883">
        <v>1.0067508097040865</v>
      </c>
      <c r="K1063">
        <v>1.6062731997206097</v>
      </c>
      <c r="L1063">
        <v>0</v>
      </c>
      <c r="M1063">
        <v>6.7722126252198651E-3</v>
      </c>
      <c r="N1063">
        <v>0.1232295837398517</v>
      </c>
      <c r="O1063">
        <v>3.127464975589022E-2</v>
      </c>
      <c r="P1063">
        <v>1.7924790653137165E-2</v>
      </c>
      <c r="Q1063">
        <v>0</v>
      </c>
      <c r="R1063">
        <v>6.7722126252198651E-3</v>
      </c>
      <c r="S1063">
        <v>0.17237666766591425</v>
      </c>
      <c r="T1063">
        <v>1.1687205941449559</v>
      </c>
      <c r="U1063">
        <v>0</v>
      </c>
      <c r="V1063">
        <v>1.5877754761781597E-2</v>
      </c>
      <c r="W1063">
        <v>6.5391333265415352E-2</v>
      </c>
      <c r="X1063">
        <v>-1.6408940448079758E-2</v>
      </c>
      <c r="Y1063">
        <v>2.7886766181743863E-2</v>
      </c>
    </row>
    <row r="1064" spans="1:25" x14ac:dyDescent="0.25">
      <c r="A1064" s="879"/>
      <c r="B1064" s="1133">
        <v>814</v>
      </c>
      <c r="C1064" s="883">
        <v>1.0238114029363476</v>
      </c>
      <c r="D1064" s="883">
        <v>1.0244475362913912</v>
      </c>
      <c r="E1064" s="883">
        <v>1.0212845822054488</v>
      </c>
      <c r="F1064" s="883">
        <v>1.033783792273216</v>
      </c>
      <c r="G1064" s="883">
        <v>1.0433000708957447</v>
      </c>
      <c r="H1064" s="883">
        <v>0.97682527255188134</v>
      </c>
      <c r="I1064" s="883">
        <v>1.0125323643137145</v>
      </c>
      <c r="K1064">
        <v>1.6397476783306393</v>
      </c>
      <c r="L1064">
        <v>0</v>
      </c>
      <c r="M1064">
        <v>5.9389575507928253E-3</v>
      </c>
      <c r="N1064">
        <v>0.11426915655693498</v>
      </c>
      <c r="O1064">
        <v>2.9822366364169683E-2</v>
      </c>
      <c r="P1064">
        <v>1.911764272206002E-2</v>
      </c>
      <c r="Q1064">
        <v>0</v>
      </c>
      <c r="R1064">
        <v>5.9389575507928253E-3</v>
      </c>
      <c r="S1064">
        <v>0.16531327602868595</v>
      </c>
      <c r="T1064">
        <v>1.2256126246538637</v>
      </c>
      <c r="U1064">
        <v>0</v>
      </c>
      <c r="V1064">
        <v>1.5727119859721462E-2</v>
      </c>
      <c r="W1064">
        <v>5.9513673168009755E-2</v>
      </c>
      <c r="X1064">
        <v>-1.4083751121933535E-2</v>
      </c>
      <c r="Y1064">
        <v>2.4455570099127653E-2</v>
      </c>
    </row>
    <row r="1065" spans="1:25" x14ac:dyDescent="0.25">
      <c r="A1065" s="879"/>
      <c r="B1065" s="1133">
        <v>815</v>
      </c>
      <c r="C1065" s="883">
        <v>1.0233596022816338</v>
      </c>
      <c r="D1065" s="883">
        <v>1.025595224966654</v>
      </c>
      <c r="E1065" s="883">
        <v>1.0262650725883942</v>
      </c>
      <c r="F1065" s="883">
        <v>0.99940498412534595</v>
      </c>
      <c r="G1065" s="883">
        <v>0.9609191356848199</v>
      </c>
      <c r="H1065" s="883">
        <v>1.0027320089182998</v>
      </c>
      <c r="I1065" s="883">
        <v>0.97216390020864807</v>
      </c>
      <c r="K1065">
        <v>1.5979084133598824</v>
      </c>
      <c r="L1065">
        <v>0</v>
      </c>
      <c r="M1065">
        <v>6.0695841430248657E-3</v>
      </c>
      <c r="N1065">
        <v>0.11764583253241409</v>
      </c>
      <c r="O1065">
        <v>2.9817740455668533E-2</v>
      </c>
      <c r="P1065">
        <v>1.856148799724151E-2</v>
      </c>
      <c r="Q1065">
        <v>0</v>
      </c>
      <c r="R1065">
        <v>6.0695841430248657E-3</v>
      </c>
      <c r="S1065">
        <v>0.16019898367257948</v>
      </c>
      <c r="T1065">
        <v>1.1847625011979641</v>
      </c>
      <c r="U1065">
        <v>0</v>
      </c>
      <c r="V1065">
        <v>1.5729470708349683E-2</v>
      </c>
      <c r="W1065">
        <v>6.1122406248545043E-2</v>
      </c>
      <c r="X1065">
        <v>-1.4923476608153794E-2</v>
      </c>
      <c r="Y1065">
        <v>2.4993467155272522E-2</v>
      </c>
    </row>
    <row r="1066" spans="1:25" x14ac:dyDescent="0.25">
      <c r="A1066" s="879"/>
      <c r="B1066" s="1133">
        <v>816</v>
      </c>
      <c r="C1066" s="883">
        <v>0.98592697245939798</v>
      </c>
      <c r="D1066" s="883">
        <v>0.99152158323151551</v>
      </c>
      <c r="E1066" s="883">
        <v>0.99301530172855879</v>
      </c>
      <c r="F1066" s="883">
        <v>0.99540003691543677</v>
      </c>
      <c r="G1066" s="883">
        <v>0.99946663126999102</v>
      </c>
      <c r="H1066" s="883">
        <v>0.99600439747300229</v>
      </c>
      <c r="I1066" s="883">
        <v>1.0057452798655064</v>
      </c>
      <c r="K1066">
        <v>1.6137174565477777</v>
      </c>
      <c r="L1066">
        <v>0</v>
      </c>
      <c r="M1066">
        <v>6.5401610012025529E-3</v>
      </c>
      <c r="N1066">
        <v>0.12067809009711404</v>
      </c>
      <c r="O1066">
        <v>3.1400709130450767E-2</v>
      </c>
      <c r="P1066">
        <v>1.8207569438177744E-2</v>
      </c>
      <c r="Q1066">
        <v>0</v>
      </c>
      <c r="R1066">
        <v>6.5401610012025529E-3</v>
      </c>
      <c r="S1066">
        <v>0.17193652323430572</v>
      </c>
      <c r="T1066">
        <v>1.1806284716692779</v>
      </c>
      <c r="U1066">
        <v>0</v>
      </c>
      <c r="V1066">
        <v>1.5931727616281959E-2</v>
      </c>
      <c r="W1066">
        <v>6.3737596534438778E-2</v>
      </c>
      <c r="X1066">
        <v>-1.5734450069959226E-2</v>
      </c>
      <c r="Y1066">
        <v>2.6931218897689901E-2</v>
      </c>
    </row>
    <row r="1067" spans="1:25" x14ac:dyDescent="0.25">
      <c r="A1067" s="879"/>
      <c r="B1067" s="1133">
        <v>817</v>
      </c>
      <c r="C1067" s="883">
        <v>1.0116573598489746</v>
      </c>
      <c r="D1067" s="883">
        <v>1.0253857955010062</v>
      </c>
      <c r="E1067" s="883">
        <v>1.0100826755323202</v>
      </c>
      <c r="F1067" s="883">
        <v>0.98371049127189181</v>
      </c>
      <c r="G1067" s="883">
        <v>0.9985524638108394</v>
      </c>
      <c r="H1067" s="883">
        <v>1.0140766392436826</v>
      </c>
      <c r="I1067" s="883">
        <v>1.0060515499893432</v>
      </c>
      <c r="K1067">
        <v>1.5910812245736394</v>
      </c>
      <c r="L1067">
        <v>0</v>
      </c>
      <c r="M1067">
        <v>6.2984052339503816E-3</v>
      </c>
      <c r="N1067">
        <v>0.11919292150452507</v>
      </c>
      <c r="O1067">
        <v>3.0179432668733557E-2</v>
      </c>
      <c r="P1067">
        <v>1.8202703154099893E-2</v>
      </c>
      <c r="Q1067">
        <v>0</v>
      </c>
      <c r="R1067">
        <v>6.2984052339503816E-3</v>
      </c>
      <c r="S1067">
        <v>0.16833238715723475</v>
      </c>
      <c r="T1067">
        <v>1.1664517640610279</v>
      </c>
      <c r="U1067">
        <v>0</v>
      </c>
      <c r="V1067">
        <v>1.5791092371796704E-2</v>
      </c>
      <c r="W1067">
        <v>6.2422169469201948E-2</v>
      </c>
      <c r="X1067">
        <v>-1.5426957492048107E-2</v>
      </c>
      <c r="Y1067">
        <v>2.593571167906791E-2</v>
      </c>
    </row>
    <row r="1068" spans="1:25" x14ac:dyDescent="0.25">
      <c r="A1068" s="879"/>
      <c r="B1068" s="1133">
        <v>818</v>
      </c>
      <c r="C1068" s="883">
        <v>0.96143676903087616</v>
      </c>
      <c r="D1068" s="883">
        <v>0.96789427345253709</v>
      </c>
      <c r="E1068" s="883">
        <v>0.99005869164025662</v>
      </c>
      <c r="F1068" s="883">
        <v>0.97168853842098146</v>
      </c>
      <c r="G1068" s="883">
        <v>1.026572053730493</v>
      </c>
      <c r="H1068" s="883">
        <v>0.99174365725631208</v>
      </c>
      <c r="I1068" s="883">
        <v>0.984818641918354</v>
      </c>
      <c r="K1068">
        <v>1.5930157025778975</v>
      </c>
      <c r="L1068">
        <v>0</v>
      </c>
      <c r="M1068">
        <v>6.7678192209899282E-3</v>
      </c>
      <c r="N1068">
        <v>0.12433267117522069</v>
      </c>
      <c r="O1068">
        <v>3.2515286215550915E-2</v>
      </c>
      <c r="P1068">
        <v>1.7805283773628704E-2</v>
      </c>
      <c r="Q1068">
        <v>0</v>
      </c>
      <c r="R1068">
        <v>6.7678192209899282E-3</v>
      </c>
      <c r="S1068">
        <v>0.17264560385635203</v>
      </c>
      <c r="T1068">
        <v>1.1525581328772154</v>
      </c>
      <c r="U1068">
        <v>0</v>
      </c>
      <c r="V1068">
        <v>1.6072576353752737E-2</v>
      </c>
      <c r="W1068">
        <v>6.5764636688764297E-2</v>
      </c>
      <c r="X1068">
        <v>-1.65471632877086E-2</v>
      </c>
      <c r="Y1068">
        <v>2.7868674925121774E-2</v>
      </c>
    </row>
    <row r="1069" spans="1:25" x14ac:dyDescent="0.25">
      <c r="A1069" s="879"/>
      <c r="B1069" s="1133">
        <v>819</v>
      </c>
      <c r="C1069" s="883">
        <v>0.99615536790738846</v>
      </c>
      <c r="D1069" s="883">
        <v>0.98532463301907847</v>
      </c>
      <c r="E1069" s="883">
        <v>0.99413522803766752</v>
      </c>
      <c r="F1069" s="883">
        <v>1.0107692629795733</v>
      </c>
      <c r="G1069" s="883">
        <v>0.96606223822937509</v>
      </c>
      <c r="H1069" s="883">
        <v>1.01230810746364</v>
      </c>
      <c r="I1069" s="883">
        <v>1.0174268855901223</v>
      </c>
      <c r="K1069">
        <v>1.6349160288891103</v>
      </c>
      <c r="L1069">
        <v>0</v>
      </c>
      <c r="M1069">
        <v>6.5909540527412562E-3</v>
      </c>
      <c r="N1069">
        <v>0.12181735780076258</v>
      </c>
      <c r="O1069">
        <v>3.1155386003538916E-2</v>
      </c>
      <c r="P1069">
        <v>1.8481430713126058E-2</v>
      </c>
      <c r="Q1069">
        <v>0</v>
      </c>
      <c r="R1069">
        <v>6.5909540527412562E-3</v>
      </c>
      <c r="S1069">
        <v>0.1731864349684957</v>
      </c>
      <c r="T1069">
        <v>1.1988366010848479</v>
      </c>
      <c r="U1069">
        <v>0</v>
      </c>
      <c r="V1069">
        <v>1.58749520174267E-2</v>
      </c>
      <c r="W1069">
        <v>6.4303445426880337E-2</v>
      </c>
      <c r="X1069">
        <v>-1.5879954769069456E-2</v>
      </c>
      <c r="Y1069">
        <v>2.7140375643100137E-2</v>
      </c>
    </row>
    <row r="1070" spans="1:25" x14ac:dyDescent="0.25">
      <c r="A1070" s="879"/>
      <c r="B1070" s="1133">
        <v>820</v>
      </c>
      <c r="C1070" s="883">
        <v>0.9823183045654641</v>
      </c>
      <c r="D1070" s="883">
        <v>1.0152726627968793</v>
      </c>
      <c r="E1070" s="883">
        <v>1.0201128175666858</v>
      </c>
      <c r="F1070" s="883">
        <v>0.99800317350147905</v>
      </c>
      <c r="G1070" s="883">
        <v>0.9825639216112485</v>
      </c>
      <c r="H1070" s="883">
        <v>0.99856412504094716</v>
      </c>
      <c r="I1070" s="883">
        <v>0.98414674032312588</v>
      </c>
      <c r="K1070">
        <v>1.6139731179885968</v>
      </c>
      <c r="L1070">
        <v>0</v>
      </c>
      <c r="M1070">
        <v>6.3595048808091324E-3</v>
      </c>
      <c r="N1070">
        <v>0.12214884008558505</v>
      </c>
      <c r="O1070">
        <v>3.1195193414213177E-2</v>
      </c>
      <c r="P1070">
        <v>1.8575897256431429E-2</v>
      </c>
      <c r="Q1070">
        <v>0</v>
      </c>
      <c r="R1070">
        <v>6.3595048808091324E-3</v>
      </c>
      <c r="S1070">
        <v>0.1688019674012935</v>
      </c>
      <c r="T1070">
        <v>1.1832141846720414</v>
      </c>
      <c r="U1070">
        <v>0</v>
      </c>
      <c r="V1070">
        <v>1.5952040705311275E-2</v>
      </c>
      <c r="W1070">
        <v>6.3654291098748469E-2</v>
      </c>
      <c r="X1070">
        <v>-1.5756605794528856E-2</v>
      </c>
      <c r="Y1070">
        <v>2.6187309149500512E-2</v>
      </c>
    </row>
    <row r="1071" spans="1:25" x14ac:dyDescent="0.25">
      <c r="A1071" s="879"/>
      <c r="B1071" s="1133">
        <v>821</v>
      </c>
      <c r="C1071" s="883">
        <v>0.96245581859306828</v>
      </c>
      <c r="D1071" s="883">
        <v>1.0077030635169861</v>
      </c>
      <c r="E1071" s="883">
        <v>0.97435981646439651</v>
      </c>
      <c r="F1071" s="883">
        <v>1.0137129625014518</v>
      </c>
      <c r="G1071" s="883">
        <v>0.99074401853128813</v>
      </c>
      <c r="H1071" s="883">
        <v>0.9754196125833059</v>
      </c>
      <c r="I1071" s="883">
        <v>1.0131901880029952</v>
      </c>
      <c r="K1071">
        <v>1.639075058511779</v>
      </c>
      <c r="L1071">
        <v>0</v>
      </c>
      <c r="M1071">
        <v>6.620818129655869E-3</v>
      </c>
      <c r="N1071">
        <v>0.11883221681699688</v>
      </c>
      <c r="O1071">
        <v>3.1974381848606376E-2</v>
      </c>
      <c r="P1071">
        <v>1.8292695050497638E-2</v>
      </c>
      <c r="Q1071">
        <v>0</v>
      </c>
      <c r="R1071">
        <v>6.620818129655869E-3</v>
      </c>
      <c r="S1071">
        <v>0.17598884922683591</v>
      </c>
      <c r="T1071">
        <v>1.2027019659686613</v>
      </c>
      <c r="U1071">
        <v>0</v>
      </c>
      <c r="V1071">
        <v>1.6066572642204759E-2</v>
      </c>
      <c r="W1071">
        <v>6.335079829261131E-2</v>
      </c>
      <c r="X1071">
        <v>-1.5395771930862258E-2</v>
      </c>
      <c r="Y1071">
        <v>2.7263350596226987E-2</v>
      </c>
    </row>
    <row r="1072" spans="1:25" x14ac:dyDescent="0.25">
      <c r="A1072" s="879"/>
      <c r="B1072" s="1133">
        <v>822</v>
      </c>
      <c r="C1072" s="883">
        <v>1.0291708939566993</v>
      </c>
      <c r="D1072" s="883">
        <v>1.0039348983649308</v>
      </c>
      <c r="E1072" s="883">
        <v>0.99677526367342173</v>
      </c>
      <c r="F1072" s="883">
        <v>1.0335672173643207</v>
      </c>
      <c r="G1072" s="883">
        <v>1.0097457645584977</v>
      </c>
      <c r="H1072" s="883">
        <v>0.98447707072484703</v>
      </c>
      <c r="I1072" s="883">
        <v>1.0176722940242788</v>
      </c>
      <c r="K1072">
        <v>1.6410796360592561</v>
      </c>
      <c r="L1072">
        <v>0</v>
      </c>
      <c r="M1072">
        <v>6.1383822202243062E-3</v>
      </c>
      <c r="N1072">
        <v>0.11389744649947267</v>
      </c>
      <c r="O1072">
        <v>2.9928922932048158E-2</v>
      </c>
      <c r="P1072">
        <v>1.8778686522686223E-2</v>
      </c>
      <c r="Q1072">
        <v>0</v>
      </c>
      <c r="R1072">
        <v>6.1383822202243062E-3</v>
      </c>
      <c r="S1072">
        <v>0.16588537810339518</v>
      </c>
      <c r="T1072">
        <v>1.2258256572253943</v>
      </c>
      <c r="U1072">
        <v>0</v>
      </c>
      <c r="V1072">
        <v>1.5699390353836551E-2</v>
      </c>
      <c r="W1072">
        <v>6.004385674790811E-2</v>
      </c>
      <c r="X1072">
        <v>-1.4256467717063598E-2</v>
      </c>
      <c r="Y1072">
        <v>2.5276765391578575E-2</v>
      </c>
    </row>
    <row r="1073" spans="1:25" x14ac:dyDescent="0.25">
      <c r="A1073" s="879"/>
      <c r="B1073" s="1133">
        <v>823</v>
      </c>
      <c r="C1073" s="883">
        <v>0.97694895863725595</v>
      </c>
      <c r="D1073" s="883">
        <v>1.0003639436043614</v>
      </c>
      <c r="E1073" s="883">
        <v>0.99791449145570421</v>
      </c>
      <c r="F1073" s="883">
        <v>0.95605350550842549</v>
      </c>
      <c r="G1073" s="883">
        <v>0.97375716992669392</v>
      </c>
      <c r="H1073" s="883">
        <v>1.0304147885063746</v>
      </c>
      <c r="I1073" s="883">
        <v>1.0084253704111292</v>
      </c>
      <c r="K1073">
        <v>1.5782492195632598</v>
      </c>
      <c r="L1073">
        <v>0</v>
      </c>
      <c r="M1073">
        <v>6.7722676892874771E-3</v>
      </c>
      <c r="N1073">
        <v>0.12587146852208952</v>
      </c>
      <c r="O1073">
        <v>3.1572734060373989E-2</v>
      </c>
      <c r="P1073">
        <v>1.7705708406154569E-2</v>
      </c>
      <c r="Q1073">
        <v>0</v>
      </c>
      <c r="R1073">
        <v>6.7722676892874771E-3</v>
      </c>
      <c r="S1073">
        <v>0.17595045368932846</v>
      </c>
      <c r="T1073">
        <v>1.1338730196821918</v>
      </c>
      <c r="U1073">
        <v>0</v>
      </c>
      <c r="V1073">
        <v>1.5982542354013189E-2</v>
      </c>
      <c r="W1073">
        <v>6.6318685606158695E-2</v>
      </c>
      <c r="X1073">
        <v>-1.6912385682822988E-2</v>
      </c>
      <c r="Y1073">
        <v>2.7886992925773239E-2</v>
      </c>
    </row>
    <row r="1074" spans="1:25" x14ac:dyDescent="0.25">
      <c r="A1074" s="879"/>
      <c r="B1074" s="1133">
        <v>824</v>
      </c>
      <c r="C1074" s="883">
        <v>0.97751745707753301</v>
      </c>
      <c r="D1074" s="883">
        <v>0.99381126056325164</v>
      </c>
      <c r="E1074" s="883">
        <v>1.0034308516166479</v>
      </c>
      <c r="F1074" s="883">
        <v>1.0133446999471583</v>
      </c>
      <c r="G1074" s="883">
        <v>0.97408707238197878</v>
      </c>
      <c r="H1074" s="883">
        <v>1.0312069201519298</v>
      </c>
      <c r="I1074" s="883">
        <v>0.97979232787908788</v>
      </c>
      <c r="K1074">
        <v>1.6433040340831335</v>
      </c>
      <c r="L1074">
        <v>0</v>
      </c>
      <c r="M1074">
        <v>6.7607595402668615E-3</v>
      </c>
      <c r="N1074">
        <v>0.12668865270811325</v>
      </c>
      <c r="O1074">
        <v>3.1632603029106018E-2</v>
      </c>
      <c r="P1074">
        <v>1.8622590411354875E-2</v>
      </c>
      <c r="Q1074">
        <v>0</v>
      </c>
      <c r="R1074">
        <v>6.7607595402668615E-3</v>
      </c>
      <c r="S1074">
        <v>0.1709797840605887</v>
      </c>
      <c r="T1074">
        <v>1.2017161159848855</v>
      </c>
      <c r="U1074">
        <v>0</v>
      </c>
      <c r="V1074">
        <v>1.5979297023581703E-2</v>
      </c>
      <c r="W1074">
        <v>6.6566673927810516E-2</v>
      </c>
      <c r="X1074">
        <v>-1.672128747878705E-2</v>
      </c>
      <c r="Y1074">
        <v>2.7839604416480517E-2</v>
      </c>
    </row>
    <row r="1075" spans="1:25" x14ac:dyDescent="0.25">
      <c r="A1075" s="879"/>
      <c r="B1075" s="1133">
        <v>825</v>
      </c>
      <c r="C1075" s="883">
        <v>1.0040568152497615</v>
      </c>
      <c r="D1075" s="883">
        <v>0.95759612647605064</v>
      </c>
      <c r="E1075" s="883">
        <v>1.0237780367933762</v>
      </c>
      <c r="F1075" s="883">
        <v>1.0086584994040901</v>
      </c>
      <c r="G1075" s="883">
        <v>1.0169744781284995</v>
      </c>
      <c r="H1075" s="883">
        <v>1.0053526897371485</v>
      </c>
      <c r="I1075" s="883">
        <v>0.96783783518223809</v>
      </c>
      <c r="K1075">
        <v>1.6235023166586795</v>
      </c>
      <c r="L1075">
        <v>0</v>
      </c>
      <c r="M1075">
        <v>6.4092122507238445E-3</v>
      </c>
      <c r="N1075">
        <v>0.12377275804422816</v>
      </c>
      <c r="O1075">
        <v>3.1238814423965391E-2</v>
      </c>
      <c r="P1075">
        <v>1.8722129355573019E-2</v>
      </c>
      <c r="Q1075">
        <v>0</v>
      </c>
      <c r="R1075">
        <v>6.4092122507238445E-3</v>
      </c>
      <c r="S1075">
        <v>0.16338708792876455</v>
      </c>
      <c r="T1075">
        <v>1.1957785917372838</v>
      </c>
      <c r="U1075">
        <v>0</v>
      </c>
      <c r="V1075">
        <v>1.5831884749388962E-2</v>
      </c>
      <c r="W1075">
        <v>6.43842924395613E-2</v>
      </c>
      <c r="X1075">
        <v>-1.6005237271313495E-2</v>
      </c>
      <c r="Y1075">
        <v>2.639199525122728E-2</v>
      </c>
    </row>
    <row r="1076" spans="1:25" x14ac:dyDescent="0.25">
      <c r="A1076" s="879"/>
      <c r="B1076" s="1133">
        <v>826</v>
      </c>
      <c r="C1076" s="883">
        <v>0.97575883029722998</v>
      </c>
      <c r="D1076" s="883">
        <v>0.99414594435040071</v>
      </c>
      <c r="E1076" s="883">
        <v>1.0177130062563717</v>
      </c>
      <c r="F1076" s="883">
        <v>1.0256123645284598</v>
      </c>
      <c r="G1076" s="883">
        <v>1.0072410942505887</v>
      </c>
      <c r="H1076" s="883">
        <v>1.0178280798695711</v>
      </c>
      <c r="I1076" s="883">
        <v>0.96118685459523467</v>
      </c>
      <c r="K1076">
        <v>1.6528992932057298</v>
      </c>
      <c r="L1076">
        <v>0</v>
      </c>
      <c r="M1076">
        <v>6.6010988315387872E-3</v>
      </c>
      <c r="N1076">
        <v>0.12633986274070474</v>
      </c>
      <c r="O1076">
        <v>3.1672408074090989E-2</v>
      </c>
      <c r="P1076">
        <v>1.8966748728237667E-2</v>
      </c>
      <c r="Q1076">
        <v>0</v>
      </c>
      <c r="R1076">
        <v>6.6010988315387872E-3</v>
      </c>
      <c r="S1076">
        <v>0.16728077855447046</v>
      </c>
      <c r="T1076">
        <v>1.2159926714716529</v>
      </c>
      <c r="U1076">
        <v>0</v>
      </c>
      <c r="V1076">
        <v>1.5989348566030546E-2</v>
      </c>
      <c r="W1076">
        <v>6.5916229957048197E-2</v>
      </c>
      <c r="X1076">
        <v>-1.6440904922992033E-2</v>
      </c>
      <c r="Y1076">
        <v>2.7182150036485053E-2</v>
      </c>
    </row>
    <row r="1077" spans="1:25" x14ac:dyDescent="0.25">
      <c r="A1077" s="879"/>
      <c r="B1077" s="1133">
        <v>827</v>
      </c>
      <c r="C1077" s="883">
        <v>1.0208266832723201</v>
      </c>
      <c r="D1077" s="883">
        <v>0.97657571776966778</v>
      </c>
      <c r="E1077" s="883">
        <v>1.0312533421797765</v>
      </c>
      <c r="F1077" s="883">
        <v>1.0119749906054663</v>
      </c>
      <c r="G1077" s="883">
        <v>1.0075808618575399</v>
      </c>
      <c r="H1077" s="883">
        <v>1.0135907242924369</v>
      </c>
      <c r="I1077" s="883">
        <v>0.98458040051398765</v>
      </c>
      <c r="K1077">
        <v>1.6241037274790338</v>
      </c>
      <c r="L1077">
        <v>0</v>
      </c>
      <c r="M1077">
        <v>6.2589500090653259E-3</v>
      </c>
      <c r="N1077">
        <v>0.12221421428462324</v>
      </c>
      <c r="O1077">
        <v>3.0478483731774079E-2</v>
      </c>
      <c r="P1077">
        <v>1.8881614472324615E-2</v>
      </c>
      <c r="Q1077">
        <v>0</v>
      </c>
      <c r="R1077">
        <v>6.2589500090653259E-3</v>
      </c>
      <c r="S1077">
        <v>0.16374942027068659</v>
      </c>
      <c r="T1077">
        <v>1.1995706626933218</v>
      </c>
      <c r="U1077">
        <v>0</v>
      </c>
      <c r="V1077">
        <v>1.5742688748352961E-2</v>
      </c>
      <c r="W1077">
        <v>6.3340615879640433E-2</v>
      </c>
      <c r="X1077">
        <v>-1.5647214687450634E-2</v>
      </c>
      <c r="Y1077">
        <v>2.5773242085759481E-2</v>
      </c>
    </row>
    <row r="1078" spans="1:25" x14ac:dyDescent="0.25">
      <c r="A1078" s="879"/>
      <c r="B1078" s="1133">
        <v>828</v>
      </c>
      <c r="C1078" s="883">
        <v>0.99979299698571522</v>
      </c>
      <c r="D1078" s="883">
        <v>0.98863443078714486</v>
      </c>
      <c r="E1078" s="883">
        <v>0.98069909633048247</v>
      </c>
      <c r="F1078" s="883">
        <v>1.0271526276421106</v>
      </c>
      <c r="G1078" s="883">
        <v>1.0390218206332622</v>
      </c>
      <c r="H1078" s="883">
        <v>1.0155212442050794</v>
      </c>
      <c r="I1078" s="883">
        <v>1.0001037530914239</v>
      </c>
      <c r="K1078">
        <v>1.6500152701876929</v>
      </c>
      <c r="L1078">
        <v>0</v>
      </c>
      <c r="M1078">
        <v>6.6555189122188456E-3</v>
      </c>
      <c r="N1078">
        <v>0.12058407346454419</v>
      </c>
      <c r="O1078">
        <v>3.1011414066584593E-2</v>
      </c>
      <c r="P1078">
        <v>1.8505975763316928E-2</v>
      </c>
      <c r="Q1078">
        <v>0</v>
      </c>
      <c r="R1078">
        <v>6.6555189122188456E-3</v>
      </c>
      <c r="S1078">
        <v>0.16975510663446999</v>
      </c>
      <c r="T1078">
        <v>1.2185255664957668</v>
      </c>
      <c r="U1078">
        <v>0</v>
      </c>
      <c r="V1078">
        <v>1.5855040365864163E-2</v>
      </c>
      <c r="W1078">
        <v>6.4080802025846026E-2</v>
      </c>
      <c r="X1078">
        <v>-1.5708950871012234E-2</v>
      </c>
      <c r="Y1078">
        <v>2.7406242242312272E-2</v>
      </c>
    </row>
    <row r="1079" spans="1:25" x14ac:dyDescent="0.25">
      <c r="A1079" s="879"/>
      <c r="B1079" s="1133">
        <v>829</v>
      </c>
      <c r="C1079" s="883">
        <v>0.98055657683736985</v>
      </c>
      <c r="D1079" s="883">
        <v>0.98859576150055206</v>
      </c>
      <c r="E1079" s="883">
        <v>1.0145971674441792</v>
      </c>
      <c r="F1079" s="883">
        <v>0.99230718435584375</v>
      </c>
      <c r="G1079" s="883">
        <v>1.0048533382051563</v>
      </c>
      <c r="H1079" s="883">
        <v>1.0100750534346594</v>
      </c>
      <c r="I1079" s="883">
        <v>1.0162960354215762</v>
      </c>
      <c r="K1079">
        <v>1.6189462482249206</v>
      </c>
      <c r="L1079">
        <v>0</v>
      </c>
      <c r="M1079">
        <v>6.5529144251199808E-3</v>
      </c>
      <c r="N1079">
        <v>0.1248407387695349</v>
      </c>
      <c r="O1079">
        <v>3.1590965161557821E-2</v>
      </c>
      <c r="P1079">
        <v>1.8501828535327895E-2</v>
      </c>
      <c r="Q1079">
        <v>0</v>
      </c>
      <c r="R1079">
        <v>6.5529144251199808E-3</v>
      </c>
      <c r="S1079">
        <v>0.17559711661847049</v>
      </c>
      <c r="T1079">
        <v>1.1765624275884781</v>
      </c>
      <c r="U1079">
        <v>0</v>
      </c>
      <c r="V1079">
        <v>1.5962011733340137E-2</v>
      </c>
      <c r="W1079">
        <v>6.5234285492574845E-2</v>
      </c>
      <c r="X1079">
        <v>-1.6326860901720239E-2</v>
      </c>
      <c r="Y1079">
        <v>2.6983735227357041E-2</v>
      </c>
    </row>
    <row r="1080" spans="1:25" x14ac:dyDescent="0.25">
      <c r="A1080" s="879"/>
      <c r="B1080" s="1133">
        <v>830</v>
      </c>
      <c r="C1080" s="883">
        <v>1.0193509175139914</v>
      </c>
      <c r="D1080" s="883">
        <v>0.96698368612344621</v>
      </c>
      <c r="E1080" s="883">
        <v>0.98749549302421147</v>
      </c>
      <c r="F1080" s="883">
        <v>1.0053441867067738</v>
      </c>
      <c r="G1080" s="883">
        <v>1.0254323104784462</v>
      </c>
      <c r="H1080" s="883">
        <v>1.02220138390319</v>
      </c>
      <c r="I1080" s="883">
        <v>1.008668871366956</v>
      </c>
      <c r="K1080">
        <v>1.6217832214718968</v>
      </c>
      <c r="L1080">
        <v>0</v>
      </c>
      <c r="M1080">
        <v>6.596851593095655E-3</v>
      </c>
      <c r="N1080">
        <v>0.12073208381448845</v>
      </c>
      <c r="O1080">
        <v>3.0681573182847859E-2</v>
      </c>
      <c r="P1080">
        <v>1.8241299114714043E-2</v>
      </c>
      <c r="Q1080">
        <v>0</v>
      </c>
      <c r="R1080">
        <v>6.596851593095655E-3</v>
      </c>
      <c r="S1080">
        <v>0.16856107948018501</v>
      </c>
      <c r="T1080">
        <v>1.1925264446431003</v>
      </c>
      <c r="U1080">
        <v>0</v>
      </c>
      <c r="V1080">
        <v>1.5750420319179469E-2</v>
      </c>
      <c r="W1080">
        <v>6.3941856750316758E-2</v>
      </c>
      <c r="X1080">
        <v>-1.5816196497492052E-2</v>
      </c>
      <c r="Y1080">
        <v>2.7164660664556504E-2</v>
      </c>
    </row>
    <row r="1081" spans="1:25" x14ac:dyDescent="0.25">
      <c r="A1081" s="879"/>
      <c r="B1081" s="1133">
        <v>831</v>
      </c>
      <c r="C1081" s="883">
        <v>1.0039241378629442</v>
      </c>
      <c r="D1081" s="883">
        <v>0.99150801683947831</v>
      </c>
      <c r="E1081" s="883">
        <v>0.98505436329778662</v>
      </c>
      <c r="F1081" s="883">
        <v>1.0073732850325898</v>
      </c>
      <c r="G1081" s="883">
        <v>0.99980560703619104</v>
      </c>
      <c r="H1081" s="883">
        <v>0.98235575715684498</v>
      </c>
      <c r="I1081" s="883">
        <v>0.99909611372229357</v>
      </c>
      <c r="K1081">
        <v>1.6161528981568813</v>
      </c>
      <c r="L1081">
        <v>0</v>
      </c>
      <c r="M1081">
        <v>6.3790957406675503E-3</v>
      </c>
      <c r="N1081">
        <v>0.11632495237360969</v>
      </c>
      <c r="O1081">
        <v>3.0844481036320062E-2</v>
      </c>
      <c r="P1081">
        <v>1.8219202479925343E-2</v>
      </c>
      <c r="Q1081">
        <v>0</v>
      </c>
      <c r="R1081">
        <v>6.3790957406675503E-3</v>
      </c>
      <c r="S1081">
        <v>0.16693913962780621</v>
      </c>
      <c r="T1081">
        <v>1.1949791862625201</v>
      </c>
      <c r="U1081">
        <v>0</v>
      </c>
      <c r="V1081">
        <v>1.5832602318549525E-2</v>
      </c>
      <c r="W1081">
        <v>6.1682917563539649E-2</v>
      </c>
      <c r="X1081">
        <v>-1.4937564328744414E-2</v>
      </c>
      <c r="Y1081">
        <v>2.6267980823354419E-2</v>
      </c>
    </row>
    <row r="1082" spans="1:25" x14ac:dyDescent="0.25">
      <c r="A1082" s="879"/>
      <c r="B1082" s="1133">
        <v>832</v>
      </c>
      <c r="C1082" s="883">
        <v>0.97617386217087365</v>
      </c>
      <c r="D1082" s="883">
        <v>1.0024642040628364</v>
      </c>
      <c r="E1082" s="883">
        <v>1.0006431843566035</v>
      </c>
      <c r="F1082" s="883">
        <v>0.99354896228770384</v>
      </c>
      <c r="G1082" s="883">
        <v>0.97736909119115267</v>
      </c>
      <c r="H1082" s="883">
        <v>1.0063228794440868</v>
      </c>
      <c r="I1082" s="883">
        <v>1.033894301861088</v>
      </c>
      <c r="K1082">
        <v>1.6222155074982905</v>
      </c>
      <c r="L1082">
        <v>0</v>
      </c>
      <c r="M1082">
        <v>6.5972462781083915E-3</v>
      </c>
      <c r="N1082">
        <v>0.12311518224922946</v>
      </c>
      <c r="O1082">
        <v>3.1568935173457859E-2</v>
      </c>
      <c r="P1082">
        <v>1.83781034425755E-2</v>
      </c>
      <c r="Q1082">
        <v>0</v>
      </c>
      <c r="R1082">
        <v>6.5972462781083915E-3</v>
      </c>
      <c r="S1082">
        <v>0.17903863671948084</v>
      </c>
      <c r="T1082">
        <v>1.1782919840989881</v>
      </c>
      <c r="U1082">
        <v>0</v>
      </c>
      <c r="V1082">
        <v>1.5986973160152195E-2</v>
      </c>
      <c r="W1082">
        <v>6.4778593020484984E-2</v>
      </c>
      <c r="X1082">
        <v>-1.6109186273266247E-2</v>
      </c>
      <c r="Y1082">
        <v>2.7166285907187636E-2</v>
      </c>
    </row>
    <row r="1083" spans="1:25" x14ac:dyDescent="0.25">
      <c r="A1083" s="879"/>
      <c r="B1083" s="1133">
        <v>833</v>
      </c>
      <c r="C1083" s="883">
        <v>0.97828286465704728</v>
      </c>
      <c r="D1083" s="883">
        <v>0.98923569687646595</v>
      </c>
      <c r="E1083" s="883">
        <v>1.0225252486493182</v>
      </c>
      <c r="F1083" s="883">
        <v>0.95971795958200667</v>
      </c>
      <c r="G1083" s="883">
        <v>0.97611874966174106</v>
      </c>
      <c r="H1083" s="883">
        <v>1.0016013969878792</v>
      </c>
      <c r="I1083" s="883">
        <v>0.97963349486533235</v>
      </c>
      <c r="K1083">
        <v>1.572299341252996</v>
      </c>
      <c r="L1083">
        <v>0</v>
      </c>
      <c r="M1083">
        <v>6.4661341629555407E-3</v>
      </c>
      <c r="N1083">
        <v>0.12464086741141821</v>
      </c>
      <c r="O1083">
        <v>3.1648827117657263E-2</v>
      </c>
      <c r="P1083">
        <v>1.7996598360813722E-2</v>
      </c>
      <c r="Q1083">
        <v>0</v>
      </c>
      <c r="R1083">
        <v>6.4661341629555407E-3</v>
      </c>
      <c r="S1083">
        <v>0.16916319493152435</v>
      </c>
      <c r="T1083">
        <v>1.1377811280873578</v>
      </c>
      <c r="U1083">
        <v>0</v>
      </c>
      <c r="V1083">
        <v>1.5974933575319008E-2</v>
      </c>
      <c r="W1083">
        <v>6.487583887247414E-2</v>
      </c>
      <c r="X1083">
        <v>-1.6408436657644302E-2</v>
      </c>
      <c r="Y1083">
        <v>2.662638955407472E-2</v>
      </c>
    </row>
    <row r="1084" spans="1:25" x14ac:dyDescent="0.25">
      <c r="A1084" s="879"/>
      <c r="B1084" s="1133">
        <v>834</v>
      </c>
      <c r="C1084" s="883">
        <v>1.0184439896598241</v>
      </c>
      <c r="D1084" s="883">
        <v>0.97511340285673886</v>
      </c>
      <c r="E1084" s="883">
        <v>0.97354490021043028</v>
      </c>
      <c r="F1084" s="883">
        <v>0.97975685344509822</v>
      </c>
      <c r="G1084" s="883">
        <v>1.0007636005543168</v>
      </c>
      <c r="H1084" s="883">
        <v>1.0042130207498732</v>
      </c>
      <c r="I1084" s="883">
        <v>1.0080784989851845</v>
      </c>
      <c r="K1084">
        <v>1.5852349468462046</v>
      </c>
      <c r="L1084">
        <v>0</v>
      </c>
      <c r="M1084">
        <v>6.5413814026969086E-3</v>
      </c>
      <c r="N1084">
        <v>0.11726453414260943</v>
      </c>
      <c r="O1084">
        <v>3.0617215117519556E-2</v>
      </c>
      <c r="P1084">
        <v>1.7637371624888432E-2</v>
      </c>
      <c r="Q1084">
        <v>0</v>
      </c>
      <c r="R1084">
        <v>6.5413814026969086E-3</v>
      </c>
      <c r="S1084">
        <v>0.16746007958969308</v>
      </c>
      <c r="T1084">
        <v>1.162430265385791</v>
      </c>
      <c r="U1084">
        <v>0</v>
      </c>
      <c r="V1084">
        <v>1.5755182851255906E-2</v>
      </c>
      <c r="W1084">
        <v>6.2540625743381623E-2</v>
      </c>
      <c r="X1084">
        <v>-1.5406571902755937E-2</v>
      </c>
      <c r="Y1084">
        <v>2.6936244293820296E-2</v>
      </c>
    </row>
    <row r="1085" spans="1:25" x14ac:dyDescent="0.25">
      <c r="A1085" s="879"/>
      <c r="B1085" s="1133">
        <v>835</v>
      </c>
      <c r="C1085" s="883">
        <v>1.0107623619508539</v>
      </c>
      <c r="D1085" s="883">
        <v>1.0258009544157298</v>
      </c>
      <c r="E1085" s="883">
        <v>0.96987831238079369</v>
      </c>
      <c r="F1085" s="883">
        <v>0.97183489042689675</v>
      </c>
      <c r="G1085" s="883">
        <v>0.97675994852525538</v>
      </c>
      <c r="H1085" s="883">
        <v>1.0149539099401252</v>
      </c>
      <c r="I1085" s="883">
        <v>0.98155368278195143</v>
      </c>
      <c r="K1085">
        <v>1.571198272815072</v>
      </c>
      <c r="L1085">
        <v>0</v>
      </c>
      <c r="M1085">
        <v>6.5335373529359139E-3</v>
      </c>
      <c r="N1085">
        <v>0.11648809834878425</v>
      </c>
      <c r="O1085">
        <v>3.0233622520860443E-2</v>
      </c>
      <c r="P1085">
        <v>1.7425475904765269E-2</v>
      </c>
      <c r="Q1085">
        <v>0</v>
      </c>
      <c r="R1085">
        <v>6.5335373529359139E-3</v>
      </c>
      <c r="S1085">
        <v>0.16438169107613315</v>
      </c>
      <c r="T1085">
        <v>1.1530979349026131</v>
      </c>
      <c r="U1085">
        <v>0</v>
      </c>
      <c r="V1085">
        <v>1.5795863988491331E-2</v>
      </c>
      <c r="W1085">
        <v>6.2241080244245905E-2</v>
      </c>
      <c r="X1085">
        <v>-1.5369438063914932E-2</v>
      </c>
      <c r="Y1085">
        <v>2.6903943893093328E-2</v>
      </c>
    </row>
    <row r="1086" spans="1:25" x14ac:dyDescent="0.25">
      <c r="A1086" s="879"/>
      <c r="B1086" s="1133">
        <v>836</v>
      </c>
      <c r="C1086" s="883">
        <v>0.96730160728676118</v>
      </c>
      <c r="D1086" s="883">
        <v>0.97466868141932683</v>
      </c>
      <c r="E1086" s="883">
        <v>1.0112612757781434</v>
      </c>
      <c r="F1086" s="883">
        <v>0.98347062980859723</v>
      </c>
      <c r="G1086" s="883">
        <v>1.0162716650996642</v>
      </c>
      <c r="H1086" s="883">
        <v>0.99851720631585039</v>
      </c>
      <c r="I1086" s="883">
        <v>1.0224806836650562</v>
      </c>
      <c r="K1086">
        <v>1.6134612934091492</v>
      </c>
      <c r="L1086">
        <v>0</v>
      </c>
      <c r="M1086">
        <v>6.6277454629121721E-3</v>
      </c>
      <c r="N1086">
        <v>0.12564447559196509</v>
      </c>
      <c r="O1086">
        <v>3.2209211755097313E-2</v>
      </c>
      <c r="P1086">
        <v>1.8355789477137601E-2</v>
      </c>
      <c r="Q1086">
        <v>0</v>
      </c>
      <c r="R1086">
        <v>6.6277454629121721E-3</v>
      </c>
      <c r="S1086">
        <v>0.17852782918462567</v>
      </c>
      <c r="T1086">
        <v>1.1661458560675018</v>
      </c>
      <c r="U1086">
        <v>0</v>
      </c>
      <c r="V1086">
        <v>1.6038196862654203E-2</v>
      </c>
      <c r="W1086">
        <v>6.5762556926454815E-2</v>
      </c>
      <c r="X1086">
        <v>-1.6514498577845742E-2</v>
      </c>
      <c r="Y1086">
        <v>2.7291876121557083E-2</v>
      </c>
    </row>
    <row r="1087" spans="1:25" x14ac:dyDescent="0.25">
      <c r="A1087" s="879"/>
      <c r="B1087" s="1133">
        <v>837</v>
      </c>
      <c r="C1087" s="883">
        <v>1.0107221554950774</v>
      </c>
      <c r="D1087" s="883">
        <v>0.98642416310100789</v>
      </c>
      <c r="E1087" s="883">
        <v>0.9797644671407163</v>
      </c>
      <c r="F1087" s="883">
        <v>0.99512596248513085</v>
      </c>
      <c r="G1087" s="883">
        <v>1.0221564315450242</v>
      </c>
      <c r="H1087" s="883">
        <v>1.0276580701953346</v>
      </c>
      <c r="I1087" s="883">
        <v>1.0145339492485572</v>
      </c>
      <c r="K1087">
        <v>1.6126359288098648</v>
      </c>
      <c r="L1087">
        <v>0</v>
      </c>
      <c r="M1087">
        <v>6.6743279442527679E-3</v>
      </c>
      <c r="N1087">
        <v>0.12075728754036269</v>
      </c>
      <c r="O1087">
        <v>3.0704294269192356E-2</v>
      </c>
      <c r="P1087">
        <v>1.800926520678782E-2</v>
      </c>
      <c r="Q1087">
        <v>0</v>
      </c>
      <c r="R1087">
        <v>6.6743279442527679E-3</v>
      </c>
      <c r="S1087">
        <v>0.17107616607927226</v>
      </c>
      <c r="T1087">
        <v>1.1805492504128057</v>
      </c>
      <c r="U1087">
        <v>0</v>
      </c>
      <c r="V1087">
        <v>1.5796078544650007E-2</v>
      </c>
      <c r="W1087">
        <v>6.4202887138306505E-2</v>
      </c>
      <c r="X1087">
        <v>-1.5942994869859003E-2</v>
      </c>
      <c r="Y1087">
        <v>2.7483694488345072E-2</v>
      </c>
    </row>
    <row r="1088" spans="1:25" x14ac:dyDescent="0.25">
      <c r="A1088" s="879"/>
      <c r="B1088" s="1133">
        <v>838</v>
      </c>
      <c r="C1088" s="883">
        <v>1.0170364621625396</v>
      </c>
      <c r="D1088" s="883">
        <v>0.99986676407724795</v>
      </c>
      <c r="E1088" s="883">
        <v>0.98704167892525274</v>
      </c>
      <c r="F1088" s="883">
        <v>1.0148444469182991</v>
      </c>
      <c r="G1088" s="883">
        <v>0.97790915595853023</v>
      </c>
      <c r="H1088" s="883">
        <v>1.0453222154515518</v>
      </c>
      <c r="I1088" s="883">
        <v>0.96703308216662531</v>
      </c>
      <c r="K1088">
        <v>1.6289420416491531</v>
      </c>
      <c r="L1088">
        <v>0</v>
      </c>
      <c r="M1088">
        <v>6.6638536848355988E-3</v>
      </c>
      <c r="N1088">
        <v>0.12187627614457022</v>
      </c>
      <c r="O1088">
        <v>3.0343160297976474E-2</v>
      </c>
      <c r="P1088">
        <v>1.8309252669909959E-2</v>
      </c>
      <c r="Q1088">
        <v>0</v>
      </c>
      <c r="R1088">
        <v>6.6638536848355988E-3</v>
      </c>
      <c r="S1088">
        <v>0.16289346151671111</v>
      </c>
      <c r="T1088">
        <v>1.2038041171590566</v>
      </c>
      <c r="U1088">
        <v>0</v>
      </c>
      <c r="V1088">
        <v>1.576259099253564E-2</v>
      </c>
      <c r="W1088">
        <v>6.4562466635426335E-2</v>
      </c>
      <c r="X1088">
        <v>-1.6049847119448579E-2</v>
      </c>
      <c r="Y1088">
        <v>2.7440563352413846E-2</v>
      </c>
    </row>
    <row r="1089" spans="1:25" x14ac:dyDescent="0.25">
      <c r="A1089" s="879"/>
      <c r="B1089" s="1133">
        <v>839</v>
      </c>
      <c r="C1089" s="883">
        <v>1.0366329093753031</v>
      </c>
      <c r="D1089" s="883">
        <v>1.0067592104194243</v>
      </c>
      <c r="E1089" s="883">
        <v>1.01135847537722</v>
      </c>
      <c r="F1089" s="883">
        <v>1.0074439180154795</v>
      </c>
      <c r="G1089" s="883">
        <v>1.0008230522990005</v>
      </c>
      <c r="H1089" s="883">
        <v>1.0325539524927441</v>
      </c>
      <c r="I1089" s="883">
        <v>1.0082170931625893</v>
      </c>
      <c r="K1089">
        <v>1.6169277598184535</v>
      </c>
      <c r="L1089">
        <v>0</v>
      </c>
      <c r="M1089">
        <v>6.3029586292888346E-3</v>
      </c>
      <c r="N1089">
        <v>0.11950457158544732</v>
      </c>
      <c r="O1089">
        <v>2.9668005573817088E-2</v>
      </c>
      <c r="P1089">
        <v>1.8564126437267233E-2</v>
      </c>
      <c r="Q1089">
        <v>0</v>
      </c>
      <c r="R1089">
        <v>6.3029586292888346E-3</v>
      </c>
      <c r="S1089">
        <v>0.16585291874707003</v>
      </c>
      <c r="T1089">
        <v>1.1945702591951706</v>
      </c>
      <c r="U1089">
        <v>0</v>
      </c>
      <c r="V1089">
        <v>1.5661260100067246E-2</v>
      </c>
      <c r="W1089">
        <v>6.2545914110420264E-2</v>
      </c>
      <c r="X1089">
        <v>-1.539375768140464E-2</v>
      </c>
      <c r="Y1089">
        <v>2.5954461750597502E-2</v>
      </c>
    </row>
    <row r="1090" spans="1:25" x14ac:dyDescent="0.25">
      <c r="A1090" s="879"/>
      <c r="B1090" s="1133">
        <v>840</v>
      </c>
      <c r="C1090" s="883">
        <v>1.0109901883512771</v>
      </c>
      <c r="D1090" s="883">
        <v>1.0232184087988763</v>
      </c>
      <c r="E1090" s="883">
        <v>1.0086958566755555</v>
      </c>
      <c r="F1090" s="883">
        <v>0.99963686329735224</v>
      </c>
      <c r="G1090" s="883">
        <v>1.0112893916057024</v>
      </c>
      <c r="H1090" s="883">
        <v>1.0250398400626928</v>
      </c>
      <c r="I1090" s="883">
        <v>1.0035359635991026</v>
      </c>
      <c r="K1090">
        <v>1.6129188305683764</v>
      </c>
      <c r="L1090">
        <v>0</v>
      </c>
      <c r="M1090">
        <v>6.3844438981448589E-3</v>
      </c>
      <c r="N1090">
        <v>0.12057333750103007</v>
      </c>
      <c r="O1090">
        <v>3.0226113908272779E-2</v>
      </c>
      <c r="P1090">
        <v>1.8442835692541678E-2</v>
      </c>
      <c r="Q1090">
        <v>0</v>
      </c>
      <c r="R1090">
        <v>6.3844438981448589E-3</v>
      </c>
      <c r="S1090">
        <v>0.16866650569417646</v>
      </c>
      <c r="T1090">
        <v>1.1853624434989103</v>
      </c>
      <c r="U1090">
        <v>0</v>
      </c>
      <c r="V1090">
        <v>1.5794648546917704E-2</v>
      </c>
      <c r="W1090">
        <v>6.3188442009388515E-2</v>
      </c>
      <c r="X1090">
        <v>-1.5625499866771614E-2</v>
      </c>
      <c r="Y1090">
        <v>2.6290003583909431E-2</v>
      </c>
    </row>
    <row r="1091" spans="1:25" x14ac:dyDescent="0.25">
      <c r="A1091" s="879"/>
      <c r="B1091" s="1133">
        <v>841</v>
      </c>
      <c r="C1091" s="883">
        <v>0.9920467031970972</v>
      </c>
      <c r="D1091" s="883">
        <v>0.97566098725269623</v>
      </c>
      <c r="E1091" s="883">
        <v>1.0021361760789875</v>
      </c>
      <c r="F1091" s="883">
        <v>1.007321726179919</v>
      </c>
      <c r="G1091" s="883">
        <v>1.0150851953022659</v>
      </c>
      <c r="H1091" s="883">
        <v>1.0124143676645292</v>
      </c>
      <c r="I1091" s="883">
        <v>0.973510746762832</v>
      </c>
      <c r="K1091">
        <v>1.6262793757879082</v>
      </c>
      <c r="L1091">
        <v>0</v>
      </c>
      <c r="M1091">
        <v>6.6018461634995114E-3</v>
      </c>
      <c r="N1091">
        <v>0.12347379785575716</v>
      </c>
      <c r="O1091">
        <v>3.140110967017077E-2</v>
      </c>
      <c r="P1091">
        <v>1.844804536473537E-2</v>
      </c>
      <c r="Q1091">
        <v>0</v>
      </c>
      <c r="R1091">
        <v>6.6018461634995114E-3</v>
      </c>
      <c r="S1091">
        <v>0.16651691432192078</v>
      </c>
      <c r="T1091">
        <v>1.1945977491474378</v>
      </c>
      <c r="U1091">
        <v>0</v>
      </c>
      <c r="V1091">
        <v>1.5897617634389356E-2</v>
      </c>
      <c r="W1091">
        <v>6.491915698358186E-2</v>
      </c>
      <c r="X1091">
        <v>-1.6160242606564328E-2</v>
      </c>
      <c r="Y1091">
        <v>2.7185227416479187E-2</v>
      </c>
    </row>
    <row r="1092" spans="1:25" x14ac:dyDescent="0.25">
      <c r="A1092" s="879"/>
      <c r="B1092" s="1133">
        <v>842</v>
      </c>
      <c r="C1092" s="883">
        <v>1.0282804585799048</v>
      </c>
      <c r="D1092" s="883">
        <v>1.0021801044722627</v>
      </c>
      <c r="E1092" s="883">
        <v>0.97991138486137475</v>
      </c>
      <c r="F1092" s="883">
        <v>0.99429478296913532</v>
      </c>
      <c r="G1092" s="883">
        <v>0.99728786361390553</v>
      </c>
      <c r="H1092" s="883">
        <v>0.98238197928233906</v>
      </c>
      <c r="I1092" s="883">
        <v>0.98206950351709643</v>
      </c>
      <c r="K1092">
        <v>1.5870103899581203</v>
      </c>
      <c r="L1092">
        <v>0</v>
      </c>
      <c r="M1092">
        <v>6.2263451634602517E-3</v>
      </c>
      <c r="N1092">
        <v>0.11267658294665821</v>
      </c>
      <c r="O1092">
        <v>2.9989197867450038E-2</v>
      </c>
      <c r="P1092">
        <v>1.7852302304079793E-2</v>
      </c>
      <c r="Q1092">
        <v>0</v>
      </c>
      <c r="R1092">
        <v>6.2263451634602517E-3</v>
      </c>
      <c r="S1092">
        <v>0.1601037344902014</v>
      </c>
      <c r="T1092">
        <v>1.1795604682106824</v>
      </c>
      <c r="U1092">
        <v>0</v>
      </c>
      <c r="V1092">
        <v>1.5703977360479907E-2</v>
      </c>
      <c r="W1092">
        <v>5.9902221240117057E-2</v>
      </c>
      <c r="X1092">
        <v>-1.4417075596552592E-2</v>
      </c>
      <c r="Y1092">
        <v>2.5638981135003968E-2</v>
      </c>
    </row>
    <row r="1093" spans="1:25" x14ac:dyDescent="0.25">
      <c r="A1093" s="879"/>
      <c r="B1093" s="1133">
        <v>843</v>
      </c>
      <c r="C1093" s="883">
        <v>1.0352552836242803</v>
      </c>
      <c r="D1093" s="883">
        <v>0.95934860034645231</v>
      </c>
      <c r="E1093" s="883">
        <v>0.99153761705411447</v>
      </c>
      <c r="F1093" s="883">
        <v>1.0208287013606967</v>
      </c>
      <c r="G1093" s="883">
        <v>0.98191474451315575</v>
      </c>
      <c r="H1093" s="883">
        <v>1.0024287725388301</v>
      </c>
      <c r="I1093" s="883">
        <v>0.99598427492247943</v>
      </c>
      <c r="K1093">
        <v>1.6285556462213455</v>
      </c>
      <c r="L1093">
        <v>0</v>
      </c>
      <c r="M1093">
        <v>6.3699669669432931E-3</v>
      </c>
      <c r="N1093">
        <v>0.11728052013343364</v>
      </c>
      <c r="O1093">
        <v>3.0302906541268656E-2</v>
      </c>
      <c r="P1093">
        <v>1.8463714452009953E-2</v>
      </c>
      <c r="Q1093">
        <v>0</v>
      </c>
      <c r="R1093">
        <v>6.3699669669432931E-3</v>
      </c>
      <c r="S1093">
        <v>0.16285246169994658</v>
      </c>
      <c r="T1093">
        <v>1.2108171004547046</v>
      </c>
      <c r="U1093">
        <v>0</v>
      </c>
      <c r="V1093">
        <v>1.5668258275824198E-2</v>
      </c>
      <c r="W1093">
        <v>6.1988747335219599E-2</v>
      </c>
      <c r="X1093">
        <v>-1.5048452829080728E-2</v>
      </c>
      <c r="Y1093">
        <v>2.6230390158019076E-2</v>
      </c>
    </row>
    <row r="1094" spans="1:25" x14ac:dyDescent="0.25">
      <c r="A1094" s="879"/>
      <c r="B1094" s="1133">
        <v>844</v>
      </c>
      <c r="C1094" s="883">
        <v>0.98959678115712113</v>
      </c>
      <c r="D1094" s="883">
        <v>0.99652571379298427</v>
      </c>
      <c r="E1094" s="883">
        <v>1.0148385522807717</v>
      </c>
      <c r="F1094" s="883">
        <v>0.98320395898921598</v>
      </c>
      <c r="G1094" s="883">
        <v>0.97505196288435148</v>
      </c>
      <c r="H1094" s="883">
        <v>0.97355965585713777</v>
      </c>
      <c r="I1094" s="883">
        <v>0.96586504374606763</v>
      </c>
      <c r="K1094">
        <v>1.5855976771259841</v>
      </c>
      <c r="L1094">
        <v>0</v>
      </c>
      <c r="M1094">
        <v>6.2347316248381772E-3</v>
      </c>
      <c r="N1094">
        <v>0.11882141915896052</v>
      </c>
      <c r="O1094">
        <v>3.1202279965929194E-2</v>
      </c>
      <c r="P1094">
        <v>1.8190607727607788E-2</v>
      </c>
      <c r="Q1094">
        <v>0</v>
      </c>
      <c r="R1094">
        <v>6.2347316248381772E-3</v>
      </c>
      <c r="S1094">
        <v>0.16320722215110242</v>
      </c>
      <c r="T1094">
        <v>1.1657644864239582</v>
      </c>
      <c r="U1094">
        <v>0</v>
      </c>
      <c r="V1094">
        <v>1.5911222301309598E-2</v>
      </c>
      <c r="W1094">
        <v>6.2081551781879324E-2</v>
      </c>
      <c r="X1094">
        <v>-1.5254627474987553E-2</v>
      </c>
      <c r="Y1094">
        <v>2.5673515090223788E-2</v>
      </c>
    </row>
    <row r="1095" spans="1:25" x14ac:dyDescent="0.25">
      <c r="A1095" s="879"/>
      <c r="B1095" s="1133">
        <v>845</v>
      </c>
      <c r="C1095" s="883">
        <v>1.0045819228818904</v>
      </c>
      <c r="D1095" s="883">
        <v>1.0147129222945199</v>
      </c>
      <c r="E1095" s="883">
        <v>0.98466533782691257</v>
      </c>
      <c r="F1095" s="883">
        <v>1.0052260150563579</v>
      </c>
      <c r="G1095" s="883">
        <v>0.97837984040203141</v>
      </c>
      <c r="H1095" s="883">
        <v>1.0186207410107349</v>
      </c>
      <c r="I1095" s="883">
        <v>1.0076842350153126</v>
      </c>
      <c r="K1095">
        <v>1.6210951097499915</v>
      </c>
      <c r="L1095">
        <v>0</v>
      </c>
      <c r="M1095">
        <v>6.5446308943932418E-3</v>
      </c>
      <c r="N1095">
        <v>0.11927470236622124</v>
      </c>
      <c r="O1095">
        <v>3.0540674878330953E-2</v>
      </c>
      <c r="P1095">
        <v>1.8222460083854301E-2</v>
      </c>
      <c r="Q1095">
        <v>0</v>
      </c>
      <c r="R1095">
        <v>6.5446308943932418E-3</v>
      </c>
      <c r="S1095">
        <v>0.17013469243731805</v>
      </c>
      <c r="T1095">
        <v>1.1924393180810164</v>
      </c>
      <c r="U1095">
        <v>0</v>
      </c>
      <c r="V1095">
        <v>1.5829046629584124E-2</v>
      </c>
      <c r="W1095">
        <v>6.3259359933306683E-2</v>
      </c>
      <c r="X1095">
        <v>-1.555476978188017E-2</v>
      </c>
      <c r="Y1095">
        <v>2.6949625122237825E-2</v>
      </c>
    </row>
    <row r="1096" spans="1:25" x14ac:dyDescent="0.25">
      <c r="A1096" s="879"/>
      <c r="B1096" s="1133">
        <v>846</v>
      </c>
      <c r="C1096" s="883">
        <v>0.97487850170323065</v>
      </c>
      <c r="D1096" s="883">
        <v>0.99713496799916435</v>
      </c>
      <c r="E1096" s="883">
        <v>0.99665601202151377</v>
      </c>
      <c r="F1096" s="883">
        <v>0.99011329211180221</v>
      </c>
      <c r="G1096" s="883">
        <v>0.96682289538195243</v>
      </c>
      <c r="H1096" s="883">
        <v>1.0055218304928204</v>
      </c>
      <c r="I1096" s="883">
        <v>1.0172949125645654</v>
      </c>
      <c r="K1096">
        <v>1.6158711550737481</v>
      </c>
      <c r="L1096">
        <v>0</v>
      </c>
      <c r="M1096">
        <v>6.6395484756890987E-3</v>
      </c>
      <c r="N1096">
        <v>0.12317479873305053</v>
      </c>
      <c r="O1096">
        <v>3.1681821828783617E-2</v>
      </c>
      <c r="P1096">
        <v>1.8234094639302707E-2</v>
      </c>
      <c r="Q1096">
        <v>0</v>
      </c>
      <c r="R1096">
        <v>6.6395484756890987E-3</v>
      </c>
      <c r="S1096">
        <v>0.17640266446110847</v>
      </c>
      <c r="T1096">
        <v>1.1742908699748948</v>
      </c>
      <c r="U1096">
        <v>0</v>
      </c>
      <c r="V1096">
        <v>1.5994393759976421E-2</v>
      </c>
      <c r="W1096">
        <v>6.4938493493554822E-2</v>
      </c>
      <c r="X1096">
        <v>-1.6186460644238371E-2</v>
      </c>
      <c r="Y1096">
        <v>2.7340478827314513E-2</v>
      </c>
    </row>
    <row r="1097" spans="1:25" x14ac:dyDescent="0.25">
      <c r="A1097" s="879"/>
      <c r="B1097" s="1133">
        <v>847</v>
      </c>
      <c r="C1097" s="883">
        <v>0.989822021218695</v>
      </c>
      <c r="D1097" s="883">
        <v>1.0016444862726115</v>
      </c>
      <c r="E1097" s="883">
        <v>1.0163624972417442</v>
      </c>
      <c r="F1097" s="883">
        <v>1.0175222454653561</v>
      </c>
      <c r="G1097" s="883">
        <v>1.0213017814097953</v>
      </c>
      <c r="H1097" s="883">
        <v>1.0246116287192684</v>
      </c>
      <c r="I1097" s="883">
        <v>0.99280489323127774</v>
      </c>
      <c r="K1097">
        <v>1.6436963683564245</v>
      </c>
      <c r="L1097">
        <v>0</v>
      </c>
      <c r="M1097">
        <v>6.5364804523970468E-3</v>
      </c>
      <c r="N1097">
        <v>0.12485338208028991</v>
      </c>
      <c r="O1097">
        <v>3.1129934642325694E-2</v>
      </c>
      <c r="P1097">
        <v>1.8862625238375386E-2</v>
      </c>
      <c r="Q1097">
        <v>0</v>
      </c>
      <c r="R1097">
        <v>6.5364804523970468E-3</v>
      </c>
      <c r="S1097">
        <v>0.17064095101814294</v>
      </c>
      <c r="T1097">
        <v>1.2064262523091369</v>
      </c>
      <c r="U1097">
        <v>0</v>
      </c>
      <c r="V1097">
        <v>1.5909968709076298E-2</v>
      </c>
      <c r="W1097">
        <v>6.518407926503024E-2</v>
      </c>
      <c r="X1097">
        <v>-1.6226887958775117E-2</v>
      </c>
      <c r="Y1097">
        <v>2.6916063052822098E-2</v>
      </c>
    </row>
    <row r="1098" spans="1:25" x14ac:dyDescent="0.25">
      <c r="A1098" s="879"/>
      <c r="B1098" s="1133">
        <v>848</v>
      </c>
      <c r="C1098" s="883">
        <v>0.98880587724366908</v>
      </c>
      <c r="D1098" s="883">
        <v>1.0284982077498475</v>
      </c>
      <c r="E1098" s="883">
        <v>1.0227572348090148</v>
      </c>
      <c r="F1098" s="883">
        <v>1.0020807839778363</v>
      </c>
      <c r="G1098" s="883">
        <v>1.0059479520149728</v>
      </c>
      <c r="H1098" s="883">
        <v>0.97307137241863195</v>
      </c>
      <c r="I1098" s="883">
        <v>0.98168153007551706</v>
      </c>
      <c r="K1098">
        <v>1.6084041753322276</v>
      </c>
      <c r="L1098">
        <v>0</v>
      </c>
      <c r="M1098">
        <v>6.1069395980206803E-3</v>
      </c>
      <c r="N1098">
        <v>0.11775744813521297</v>
      </c>
      <c r="O1098">
        <v>3.0828082561165541E-2</v>
      </c>
      <c r="P1098">
        <v>1.8634830726739722E-2</v>
      </c>
      <c r="Q1098">
        <v>0</v>
      </c>
      <c r="R1098">
        <v>6.1069395980206803E-3</v>
      </c>
      <c r="S1098">
        <v>0.16570297347357746</v>
      </c>
      <c r="T1098">
        <v>1.1879995255550198</v>
      </c>
      <c r="U1098">
        <v>0</v>
      </c>
      <c r="V1098">
        <v>1.5915628666141074E-2</v>
      </c>
      <c r="W1098">
        <v>6.1286008074978443E-2</v>
      </c>
      <c r="X1098">
        <v>-1.486761213053006E-2</v>
      </c>
      <c r="Y1098">
        <v>2.514729026992216E-2</v>
      </c>
    </row>
    <row r="1099" spans="1:25" x14ac:dyDescent="0.25">
      <c r="A1099" s="879"/>
      <c r="B1099" s="1133">
        <v>849</v>
      </c>
      <c r="C1099" s="883">
        <v>1.0025189181248035</v>
      </c>
      <c r="D1099" s="883">
        <v>1.0090180657532746</v>
      </c>
      <c r="E1099" s="883">
        <v>0.99675244348525949</v>
      </c>
      <c r="F1099" s="883">
        <v>1.0065096539496146</v>
      </c>
      <c r="G1099" s="883">
        <v>1.0125491316703501</v>
      </c>
      <c r="H1099" s="883">
        <v>1.002965594604639</v>
      </c>
      <c r="I1099" s="883">
        <v>0.98304543703057601</v>
      </c>
      <c r="K1099">
        <v>1.6166203472500493</v>
      </c>
      <c r="L1099">
        <v>0</v>
      </c>
      <c r="M1099">
        <v>6.405602011844788E-3</v>
      </c>
      <c r="N1099">
        <v>0.11885168034515543</v>
      </c>
      <c r="O1099">
        <v>3.0662595854118433E-2</v>
      </c>
      <c r="P1099">
        <v>1.8347035177741569E-2</v>
      </c>
      <c r="Q1099">
        <v>0</v>
      </c>
      <c r="R1099">
        <v>6.405602011844788E-3</v>
      </c>
      <c r="S1099">
        <v>0.16550014616080955</v>
      </c>
      <c r="T1099">
        <v>1.193735423176721</v>
      </c>
      <c r="U1099">
        <v>0</v>
      </c>
      <c r="V1099">
        <v>1.5840213933479497E-2</v>
      </c>
      <c r="W1099">
        <v>6.2656314724415491E-2</v>
      </c>
      <c r="X1099">
        <v>-1.5350191052514756E-2</v>
      </c>
      <c r="Y1099">
        <v>2.6377128930121896E-2</v>
      </c>
    </row>
    <row r="1100" spans="1:25" x14ac:dyDescent="0.25">
      <c r="A1100" s="879"/>
      <c r="B1100" s="1133">
        <v>850</v>
      </c>
      <c r="C1100" s="883">
        <v>1.0255645900686499</v>
      </c>
      <c r="D1100" s="883">
        <v>1.0370859382575792</v>
      </c>
      <c r="E1100" s="883">
        <v>1.028854919591228</v>
      </c>
      <c r="F1100" s="883">
        <v>0.97253871070208531</v>
      </c>
      <c r="G1100" s="883">
        <v>0.98455169894164385</v>
      </c>
      <c r="H1100" s="883">
        <v>1.007729535689629</v>
      </c>
      <c r="I1100" s="883">
        <v>1.0004614881926575</v>
      </c>
      <c r="K1100">
        <v>1.5695535976020849</v>
      </c>
      <c r="L1100">
        <v>0</v>
      </c>
      <c r="M1100">
        <v>6.0428710180795084E-3</v>
      </c>
      <c r="N1100">
        <v>0.11757739835574205</v>
      </c>
      <c r="O1100">
        <v>2.9619007756249417E-2</v>
      </c>
      <c r="P1100">
        <v>1.8222496996207354E-2</v>
      </c>
      <c r="Q1100">
        <v>0</v>
      </c>
      <c r="R1100">
        <v>6.0428710180795084E-3</v>
      </c>
      <c r="S1100">
        <v>0.16468345715511409</v>
      </c>
      <c r="T1100">
        <v>1.1528668924544552</v>
      </c>
      <c r="U1100">
        <v>0</v>
      </c>
      <c r="V1100">
        <v>1.571801713654223E-2</v>
      </c>
      <c r="W1100">
        <v>6.1009210097087242E-2</v>
      </c>
      <c r="X1100">
        <v>-1.5026349610818827E-2</v>
      </c>
      <c r="Y1100">
        <v>2.4883467261506528E-2</v>
      </c>
    </row>
    <row r="1101" spans="1:25" x14ac:dyDescent="0.25">
      <c r="A1101" s="879"/>
      <c r="B1101" s="1133">
        <v>851</v>
      </c>
      <c r="C1101" s="883">
        <v>1.0023265890494903</v>
      </c>
      <c r="D1101" s="883">
        <v>0.99288999060425243</v>
      </c>
      <c r="E1101" s="883">
        <v>1.03500421809317</v>
      </c>
      <c r="F1101" s="883">
        <v>1.0073232474283191</v>
      </c>
      <c r="G1101" s="883">
        <v>0.99220756195109416</v>
      </c>
      <c r="H1101" s="883">
        <v>1.0148995664235407</v>
      </c>
      <c r="I1101" s="883">
        <v>0.97418662090434582</v>
      </c>
      <c r="K1101">
        <v>1.622634038798767</v>
      </c>
      <c r="L1101">
        <v>0</v>
      </c>
      <c r="M1101">
        <v>6.3148696065565228E-3</v>
      </c>
      <c r="N1101">
        <v>0.12399153244337723</v>
      </c>
      <c r="O1101">
        <v>3.083244596934798E-2</v>
      </c>
      <c r="P1101">
        <v>1.8874574432127887E-2</v>
      </c>
      <c r="Q1101">
        <v>0</v>
      </c>
      <c r="R1101">
        <v>6.3148696065565228E-3</v>
      </c>
      <c r="S1101">
        <v>0.16491514571658794</v>
      </c>
      <c r="T1101">
        <v>1.1939869306878561</v>
      </c>
      <c r="U1101">
        <v>0</v>
      </c>
      <c r="V1101">
        <v>1.5841257377504733E-2</v>
      </c>
      <c r="W1101">
        <v>6.4143765583446227E-2</v>
      </c>
      <c r="X1101">
        <v>-1.5955122446391461E-2</v>
      </c>
      <c r="Y1101">
        <v>2.6003509034910926E-2</v>
      </c>
    </row>
    <row r="1102" spans="1:25" x14ac:dyDescent="0.25">
      <c r="A1102" s="879"/>
      <c r="B1102" s="1133">
        <v>852</v>
      </c>
      <c r="C1102" s="883">
        <v>0.96529483633907165</v>
      </c>
      <c r="D1102" s="883">
        <v>0.99528144684046593</v>
      </c>
      <c r="E1102" s="883">
        <v>0.99032193527294443</v>
      </c>
      <c r="F1102" s="883">
        <v>1.010519423676381</v>
      </c>
      <c r="G1102" s="883">
        <v>0.9848494497841358</v>
      </c>
      <c r="H1102" s="883">
        <v>0.98074521448733476</v>
      </c>
      <c r="I1102" s="883">
        <v>1.0223466740457408</v>
      </c>
      <c r="K1102">
        <v>1.6390770071268557</v>
      </c>
      <c r="L1102">
        <v>0</v>
      </c>
      <c r="M1102">
        <v>6.5819653183272347E-3</v>
      </c>
      <c r="N1102">
        <v>0.12096552040849122</v>
      </c>
      <c r="O1102">
        <v>3.2025658795843473E-2</v>
      </c>
      <c r="P1102">
        <v>1.8484811394840192E-2</v>
      </c>
      <c r="Q1102">
        <v>0</v>
      </c>
      <c r="R1102">
        <v>6.5819653183272347E-3</v>
      </c>
      <c r="S1102">
        <v>0.1775274526950564</v>
      </c>
      <c r="T1102">
        <v>1.1986120233971675</v>
      </c>
      <c r="U1102">
        <v>0</v>
      </c>
      <c r="V1102">
        <v>1.6049913472099026E-2</v>
      </c>
      <c r="W1102">
        <v>6.3975214896529478E-2</v>
      </c>
      <c r="X1102">
        <v>-1.5666949567889141E-2</v>
      </c>
      <c r="Y1102">
        <v>2.7103361634718284E-2</v>
      </c>
    </row>
    <row r="1103" spans="1:25" x14ac:dyDescent="0.25">
      <c r="A1103" s="879"/>
      <c r="B1103" s="1133">
        <v>853</v>
      </c>
      <c r="C1103" s="883">
        <v>1.0265694583110041</v>
      </c>
      <c r="D1103" s="883">
        <v>0.96869659516596074</v>
      </c>
      <c r="E1103" s="883">
        <v>0.98867568282552065</v>
      </c>
      <c r="F1103" s="883">
        <v>0.97745083876033689</v>
      </c>
      <c r="G1103" s="883">
        <v>0.98898062102691597</v>
      </c>
      <c r="H1103" s="883">
        <v>1.0432481214787219</v>
      </c>
      <c r="I1103" s="883">
        <v>0.97467857869814445</v>
      </c>
      <c r="K1103">
        <v>1.5844649822629233</v>
      </c>
      <c r="L1103">
        <v>0</v>
      </c>
      <c r="M1103">
        <v>6.6731762152094538E-3</v>
      </c>
      <c r="N1103">
        <v>0.12234284617245439</v>
      </c>
      <c r="O1103">
        <v>3.0443318531806589E-2</v>
      </c>
      <c r="P1103">
        <v>1.7743077396690982E-2</v>
      </c>
      <c r="Q1103">
        <v>0</v>
      </c>
      <c r="R1103">
        <v>6.6731762152094538E-3</v>
      </c>
      <c r="S1103">
        <v>0.16289270476460907</v>
      </c>
      <c r="T1103">
        <v>1.1594182116300829</v>
      </c>
      <c r="U1103">
        <v>0</v>
      </c>
      <c r="V1103">
        <v>1.5712813777365869E-2</v>
      </c>
      <c r="W1103">
        <v>6.4756793241588603E-2</v>
      </c>
      <c r="X1103">
        <v>-1.6323735124819685E-2</v>
      </c>
      <c r="Y1103">
        <v>2.7478951873144822E-2</v>
      </c>
    </row>
    <row r="1104" spans="1:25" x14ac:dyDescent="0.25">
      <c r="A1104" s="879"/>
      <c r="B1104" s="1133">
        <v>854</v>
      </c>
      <c r="C1104" s="883">
        <v>1.0129393938709075</v>
      </c>
      <c r="D1104" s="883">
        <v>1.0109289908062142</v>
      </c>
      <c r="E1104" s="883">
        <v>0.97353631309747679</v>
      </c>
      <c r="F1104" s="883">
        <v>0.96003989027871428</v>
      </c>
      <c r="G1104" s="883">
        <v>1.0188816859297236</v>
      </c>
      <c r="H1104" s="883">
        <v>0.99200007331048246</v>
      </c>
      <c r="I1104" s="883">
        <v>1.033374568808282</v>
      </c>
      <c r="K1104">
        <v>1.5611222582732394</v>
      </c>
      <c r="L1104">
        <v>0</v>
      </c>
      <c r="M1104">
        <v>6.3932537661344829E-3</v>
      </c>
      <c r="N1104">
        <v>0.11460765276869292</v>
      </c>
      <c r="O1104">
        <v>3.0342631574500605E-2</v>
      </c>
      <c r="P1104">
        <v>1.7384060637077283E-2</v>
      </c>
      <c r="Q1104">
        <v>0</v>
      </c>
      <c r="R1104">
        <v>6.3932537661344829E-3</v>
      </c>
      <c r="S1104">
        <v>0.17149342635622547</v>
      </c>
      <c r="T1104">
        <v>1.1390372739519419</v>
      </c>
      <c r="U1104">
        <v>0</v>
      </c>
      <c r="V1104">
        <v>1.5784271990032246E-2</v>
      </c>
      <c r="W1104">
        <v>6.1123896252508803E-2</v>
      </c>
      <c r="X1104">
        <v>-1.4977236309932895E-2</v>
      </c>
      <c r="Y1104">
        <v>2.6326281052192653E-2</v>
      </c>
    </row>
    <row r="1105" spans="1:25" x14ac:dyDescent="0.25">
      <c r="A1105" s="879"/>
      <c r="B1105" s="1133">
        <v>855</v>
      </c>
      <c r="C1105" s="883">
        <v>1.0106228678033333</v>
      </c>
      <c r="D1105" s="883">
        <v>0.98911810106036446</v>
      </c>
      <c r="E1105" s="883">
        <v>1.0030824513436678</v>
      </c>
      <c r="F1105" s="883">
        <v>1.0002437140681193</v>
      </c>
      <c r="G1105" s="883">
        <v>0.96398887444298009</v>
      </c>
      <c r="H1105" s="883">
        <v>0.96685441553626128</v>
      </c>
      <c r="I1105" s="883">
        <v>0.98003570680764651</v>
      </c>
      <c r="K1105">
        <v>1.5990840438705318</v>
      </c>
      <c r="L1105">
        <v>0</v>
      </c>
      <c r="M1105">
        <v>6.1460456788257987E-3</v>
      </c>
      <c r="N1105">
        <v>0.11511022563877647</v>
      </c>
      <c r="O1105">
        <v>3.0654685270251246E-2</v>
      </c>
      <c r="P1105">
        <v>1.8284275557118316E-2</v>
      </c>
      <c r="Q1105">
        <v>0</v>
      </c>
      <c r="R1105">
        <v>6.1460456788257987E-3</v>
      </c>
      <c r="S1105">
        <v>0.16183490729556549</v>
      </c>
      <c r="T1105">
        <v>1.1861862495884292</v>
      </c>
      <c r="U1105">
        <v>0</v>
      </c>
      <c r="V1105">
        <v>1.5796608452738382E-2</v>
      </c>
      <c r="W1105">
        <v>6.0493413312376523E-2</v>
      </c>
      <c r="X1105">
        <v>-1.45846433947775E-2</v>
      </c>
      <c r="Y1105">
        <v>2.5308322150054737E-2</v>
      </c>
    </row>
    <row r="1106" spans="1:25" x14ac:dyDescent="0.25">
      <c r="A1106" s="879"/>
      <c r="B1106" s="1133">
        <v>856</v>
      </c>
      <c r="C1106" s="883">
        <v>1.0288700857914284</v>
      </c>
      <c r="D1106" s="883">
        <v>0.9942675806686585</v>
      </c>
      <c r="E1106" s="883">
        <v>1.0230287834796745</v>
      </c>
      <c r="F1106" s="883">
        <v>1.0217170860642555</v>
      </c>
      <c r="G1106" s="883">
        <v>1.0018622982309242</v>
      </c>
      <c r="H1106" s="883">
        <v>1.0071263580413545</v>
      </c>
      <c r="I1106" s="883">
        <v>0.98465421514548135</v>
      </c>
      <c r="K1106">
        <v>1.628978070869934</v>
      </c>
      <c r="L1106">
        <v>0</v>
      </c>
      <c r="M1106">
        <v>6.1654224568659776E-3</v>
      </c>
      <c r="N1106">
        <v>0.11893290299404739</v>
      </c>
      <c r="O1106">
        <v>3.003126445792036E-2</v>
      </c>
      <c r="P1106">
        <v>1.8900857413182252E-2</v>
      </c>
      <c r="Q1106">
        <v>0</v>
      </c>
      <c r="R1106">
        <v>6.1654224568659776E-3</v>
      </c>
      <c r="S1106">
        <v>0.16192777135094166</v>
      </c>
      <c r="T1106">
        <v>1.2112738751608425</v>
      </c>
      <c r="U1106">
        <v>0</v>
      </c>
      <c r="V1106">
        <v>1.570093905500488E-2</v>
      </c>
      <c r="W1106">
        <v>6.188949570740615E-2</v>
      </c>
      <c r="X1106">
        <v>-1.5067147542497486E-2</v>
      </c>
      <c r="Y1106">
        <v>2.5388112273086266E-2</v>
      </c>
    </row>
    <row r="1107" spans="1:25" x14ac:dyDescent="0.25">
      <c r="A1107" s="879"/>
      <c r="B1107" s="1133">
        <v>857</v>
      </c>
      <c r="C1107" s="883">
        <v>0.97787301814363181</v>
      </c>
      <c r="D1107" s="883">
        <v>1.0351208449043816</v>
      </c>
      <c r="E1107" s="883">
        <v>0.99767532324891317</v>
      </c>
      <c r="F1107" s="883">
        <v>0.99792714602832489</v>
      </c>
      <c r="G1107" s="883">
        <v>1.0004139926465825</v>
      </c>
      <c r="H1107" s="883">
        <v>0.97503853348845493</v>
      </c>
      <c r="I1107" s="883">
        <v>1.0218686153982686</v>
      </c>
      <c r="K1107">
        <v>1.6133419919803027</v>
      </c>
      <c r="L1107">
        <v>0</v>
      </c>
      <c r="M1107">
        <v>6.3068773383060895E-3</v>
      </c>
      <c r="N1107">
        <v>0.117180045302245</v>
      </c>
      <c r="O1107">
        <v>3.1115101721225238E-2</v>
      </c>
      <c r="P1107">
        <v>1.8345257448219632E-2</v>
      </c>
      <c r="Q1107">
        <v>0</v>
      </c>
      <c r="R1107">
        <v>6.3068773383060895E-3</v>
      </c>
      <c r="S1107">
        <v>0.17444459841954646</v>
      </c>
      <c r="T1107">
        <v>1.1835393134636856</v>
      </c>
      <c r="U1107">
        <v>0</v>
      </c>
      <c r="V1107">
        <v>1.5977269185588772E-2</v>
      </c>
      <c r="W1107">
        <v>6.1746721640348882E-2</v>
      </c>
      <c r="X1107">
        <v>-1.4976913497383389E-2</v>
      </c>
      <c r="Y1107">
        <v>2.5970598296826353E-2</v>
      </c>
    </row>
    <row r="1108" spans="1:25" x14ac:dyDescent="0.25">
      <c r="A1108" s="879"/>
      <c r="B1108" s="1133">
        <v>858</v>
      </c>
      <c r="C1108" s="883">
        <v>0.98755124950865947</v>
      </c>
      <c r="D1108" s="883">
        <v>0.98684207768228172</v>
      </c>
      <c r="E1108" s="883">
        <v>1.0304959309085091</v>
      </c>
      <c r="F1108" s="883">
        <v>0.96859190064781542</v>
      </c>
      <c r="G1108" s="883">
        <v>0.98344452853500708</v>
      </c>
      <c r="H1108" s="883">
        <v>1.001093563692069</v>
      </c>
      <c r="I1108" s="883">
        <v>1.0407220885593209</v>
      </c>
      <c r="K1108">
        <v>1.5904082711574135</v>
      </c>
      <c r="L1108">
        <v>0</v>
      </c>
      <c r="M1108">
        <v>6.3645288338067957E-3</v>
      </c>
      <c r="N1108">
        <v>0.12413672675701892</v>
      </c>
      <c r="O1108">
        <v>3.1374662768978101E-2</v>
      </c>
      <c r="P1108">
        <v>1.8365920181992512E-2</v>
      </c>
      <c r="Q1108">
        <v>0</v>
      </c>
      <c r="R1108">
        <v>6.3645288338067957E-3</v>
      </c>
      <c r="S1108">
        <v>0.1780298310673552</v>
      </c>
      <c r="T1108">
        <v>1.1481589322802273</v>
      </c>
      <c r="U1108">
        <v>0</v>
      </c>
      <c r="V1108">
        <v>1.5922633054909322E-2</v>
      </c>
      <c r="W1108">
        <v>6.4360908687400367E-2</v>
      </c>
      <c r="X1108">
        <v>-1.6149340534184046E-2</v>
      </c>
      <c r="Y1108">
        <v>2.6207996893714596E-2</v>
      </c>
    </row>
    <row r="1109" spans="1:25" x14ac:dyDescent="0.25">
      <c r="A1109" s="879"/>
      <c r="B1109" s="1133">
        <v>859</v>
      </c>
      <c r="C1109" s="883">
        <v>0.97446373598719871</v>
      </c>
      <c r="D1109" s="883">
        <v>1.0223306282680698</v>
      </c>
      <c r="E1109" s="883">
        <v>0.98064961259557704</v>
      </c>
      <c r="F1109" s="883">
        <v>1.0274570393925011</v>
      </c>
      <c r="G1109" s="883">
        <v>1.0349585671991834</v>
      </c>
      <c r="H1109" s="883">
        <v>0.99937581737096803</v>
      </c>
      <c r="I1109" s="883">
        <v>0.98728766992835726</v>
      </c>
      <c r="K1109">
        <v>1.6508419287774749</v>
      </c>
      <c r="L1109">
        <v>0</v>
      </c>
      <c r="M1109">
        <v>6.6205560056436762E-3</v>
      </c>
      <c r="N1109">
        <v>0.11994181299941722</v>
      </c>
      <c r="O1109">
        <v>3.1393827186363306E-2</v>
      </c>
      <c r="P1109">
        <v>1.8523610519816901E-2</v>
      </c>
      <c r="Q1109">
        <v>0</v>
      </c>
      <c r="R1109">
        <v>6.6205560056436762E-3</v>
      </c>
      <c r="S1109">
        <v>0.17064134146202661</v>
      </c>
      <c r="T1109">
        <v>1.2188876436331091</v>
      </c>
      <c r="U1109">
        <v>0</v>
      </c>
      <c r="V1109">
        <v>1.5996773955953975E-2</v>
      </c>
      <c r="W1109">
        <v>6.3741070753776774E-2</v>
      </c>
      <c r="X1109">
        <v>-1.5546422949191065E-2</v>
      </c>
      <c r="Y1109">
        <v>2.7262271216201107E-2</v>
      </c>
    </row>
    <row r="1110" spans="1:25" x14ac:dyDescent="0.25">
      <c r="A1110" s="879"/>
      <c r="B1110" s="1133">
        <v>860</v>
      </c>
      <c r="C1110" s="883">
        <v>0.99122583531246544</v>
      </c>
      <c r="D1110" s="883">
        <v>0.97867322089126951</v>
      </c>
      <c r="E1110" s="883">
        <v>1.0124800276430372</v>
      </c>
      <c r="F1110" s="883">
        <v>0.99867218819662729</v>
      </c>
      <c r="G1110" s="883">
        <v>1.0111178931543701</v>
      </c>
      <c r="H1110" s="883">
        <v>1.0321524423173825</v>
      </c>
      <c r="I1110" s="883">
        <v>1.0094551380746086</v>
      </c>
      <c r="K1110">
        <v>1.6275313545454122</v>
      </c>
      <c r="L1110">
        <v>0</v>
      </c>
      <c r="M1110">
        <v>6.6663037643408148E-3</v>
      </c>
      <c r="N1110">
        <v>0.12660362223978186</v>
      </c>
      <c r="O1110">
        <v>3.1379203212709948E-2</v>
      </c>
      <c r="P1110">
        <v>1.8551995040490338E-2</v>
      </c>
      <c r="Q1110">
        <v>0</v>
      </c>
      <c r="R1110">
        <v>6.6663037643408148E-3</v>
      </c>
      <c r="S1110">
        <v>0.17396198643147504</v>
      </c>
      <c r="T1110">
        <v>1.1841484780758249</v>
      </c>
      <c r="U1110">
        <v>0</v>
      </c>
      <c r="V1110">
        <v>1.5902168505908788E-2</v>
      </c>
      <c r="W1110">
        <v>6.6224673961860089E-2</v>
      </c>
      <c r="X1110">
        <v>-1.6691425266357963E-2</v>
      </c>
      <c r="Y1110">
        <v>2.7450652343718428E-2</v>
      </c>
    </row>
    <row r="1111" spans="1:25" x14ac:dyDescent="0.25">
      <c r="A1111" s="879"/>
      <c r="B1111" s="1133">
        <v>861</v>
      </c>
      <c r="C1111" s="883">
        <v>1.0210093397508955</v>
      </c>
      <c r="D1111" s="883">
        <v>0.97727103328379217</v>
      </c>
      <c r="E1111" s="883">
        <v>1.0058960579491125</v>
      </c>
      <c r="F1111" s="883">
        <v>0.99220101855249421</v>
      </c>
      <c r="G1111" s="883">
        <v>0.99136701845715669</v>
      </c>
      <c r="H1111" s="883">
        <v>0.996277952023779</v>
      </c>
      <c r="I1111" s="883">
        <v>0.9899847148737857</v>
      </c>
      <c r="K1111">
        <v>1.5955940286495029</v>
      </c>
      <c r="L1111">
        <v>0</v>
      </c>
      <c r="M1111">
        <v>6.2869950369586992E-3</v>
      </c>
      <c r="N1111">
        <v>0.11824176656469845</v>
      </c>
      <c r="O1111">
        <v>3.0487041446432637E-2</v>
      </c>
      <c r="P1111">
        <v>1.8217375302508353E-2</v>
      </c>
      <c r="Q1111">
        <v>0</v>
      </c>
      <c r="R1111">
        <v>6.2869950369586992E-3</v>
      </c>
      <c r="S1111">
        <v>0.16360123665405729</v>
      </c>
      <c r="T1111">
        <v>1.1765966105507617</v>
      </c>
      <c r="U1111">
        <v>0</v>
      </c>
      <c r="V1111">
        <v>1.5741733361208227E-2</v>
      </c>
      <c r="W1111">
        <v>6.2052509933545753E-2</v>
      </c>
      <c r="X1111">
        <v>-1.5232971682504908E-2</v>
      </c>
      <c r="Y1111">
        <v>2.5888726518795521E-2</v>
      </c>
    </row>
    <row r="1112" spans="1:25" x14ac:dyDescent="0.25">
      <c r="A1112" s="879"/>
      <c r="B1112" s="1133">
        <v>862</v>
      </c>
      <c r="C1112" s="883">
        <v>1.0318503572241886</v>
      </c>
      <c r="D1112" s="883">
        <v>1.0363476359136323</v>
      </c>
      <c r="E1112" s="883">
        <v>0.99006796934196928</v>
      </c>
      <c r="F1112" s="883">
        <v>0.96234136675088533</v>
      </c>
      <c r="G1112" s="883">
        <v>0.99655649352529829</v>
      </c>
      <c r="H1112" s="883">
        <v>1.0148714463306989</v>
      </c>
      <c r="I1112" s="883">
        <v>0.97807513543598401</v>
      </c>
      <c r="K1112">
        <v>1.5510950817223921</v>
      </c>
      <c r="L1112">
        <v>0</v>
      </c>
      <c r="M1112">
        <v>6.2592828506959431E-3</v>
      </c>
      <c r="N1112">
        <v>0.1149918512339929</v>
      </c>
      <c r="O1112">
        <v>2.9479522264034795E-2</v>
      </c>
      <c r="P1112">
        <v>1.7489906703306007E-2</v>
      </c>
      <c r="Q1112">
        <v>0</v>
      </c>
      <c r="R1112">
        <v>6.2592828506959431E-3</v>
      </c>
      <c r="S1112">
        <v>0.1603709672317935</v>
      </c>
      <c r="T1112">
        <v>1.1414709172560487</v>
      </c>
      <c r="U1112">
        <v>0</v>
      </c>
      <c r="V1112">
        <v>1.5685635067526876E-2</v>
      </c>
      <c r="W1112">
        <v>6.0823613461712632E-2</v>
      </c>
      <c r="X1112">
        <v>-1.4991944164373725E-2</v>
      </c>
      <c r="Y1112">
        <v>2.5774612668350762E-2</v>
      </c>
    </row>
    <row r="1113" spans="1:25" x14ac:dyDescent="0.25">
      <c r="A1113" s="879"/>
      <c r="B1113" s="1133">
        <v>863</v>
      </c>
      <c r="C1113" s="883">
        <v>0.98938114375726716</v>
      </c>
      <c r="D1113" s="883">
        <v>0.98530076082893236</v>
      </c>
      <c r="E1113" s="883">
        <v>0.9890899715940199</v>
      </c>
      <c r="F1113" s="883">
        <v>1.0207940093158312</v>
      </c>
      <c r="G1113" s="883">
        <v>1.0159577483196611</v>
      </c>
      <c r="H1113" s="883">
        <v>1.0326066738515431</v>
      </c>
      <c r="I1113" s="883">
        <v>1.0202678758126755</v>
      </c>
      <c r="K1113">
        <v>1.6550871148215389</v>
      </c>
      <c r="L1113">
        <v>0</v>
      </c>
      <c r="M1113">
        <v>6.7990930420667051E-3</v>
      </c>
      <c r="N1113">
        <v>0.12472793825381268</v>
      </c>
      <c r="O1113">
        <v>3.1373249553816838E-2</v>
      </c>
      <c r="P1113">
        <v>1.8608212182394765E-2</v>
      </c>
      <c r="Q1113">
        <v>0</v>
      </c>
      <c r="R1113">
        <v>6.7990930420667051E-3</v>
      </c>
      <c r="S1113">
        <v>0.17607534931564262</v>
      </c>
      <c r="T1113">
        <v>1.2108224937290244</v>
      </c>
      <c r="U1113">
        <v>0</v>
      </c>
      <c r="V1113">
        <v>1.5912422983930152E-2</v>
      </c>
      <c r="W1113">
        <v>6.6005592725049134E-2</v>
      </c>
      <c r="X1113">
        <v>-1.6435598875915773E-2</v>
      </c>
      <c r="Y1113">
        <v>2.79974549537833E-2</v>
      </c>
    </row>
    <row r="1114" spans="1:25" x14ac:dyDescent="0.25">
      <c r="A1114" s="879"/>
      <c r="B1114" s="1133">
        <v>864</v>
      </c>
      <c r="C1114" s="883">
        <v>1.034119016621625</v>
      </c>
      <c r="D1114" s="883">
        <v>0.99523460274602005</v>
      </c>
      <c r="E1114" s="883">
        <v>1.0051878284638338</v>
      </c>
      <c r="F1114" s="883">
        <v>1.0297747314049994</v>
      </c>
      <c r="G1114" s="883">
        <v>0.99979883001154712</v>
      </c>
      <c r="H1114" s="883">
        <v>1.0256958465843506</v>
      </c>
      <c r="I1114" s="883">
        <v>0.9764773694022354</v>
      </c>
      <c r="K1114">
        <v>1.638816631147566</v>
      </c>
      <c r="L1114">
        <v>0</v>
      </c>
      <c r="M1114">
        <v>6.3427567735391951E-3</v>
      </c>
      <c r="N1114">
        <v>0.11916545142076704</v>
      </c>
      <c r="O1114">
        <v>2.9882638291419555E-2</v>
      </c>
      <c r="P1114">
        <v>1.8766849712813168E-2</v>
      </c>
      <c r="Q1114">
        <v>0</v>
      </c>
      <c r="R1114">
        <v>6.3427567735391951E-3</v>
      </c>
      <c r="S1114">
        <v>0.16075901925928815</v>
      </c>
      <c r="T1114">
        <v>1.221166746607389</v>
      </c>
      <c r="U1114">
        <v>0</v>
      </c>
      <c r="V1114">
        <v>1.5674044409404481E-2</v>
      </c>
      <c r="W1114">
        <v>6.2559204114053121E-2</v>
      </c>
      <c r="X1114">
        <v>-1.5275666092383467E-2</v>
      </c>
      <c r="Y1114">
        <v>2.611834342481488E-2</v>
      </c>
    </row>
    <row r="1115" spans="1:25" x14ac:dyDescent="0.25">
      <c r="A1115" s="879"/>
      <c r="B1115" s="1133">
        <v>865</v>
      </c>
      <c r="C1115" s="883">
        <v>0.98264770034529314</v>
      </c>
      <c r="D1115" s="883">
        <v>1.0079509706123237</v>
      </c>
      <c r="E1115" s="883">
        <v>0.98826822249100943</v>
      </c>
      <c r="F1115" s="883">
        <v>1.0359138804978549</v>
      </c>
      <c r="G1115" s="883">
        <v>0.97217855833967903</v>
      </c>
      <c r="H1115" s="883">
        <v>1.0143104985631441</v>
      </c>
      <c r="I1115" s="883">
        <v>0.99207063708186838</v>
      </c>
      <c r="K1115">
        <v>1.6641018354359998</v>
      </c>
      <c r="L1115">
        <v>0</v>
      </c>
      <c r="M1115">
        <v>6.6613245695854584E-3</v>
      </c>
      <c r="N1115">
        <v>0.12205180252500414</v>
      </c>
      <c r="O1115">
        <v>3.1303039481803858E-2</v>
      </c>
      <c r="P1115">
        <v>1.8768317795440751E-2</v>
      </c>
      <c r="Q1115">
        <v>0</v>
      </c>
      <c r="R1115">
        <v>6.6613245695854584E-3</v>
      </c>
      <c r="S1115">
        <v>0.17106030546570039</v>
      </c>
      <c r="T1115">
        <v>1.2287729057387946</v>
      </c>
      <c r="U1115">
        <v>0</v>
      </c>
      <c r="V1115">
        <v>1.5950180358163198E-2</v>
      </c>
      <c r="W1115">
        <v>6.4615878099407623E-2</v>
      </c>
      <c r="X1115">
        <v>-1.5850742934294549E-2</v>
      </c>
      <c r="Y1115">
        <v>2.7430148905979498E-2</v>
      </c>
    </row>
    <row r="1116" spans="1:25" x14ac:dyDescent="0.25">
      <c r="A1116" s="879"/>
      <c r="B1116" s="1133">
        <v>866</v>
      </c>
      <c r="C1116" s="883">
        <v>1.0070235483541163</v>
      </c>
      <c r="D1116" s="883">
        <v>1.0059201144808787</v>
      </c>
      <c r="E1116" s="883">
        <v>0.99707122745306942</v>
      </c>
      <c r="F1116" s="883">
        <v>1.0288547002302031</v>
      </c>
      <c r="G1116" s="883">
        <v>0.9997676900189344</v>
      </c>
      <c r="H1116" s="883">
        <v>0.9920659449081799</v>
      </c>
      <c r="I1116" s="883">
        <v>1.0245695246616751</v>
      </c>
      <c r="K1116">
        <v>1.6466269932403264</v>
      </c>
      <c r="L1116">
        <v>0</v>
      </c>
      <c r="M1116">
        <v>6.3145428966004426E-3</v>
      </c>
      <c r="N1116">
        <v>0.11721749728686782</v>
      </c>
      <c r="O1116">
        <v>3.0562738865963213E-2</v>
      </c>
      <c r="P1116">
        <v>1.8779663139292899E-2</v>
      </c>
      <c r="Q1116">
        <v>0</v>
      </c>
      <c r="R1116">
        <v>6.3145428966004426E-3</v>
      </c>
      <c r="S1116">
        <v>0.17111003114894047</v>
      </c>
      <c r="T1116">
        <v>1.2202308804153752</v>
      </c>
      <c r="U1116">
        <v>0</v>
      </c>
      <c r="V1116">
        <v>1.5815888925864354E-2</v>
      </c>
      <c r="W1116">
        <v>6.1785010057821423E-2</v>
      </c>
      <c r="X1116">
        <v>-1.4876880301262782E-2</v>
      </c>
      <c r="Y1116">
        <v>2.6002163701463986E-2</v>
      </c>
    </row>
    <row r="1117" spans="1:25" x14ac:dyDescent="0.25">
      <c r="A1117" s="879"/>
      <c r="B1117" s="1133">
        <v>867</v>
      </c>
      <c r="C1117" s="883">
        <v>0.95413029957215767</v>
      </c>
      <c r="D1117" s="883">
        <v>0.99476939722384983</v>
      </c>
      <c r="E1117" s="883">
        <v>0.99792048575694736</v>
      </c>
      <c r="F1117" s="883">
        <v>0.95579670937914862</v>
      </c>
      <c r="G1117" s="883">
        <v>1.0010768516048947</v>
      </c>
      <c r="H1117" s="883">
        <v>1.0087465649794658</v>
      </c>
      <c r="I1117" s="883">
        <v>0.96676900183445136</v>
      </c>
      <c r="K1117">
        <v>1.5753882090582101</v>
      </c>
      <c r="L1117">
        <v>0</v>
      </c>
      <c r="M1117">
        <v>6.8053826030815478E-3</v>
      </c>
      <c r="N1117">
        <v>0.12648807602339468</v>
      </c>
      <c r="O1117">
        <v>3.2400413618272332E-2</v>
      </c>
      <c r="P1117">
        <v>1.7644013662877961E-2</v>
      </c>
      <c r="Q1117">
        <v>0</v>
      </c>
      <c r="R1117">
        <v>6.8053826030815478E-3</v>
      </c>
      <c r="S1117">
        <v>0.17150300113715466</v>
      </c>
      <c r="T1117">
        <v>1.1335683546687161</v>
      </c>
      <c r="U1117">
        <v>0</v>
      </c>
      <c r="V1117">
        <v>1.6115997891477826E-2</v>
      </c>
      <c r="W1117">
        <v>6.6643362881144474E-2</v>
      </c>
      <c r="X1117">
        <v>-1.6998365071369783E-2</v>
      </c>
      <c r="Y1117">
        <v>2.8023354246542301E-2</v>
      </c>
    </row>
    <row r="1118" spans="1:25" x14ac:dyDescent="0.25">
      <c r="A1118" s="879"/>
      <c r="B1118" s="1133">
        <v>868</v>
      </c>
      <c r="C1118" s="883">
        <v>0.96847824500185087</v>
      </c>
      <c r="D1118" s="883">
        <v>1.0365554611888874</v>
      </c>
      <c r="E1118" s="883">
        <v>1.0204170039565039</v>
      </c>
      <c r="F1118" s="883">
        <v>0.95975153351213482</v>
      </c>
      <c r="G1118" s="883">
        <v>1.0016561984658303</v>
      </c>
      <c r="H1118" s="883">
        <v>1.0258742261541629</v>
      </c>
      <c r="I1118" s="883">
        <v>0.98866208841973191</v>
      </c>
      <c r="K1118">
        <v>1.5788404560929608</v>
      </c>
      <c r="L1118">
        <v>0</v>
      </c>
      <c r="M1118">
        <v>6.5641009633952323E-3</v>
      </c>
      <c r="N1118">
        <v>0.12613532038777553</v>
      </c>
      <c r="O1118">
        <v>3.1379224238089566E-2</v>
      </c>
      <c r="P1118">
        <v>1.8027676555470787E-2</v>
      </c>
      <c r="Q1118">
        <v>0</v>
      </c>
      <c r="R1118">
        <v>6.5641009633952323E-3</v>
      </c>
      <c r="S1118">
        <v>0.17338662853539955</v>
      </c>
      <c r="T1118">
        <v>1.1378583449240935</v>
      </c>
      <c r="U1118">
        <v>0</v>
      </c>
      <c r="V1118">
        <v>1.6031349599376365E-2</v>
      </c>
      <c r="W1118">
        <v>6.5721881121632977E-2</v>
      </c>
      <c r="X1118">
        <v>-1.6729768669722825E-2</v>
      </c>
      <c r="Y1118">
        <v>2.7029799400844934E-2</v>
      </c>
    </row>
    <row r="1119" spans="1:25" x14ac:dyDescent="0.25">
      <c r="A1119" s="879"/>
      <c r="B1119" s="1133">
        <v>869</v>
      </c>
      <c r="C1119" s="883">
        <v>0.98579041231724251</v>
      </c>
      <c r="D1119" s="883">
        <v>0.99159164192405047</v>
      </c>
      <c r="E1119" s="883">
        <v>0.9859916409657391</v>
      </c>
      <c r="F1119" s="883">
        <v>1.035196974765036</v>
      </c>
      <c r="G1119" s="883">
        <v>1.0252124675997802</v>
      </c>
      <c r="H1119" s="883">
        <v>1.010924863312769</v>
      </c>
      <c r="I1119" s="883">
        <v>0.97711249767109021</v>
      </c>
      <c r="K1119">
        <v>1.6601686582758934</v>
      </c>
      <c r="L1119">
        <v>0</v>
      </c>
      <c r="M1119">
        <v>6.679656647815467E-3</v>
      </c>
      <c r="N1119">
        <v>0.12197521529662053</v>
      </c>
      <c r="O1119">
        <v>3.14100374248946E-2</v>
      </c>
      <c r="P1119">
        <v>1.8683026588684131E-2</v>
      </c>
      <c r="Q1119">
        <v>0</v>
      </c>
      <c r="R1119">
        <v>6.679656647815467E-3</v>
      </c>
      <c r="S1119">
        <v>0.16791718165015956</v>
      </c>
      <c r="T1119">
        <v>1.2279664643087043</v>
      </c>
      <c r="U1119">
        <v>0</v>
      </c>
      <c r="V1119">
        <v>1.5932493601984288E-2</v>
      </c>
      <c r="W1119">
        <v>6.4648769151544383E-2</v>
      </c>
      <c r="X1119">
        <v>-1.5870166887841843E-2</v>
      </c>
      <c r="Y1119">
        <v>2.7505637141142389E-2</v>
      </c>
    </row>
    <row r="1120" spans="1:25" x14ac:dyDescent="0.25">
      <c r="A1120" s="879"/>
      <c r="B1120" s="1133">
        <v>870</v>
      </c>
      <c r="C1120" s="883">
        <v>1.019562656682611</v>
      </c>
      <c r="D1120" s="883">
        <v>1.0070924338417528</v>
      </c>
      <c r="E1120" s="883">
        <v>0.9942352010898704</v>
      </c>
      <c r="F1120" s="883">
        <v>0.96337381055591709</v>
      </c>
      <c r="G1120" s="883">
        <v>1.0078768129505609</v>
      </c>
      <c r="H1120" s="883">
        <v>0.98393484236577411</v>
      </c>
      <c r="I1120" s="883">
        <v>1.0027519852603084</v>
      </c>
      <c r="K1120">
        <v>1.5568751757906036</v>
      </c>
      <c r="L1120">
        <v>0</v>
      </c>
      <c r="M1120">
        <v>6.1978821717553687E-3</v>
      </c>
      <c r="N1120">
        <v>0.11456937852880944</v>
      </c>
      <c r="O1120">
        <v>3.0175127689514823E-2</v>
      </c>
      <c r="P1120">
        <v>1.7622591811447198E-2</v>
      </c>
      <c r="Q1120">
        <v>0</v>
      </c>
      <c r="R1120">
        <v>6.1978821717553687E-3</v>
      </c>
      <c r="S1120">
        <v>0.16493034319040609</v>
      </c>
      <c r="T1120">
        <v>1.1426207891295412</v>
      </c>
      <c r="U1120">
        <v>0</v>
      </c>
      <c r="V1120">
        <v>1.5749309637505704E-2</v>
      </c>
      <c r="W1120">
        <v>6.0474461686505686E-2</v>
      </c>
      <c r="X1120">
        <v>-1.4788601484514647E-2</v>
      </c>
      <c r="Y1120">
        <v>2.5521775601386913E-2</v>
      </c>
    </row>
    <row r="1121" spans="1:25" x14ac:dyDescent="0.25">
      <c r="A1121" s="879"/>
      <c r="B1121" s="1133">
        <v>871</v>
      </c>
      <c r="C1121" s="883">
        <v>1.008320427724563</v>
      </c>
      <c r="D1121" s="883">
        <v>0.99649363255382817</v>
      </c>
      <c r="E1121" s="883">
        <v>0.9827196434761013</v>
      </c>
      <c r="F1121" s="883">
        <v>1.014514472360033</v>
      </c>
      <c r="G1121" s="883">
        <v>1.0317853434833406</v>
      </c>
      <c r="H1121" s="883">
        <v>0.98851980970557474</v>
      </c>
      <c r="I1121" s="883">
        <v>0.99189511027118227</v>
      </c>
      <c r="K1121">
        <v>1.6227186698734692</v>
      </c>
      <c r="L1121">
        <v>0</v>
      </c>
      <c r="M1121">
        <v>6.3898444487853938E-3</v>
      </c>
      <c r="N1121">
        <v>0.11611814708923723</v>
      </c>
      <c r="O1121">
        <v>3.0650311614061714E-2</v>
      </c>
      <c r="P1121">
        <v>1.8277111827034356E-2</v>
      </c>
      <c r="Q1121">
        <v>0</v>
      </c>
      <c r="R1121">
        <v>6.3898444487853938E-3</v>
      </c>
      <c r="S1121">
        <v>0.16531449468989778</v>
      </c>
      <c r="T1121">
        <v>1.2034944844859183</v>
      </c>
      <c r="U1121">
        <v>0</v>
      </c>
      <c r="V1121">
        <v>1.5808926069585189E-2</v>
      </c>
      <c r="W1121">
        <v>6.1645164072613466E-2</v>
      </c>
      <c r="X1121">
        <v>-1.4902212065064537E-2</v>
      </c>
      <c r="Y1121">
        <v>2.6312242090184981E-2</v>
      </c>
    </row>
    <row r="1122" spans="1:25" x14ac:dyDescent="0.25">
      <c r="A1122" s="879"/>
      <c r="B1122" s="1133">
        <v>872</v>
      </c>
      <c r="C1122" s="883">
        <v>1.0171350773975174</v>
      </c>
      <c r="D1122" s="883">
        <v>0.99520553605553008</v>
      </c>
      <c r="E1122" s="883">
        <v>1.0052074591399647</v>
      </c>
      <c r="F1122" s="883">
        <v>0.97586241819039721</v>
      </c>
      <c r="G1122" s="883">
        <v>1.0063052493279538</v>
      </c>
      <c r="H1122" s="883">
        <v>0.97648856573864129</v>
      </c>
      <c r="I1122" s="883">
        <v>0.99908731072087131</v>
      </c>
      <c r="K1122">
        <v>1.572184306238205</v>
      </c>
      <c r="L1122">
        <v>0</v>
      </c>
      <c r="M1122">
        <v>6.1392698511814154E-3</v>
      </c>
      <c r="N1122">
        <v>0.11534576492094512</v>
      </c>
      <c r="O1122">
        <v>3.0381951413733788E-2</v>
      </c>
      <c r="P1122">
        <v>1.7959259661651066E-2</v>
      </c>
      <c r="Q1122">
        <v>0</v>
      </c>
      <c r="R1122">
        <v>6.1392698511814154E-3</v>
      </c>
      <c r="S1122">
        <v>0.16441975287319741</v>
      </c>
      <c r="T1122">
        <v>1.157234035590547</v>
      </c>
      <c r="U1122">
        <v>0</v>
      </c>
      <c r="V1122">
        <v>1.5762071289923407E-2</v>
      </c>
      <c r="W1122">
        <v>6.0553364795525172E-2</v>
      </c>
      <c r="X1122">
        <v>-1.4752314805186325E-2</v>
      </c>
      <c r="Y1122">
        <v>2.5280420497867523E-2</v>
      </c>
    </row>
    <row r="1123" spans="1:25" x14ac:dyDescent="0.25">
      <c r="A1123" s="879"/>
      <c r="B1123" s="1133">
        <v>873</v>
      </c>
      <c r="C1123" s="883">
        <v>0.96529876045360641</v>
      </c>
      <c r="D1123" s="883">
        <v>0.99993330644162226</v>
      </c>
      <c r="E1123" s="883">
        <v>0.99392516834876521</v>
      </c>
      <c r="F1123" s="883">
        <v>1.0102252894012576</v>
      </c>
      <c r="G1123" s="883">
        <v>0.97799952702959891</v>
      </c>
      <c r="H1123" s="883">
        <v>1.0119777259994758</v>
      </c>
      <c r="I1123" s="883">
        <v>0.97120189474048846</v>
      </c>
      <c r="K1123">
        <v>1.6371771467241139</v>
      </c>
      <c r="L1123">
        <v>0</v>
      </c>
      <c r="M1123">
        <v>6.7561507916093248E-3</v>
      </c>
      <c r="N1123">
        <v>0.12483173695214209</v>
      </c>
      <c r="O1123">
        <v>3.1962758234039892E-2</v>
      </c>
      <c r="P1123">
        <v>1.8435453781919187E-2</v>
      </c>
      <c r="Q1123">
        <v>0</v>
      </c>
      <c r="R1123">
        <v>6.7561507916093248E-3</v>
      </c>
      <c r="S1123">
        <v>0.17042577864704556</v>
      </c>
      <c r="T1123">
        <v>1.1981953633193343</v>
      </c>
      <c r="U1123">
        <v>0</v>
      </c>
      <c r="V1123">
        <v>1.6049890513468223E-2</v>
      </c>
      <c r="W1123">
        <v>6.5901530199744887E-2</v>
      </c>
      <c r="X1123">
        <v>-1.6445991333414907E-2</v>
      </c>
      <c r="Y1123">
        <v>2.7820626409835462E-2</v>
      </c>
    </row>
    <row r="1124" spans="1:25" x14ac:dyDescent="0.25">
      <c r="A1124" s="879"/>
      <c r="B1124" s="1133">
        <v>874</v>
      </c>
      <c r="C1124" s="883">
        <v>0.9904344404996539</v>
      </c>
      <c r="D1124" s="883">
        <v>1.0182509743124148</v>
      </c>
      <c r="E1124" s="883">
        <v>1.0090846775744404</v>
      </c>
      <c r="F1124" s="883">
        <v>1.0205758035463255</v>
      </c>
      <c r="G1124" s="883">
        <v>1.0200879833689784</v>
      </c>
      <c r="H1124" s="883">
        <v>0.99476134219939338</v>
      </c>
      <c r="I1124" s="883">
        <v>1.0040414962299509</v>
      </c>
      <c r="K1124">
        <v>1.6396281840464404</v>
      </c>
      <c r="L1124">
        <v>0</v>
      </c>
      <c r="M1124">
        <v>6.3360178195713502E-3</v>
      </c>
      <c r="N1124">
        <v>0.11972768901856716</v>
      </c>
      <c r="O1124">
        <v>3.0913211512869333E-2</v>
      </c>
      <c r="P1124">
        <v>1.8809220490439069E-2</v>
      </c>
      <c r="Q1124">
        <v>0</v>
      </c>
      <c r="R1124">
        <v>6.3360178195713502E-3</v>
      </c>
      <c r="S1124">
        <v>0.17054023240783958</v>
      </c>
      <c r="T1124">
        <v>1.210184333777369</v>
      </c>
      <c r="U1124">
        <v>0</v>
      </c>
      <c r="V1124">
        <v>1.590656312151521E-2</v>
      </c>
      <c r="W1124">
        <v>6.2733194879249263E-2</v>
      </c>
      <c r="X1124">
        <v>-1.5276854773274336E-2</v>
      </c>
      <c r="Y1124">
        <v>2.6090593611864395E-2</v>
      </c>
    </row>
    <row r="1125" spans="1:25" x14ac:dyDescent="0.25">
      <c r="A1125" s="879"/>
      <c r="B1125" s="1133">
        <v>875</v>
      </c>
      <c r="C1125" s="883">
        <v>1.0244873204195937</v>
      </c>
      <c r="D1125" s="883">
        <v>0.96937063819474178</v>
      </c>
      <c r="E1125" s="883">
        <v>0.98531789383193025</v>
      </c>
      <c r="F1125" s="883">
        <v>1.0360524199630827</v>
      </c>
      <c r="G1125" s="883">
        <v>1.028185053395843</v>
      </c>
      <c r="H1125" s="883">
        <v>0.98176660467039489</v>
      </c>
      <c r="I1125" s="883">
        <v>1.0240703400272642</v>
      </c>
      <c r="K1125">
        <v>1.6493170058868933</v>
      </c>
      <c r="L1125">
        <v>0</v>
      </c>
      <c r="M1125">
        <v>6.3091678797036633E-3</v>
      </c>
      <c r="N1125">
        <v>0.11509476971998367</v>
      </c>
      <c r="O1125">
        <v>3.0499402824084861E-2</v>
      </c>
      <c r="P1125">
        <v>1.8683574151774261E-2</v>
      </c>
      <c r="Q1125">
        <v>0</v>
      </c>
      <c r="R1125">
        <v>6.3091678797036633E-3</v>
      </c>
      <c r="S1125">
        <v>0.16787061525735883</v>
      </c>
      <c r="T1125">
        <v>1.2289942234392173</v>
      </c>
      <c r="U1125">
        <v>0</v>
      </c>
      <c r="V1125">
        <v>1.5723606738213068E-2</v>
      </c>
      <c r="W1125">
        <v>6.1022560621931593E-2</v>
      </c>
      <c r="X1125">
        <v>-1.4551777204271804E-2</v>
      </c>
      <c r="Y1125">
        <v>2.5980030338600392E-2</v>
      </c>
    </row>
    <row r="1126" spans="1:25" x14ac:dyDescent="0.25">
      <c r="A1126" s="879"/>
      <c r="B1126" s="1133">
        <v>876</v>
      </c>
      <c r="C1126" s="883">
        <v>0.98365136792945884</v>
      </c>
      <c r="D1126" s="883">
        <v>0.98562702606887853</v>
      </c>
      <c r="E1126" s="883">
        <v>1.0021948466086341</v>
      </c>
      <c r="F1126" s="883">
        <v>1.038135879305552</v>
      </c>
      <c r="G1126" s="883">
        <v>1.0152937348885296</v>
      </c>
      <c r="H1126" s="883">
        <v>1.0393672151104083</v>
      </c>
      <c r="I1126" s="883">
        <v>0.97436141521335484</v>
      </c>
      <c r="K1126">
        <v>1.6726086431191309</v>
      </c>
      <c r="L1126">
        <v>0</v>
      </c>
      <c r="M1126">
        <v>6.8041501234273986E-3</v>
      </c>
      <c r="N1126">
        <v>0.12726853238579905</v>
      </c>
      <c r="O1126">
        <v>3.1540584409870967E-2</v>
      </c>
      <c r="P1126">
        <v>1.897943285486332E-2</v>
      </c>
      <c r="Q1126">
        <v>0</v>
      </c>
      <c r="R1126">
        <v>6.8041501234273986E-3</v>
      </c>
      <c r="S1126">
        <v>0.16953359797879722</v>
      </c>
      <c r="T1126">
        <v>1.2311395781525019</v>
      </c>
      <c r="U1126">
        <v>0</v>
      </c>
      <c r="V1126">
        <v>1.5944519570087207E-2</v>
      </c>
      <c r="W1126">
        <v>6.6912376972590018E-2</v>
      </c>
      <c r="X1126">
        <v>-1.6728258320078668E-2</v>
      </c>
      <c r="Y1126">
        <v>2.8018279114699715E-2</v>
      </c>
    </row>
    <row r="1127" spans="1:25" x14ac:dyDescent="0.25">
      <c r="A1127" s="879"/>
      <c r="B1127" s="1133">
        <v>877</v>
      </c>
      <c r="C1127" s="883">
        <v>1.0102651058321142</v>
      </c>
      <c r="D1127" s="883">
        <v>0.96332017073976228</v>
      </c>
      <c r="E1127" s="883">
        <v>1.0158236990190745</v>
      </c>
      <c r="F1127" s="883">
        <v>0.97514524574765737</v>
      </c>
      <c r="G1127" s="883">
        <v>1.0060073759812151</v>
      </c>
      <c r="H1127" s="883">
        <v>1.0128822496865424</v>
      </c>
      <c r="I1127" s="883">
        <v>1.0299080429545369</v>
      </c>
      <c r="K1127">
        <v>1.5920443166105529</v>
      </c>
      <c r="L1127">
        <v>0</v>
      </c>
      <c r="M1127">
        <v>6.4451817072782554E-3</v>
      </c>
      <c r="N1127">
        <v>0.12301137150560035</v>
      </c>
      <c r="O1127">
        <v>3.0980182834801914E-2</v>
      </c>
      <c r="P1127">
        <v>1.820806752376267E-2</v>
      </c>
      <c r="Q1127">
        <v>0</v>
      </c>
      <c r="R1127">
        <v>6.4451817072782554E-3</v>
      </c>
      <c r="S1127">
        <v>0.17317367482026841</v>
      </c>
      <c r="T1127">
        <v>1.1561916484442711</v>
      </c>
      <c r="U1127">
        <v>0</v>
      </c>
      <c r="V1127">
        <v>1.5798518727077944E-2</v>
      </c>
      <c r="W1127">
        <v>6.423946780050413E-2</v>
      </c>
      <c r="X1127">
        <v>-1.6098726116727524E-2</v>
      </c>
      <c r="Y1127">
        <v>2.654011107099374E-2</v>
      </c>
    </row>
    <row r="1128" spans="1:25" x14ac:dyDescent="0.25">
      <c r="A1128" s="879"/>
      <c r="B1128" s="1133">
        <v>878</v>
      </c>
      <c r="C1128" s="883">
        <v>0.97476952012740181</v>
      </c>
      <c r="D1128" s="883">
        <v>1.0104289286000145</v>
      </c>
      <c r="E1128" s="883">
        <v>1.0015858743387711</v>
      </c>
      <c r="F1128" s="883">
        <v>0.99360657775901806</v>
      </c>
      <c r="G1128" s="883">
        <v>1.0031274429836268</v>
      </c>
      <c r="H1128" s="883">
        <v>1.0134892191189808</v>
      </c>
      <c r="I1128" s="883">
        <v>1.0107447027162371</v>
      </c>
      <c r="K1128">
        <v>1.6197638012830746</v>
      </c>
      <c r="L1128">
        <v>0</v>
      </c>
      <c r="M1128">
        <v>6.6249041822350474E-3</v>
      </c>
      <c r="N1128">
        <v>0.12380409014464516</v>
      </c>
      <c r="O1128">
        <v>3.1513675932843419E-2</v>
      </c>
      <c r="P1128">
        <v>1.8346266120167157E-2</v>
      </c>
      <c r="Q1128">
        <v>0</v>
      </c>
      <c r="R1128">
        <v>6.6249041822350474E-3</v>
      </c>
      <c r="S1128">
        <v>0.17562814496751056</v>
      </c>
      <c r="T1128">
        <v>1.1783429092100401</v>
      </c>
      <c r="U1128">
        <v>0</v>
      </c>
      <c r="V1128">
        <v>1.5995018971091225E-2</v>
      </c>
      <c r="W1128">
        <v>6.5110594336150018E-2</v>
      </c>
      <c r="X1128">
        <v>-1.6257074632832172E-2</v>
      </c>
      <c r="Y1128">
        <v>2.7280176233457788E-2</v>
      </c>
    </row>
    <row r="1129" spans="1:25" x14ac:dyDescent="0.25">
      <c r="A1129" s="879"/>
      <c r="B1129" s="1133">
        <v>879</v>
      </c>
      <c r="C1129" s="883">
        <v>0.97152119422043404</v>
      </c>
      <c r="D1129" s="883">
        <v>0.99625584920756594</v>
      </c>
      <c r="E1129" s="883">
        <v>1.0039829985859992</v>
      </c>
      <c r="F1129" s="883">
        <v>0.96244114390629365</v>
      </c>
      <c r="G1129" s="883">
        <v>0.97749702350765266</v>
      </c>
      <c r="H1129" s="883">
        <v>0.98042641711353418</v>
      </c>
      <c r="I1129" s="883">
        <v>0.9898769097390423</v>
      </c>
      <c r="K1129">
        <v>1.5731843595324857</v>
      </c>
      <c r="L1129">
        <v>0</v>
      </c>
      <c r="M1129">
        <v>6.4573051579283397E-3</v>
      </c>
      <c r="N1129">
        <v>0.12110126842947612</v>
      </c>
      <c r="O1129">
        <v>3.1796087470368814E-2</v>
      </c>
      <c r="P1129">
        <v>1.7818261465692285E-2</v>
      </c>
      <c r="Q1129">
        <v>0</v>
      </c>
      <c r="R1129">
        <v>6.4573051579283397E-3</v>
      </c>
      <c r="S1129">
        <v>0.17077383209310304</v>
      </c>
      <c r="T1129">
        <v>1.1413401915280521</v>
      </c>
      <c r="U1129">
        <v>0</v>
      </c>
      <c r="V1129">
        <v>1.6013718532334183E-2</v>
      </c>
      <c r="W1129">
        <v>6.36134459754676E-2</v>
      </c>
      <c r="X1129">
        <v>-1.5862479244885094E-2</v>
      </c>
      <c r="Y1129">
        <v>2.6590033282877026E-2</v>
      </c>
    </row>
    <row r="1130" spans="1:25" x14ac:dyDescent="0.25">
      <c r="A1130" s="879"/>
      <c r="B1130" s="1133">
        <v>880</v>
      </c>
      <c r="C1130" s="883">
        <v>0.97794104074333044</v>
      </c>
      <c r="D1130" s="883">
        <v>0.97948807226949541</v>
      </c>
      <c r="E1130" s="883">
        <v>0.99618507470794193</v>
      </c>
      <c r="F1130" s="883">
        <v>0.96741041142865947</v>
      </c>
      <c r="G1130" s="883">
        <v>1.0216441356376083</v>
      </c>
      <c r="H1130" s="883">
        <v>1.0261016196760042</v>
      </c>
      <c r="I1130" s="883">
        <v>0.98371414900167997</v>
      </c>
      <c r="K1130">
        <v>1.5883555239473441</v>
      </c>
      <c r="L1130">
        <v>0</v>
      </c>
      <c r="M1130">
        <v>6.8110664738583885E-3</v>
      </c>
      <c r="N1130">
        <v>0.12626859645419697</v>
      </c>
      <c r="O1130">
        <v>3.180939921413168E-2</v>
      </c>
      <c r="P1130">
        <v>1.7802204560472563E-2</v>
      </c>
      <c r="Q1130">
        <v>0</v>
      </c>
      <c r="R1130">
        <v>6.8110664738583885E-3</v>
      </c>
      <c r="S1130">
        <v>0.17144535612027803</v>
      </c>
      <c r="T1130">
        <v>1.1473733494114169</v>
      </c>
      <c r="U1130">
        <v>0</v>
      </c>
      <c r="V1130">
        <v>1.5976881406727081E-2</v>
      </c>
      <c r="W1130">
        <v>6.6585156357607367E-2</v>
      </c>
      <c r="X1130">
        <v>-1.695217899219794E-2</v>
      </c>
      <c r="Y1130">
        <v>2.8046759414710049E-2</v>
      </c>
    </row>
    <row r="1131" spans="1:25" x14ac:dyDescent="0.25">
      <c r="A1131" s="879"/>
      <c r="B1131" s="1133">
        <v>881</v>
      </c>
      <c r="C1131" s="883">
        <v>0.99623384422992678</v>
      </c>
      <c r="D1131" s="883">
        <v>0.98822212564483969</v>
      </c>
      <c r="E1131" s="883">
        <v>1.0041152195061445</v>
      </c>
      <c r="F1131" s="883">
        <v>0.98070920099946601</v>
      </c>
      <c r="G1131" s="883">
        <v>0.9745223802735602</v>
      </c>
      <c r="H1131" s="883">
        <v>1.0116197661065662</v>
      </c>
      <c r="I1131" s="883">
        <v>0.989863566794559</v>
      </c>
      <c r="K1131">
        <v>1.5938148425604115</v>
      </c>
      <c r="L1131">
        <v>0</v>
      </c>
      <c r="M1131">
        <v>6.5202392232602217E-3</v>
      </c>
      <c r="N1131">
        <v>0.12230549133927349</v>
      </c>
      <c r="O1131">
        <v>3.1107821019007997E-2</v>
      </c>
      <c r="P1131">
        <v>1.8077109115573163E-2</v>
      </c>
      <c r="Q1131">
        <v>0</v>
      </c>
      <c r="R1131">
        <v>6.5202392232602217E-3</v>
      </c>
      <c r="S1131">
        <v>0.16842086029822642</v>
      </c>
      <c r="T1131">
        <v>1.1630015166843575</v>
      </c>
      <c r="U1131">
        <v>0</v>
      </c>
      <c r="V1131">
        <v>1.5874520919123638E-2</v>
      </c>
      <c r="W1131">
        <v>6.424180219817445E-2</v>
      </c>
      <c r="X1131">
        <v>-1.6063463575394336E-2</v>
      </c>
      <c r="Y1131">
        <v>2.6849184562067672E-2</v>
      </c>
    </row>
    <row r="1132" spans="1:25" x14ac:dyDescent="0.25">
      <c r="A1132" s="879"/>
      <c r="B1132" s="1133">
        <v>882</v>
      </c>
      <c r="C1132" s="883">
        <v>1.0157408194644213</v>
      </c>
      <c r="D1132" s="883">
        <v>0.99652406892478973</v>
      </c>
      <c r="E1132" s="883">
        <v>1.0095193648983132</v>
      </c>
      <c r="F1132" s="883">
        <v>0.99733909870383519</v>
      </c>
      <c r="G1132" s="883">
        <v>1.0014245134233775</v>
      </c>
      <c r="H1132" s="883">
        <v>1.0115544071337659</v>
      </c>
      <c r="I1132" s="883">
        <v>1.0116038573887598</v>
      </c>
      <c r="K1132">
        <v>1.6092728200122495</v>
      </c>
      <c r="L1132">
        <v>0</v>
      </c>
      <c r="M1132">
        <v>6.3407527036332834E-3</v>
      </c>
      <c r="N1132">
        <v>0.11989429279178049</v>
      </c>
      <c r="O1132">
        <v>3.0403837425686794E-2</v>
      </c>
      <c r="P1132">
        <v>1.8417844487849288E-2</v>
      </c>
      <c r="Q1132">
        <v>0</v>
      </c>
      <c r="R1132">
        <v>6.3407527036332834E-3</v>
      </c>
      <c r="S1132">
        <v>0.16872801375262492</v>
      </c>
      <c r="T1132">
        <v>1.1826225387240445</v>
      </c>
      <c r="U1132">
        <v>0</v>
      </c>
      <c r="V1132">
        <v>1.5769428406329764E-2</v>
      </c>
      <c r="W1132">
        <v>6.2806980708985063E-2</v>
      </c>
      <c r="X1132">
        <v>-1.5480207306704704E-2</v>
      </c>
      <c r="Y1132">
        <v>2.6110091021653483E-2</v>
      </c>
    </row>
    <row r="1133" spans="1:25" x14ac:dyDescent="0.25">
      <c r="A1133" s="879"/>
      <c r="B1133" s="1133">
        <v>883</v>
      </c>
      <c r="C1133" s="883">
        <v>0.97228060222215273</v>
      </c>
      <c r="D1133" s="883">
        <v>1.0185469039680299</v>
      </c>
      <c r="E1133" s="883">
        <v>0.95446260536561156</v>
      </c>
      <c r="F1133" s="883">
        <v>1.0042248081814598</v>
      </c>
      <c r="G1133" s="883">
        <v>1.0097322549633199</v>
      </c>
      <c r="H1133" s="883">
        <v>1.0214164660709866</v>
      </c>
      <c r="I1133" s="883">
        <v>0.99451266007101147</v>
      </c>
      <c r="K1133">
        <v>1.6295579821592729</v>
      </c>
      <c r="L1133">
        <v>0</v>
      </c>
      <c r="M1133">
        <v>6.9495944201547174E-3</v>
      </c>
      <c r="N1133">
        <v>0.12110060431555145</v>
      </c>
      <c r="O1133">
        <v>3.153122551159173E-2</v>
      </c>
      <c r="P1133">
        <v>1.783777342684012E-2</v>
      </c>
      <c r="Q1133">
        <v>0</v>
      </c>
      <c r="R1133">
        <v>6.9495944201547174E-3</v>
      </c>
      <c r="S1133">
        <v>0.17358055322228527</v>
      </c>
      <c r="T1133">
        <v>1.191819360593072</v>
      </c>
      <c r="U1133">
        <v>0</v>
      </c>
      <c r="V1133">
        <v>1.600933567525268E-2</v>
      </c>
      <c r="W1133">
        <v>6.5210666985751078E-2</v>
      </c>
      <c r="X1133">
        <v>-1.6148730411574254E-2</v>
      </c>
      <c r="Y1133">
        <v>2.8617192840503059E-2</v>
      </c>
    </row>
    <row r="1134" spans="1:25" x14ac:dyDescent="0.25">
      <c r="A1134" s="879"/>
      <c r="B1134" s="1133">
        <v>884</v>
      </c>
      <c r="C1134" s="883">
        <v>0.96135541255316204</v>
      </c>
      <c r="D1134" s="883">
        <v>0.97275303763242205</v>
      </c>
      <c r="E1134" s="883">
        <v>1.0060960788110971</v>
      </c>
      <c r="F1134" s="883">
        <v>0.99797235423761577</v>
      </c>
      <c r="G1134" s="883">
        <v>1.0209249496126696</v>
      </c>
      <c r="H1134" s="883">
        <v>1.0238605290349017</v>
      </c>
      <c r="I1134" s="883">
        <v>1.0222391463572498</v>
      </c>
      <c r="K1134">
        <v>1.6400045170407864</v>
      </c>
      <c r="L1134">
        <v>0</v>
      </c>
      <c r="M1134">
        <v>6.8749910074743055E-3</v>
      </c>
      <c r="N1134">
        <v>0.12933872119290679</v>
      </c>
      <c r="O1134">
        <v>3.2438707941111103E-2</v>
      </c>
      <c r="P1134">
        <v>1.8553179606229042E-2</v>
      </c>
      <c r="Q1134">
        <v>0</v>
      </c>
      <c r="R1134">
        <v>6.8749910074743055E-3</v>
      </c>
      <c r="S1134">
        <v>0.18118778257655391</v>
      </c>
      <c r="T1134">
        <v>1.1834368154387296</v>
      </c>
      <c r="U1134">
        <v>0</v>
      </c>
      <c r="V1134">
        <v>1.6073056212566193E-2</v>
      </c>
      <c r="W1134">
        <v>6.7869393749054263E-2</v>
      </c>
      <c r="X1134">
        <v>-1.7203128942363123E-2</v>
      </c>
      <c r="Y1134">
        <v>2.8309989265997572E-2</v>
      </c>
    </row>
    <row r="1135" spans="1:25" x14ac:dyDescent="0.25">
      <c r="A1135" s="879"/>
      <c r="B1135" s="1133">
        <v>885</v>
      </c>
      <c r="C1135" s="883">
        <v>1.0224072745236938</v>
      </c>
      <c r="D1135" s="883">
        <v>0.98186176177186835</v>
      </c>
      <c r="E1135" s="883">
        <v>1.0022382066081936</v>
      </c>
      <c r="F1135" s="883">
        <v>1.0212218493183527</v>
      </c>
      <c r="G1135" s="883">
        <v>0.9931853897535271</v>
      </c>
      <c r="H1135" s="883">
        <v>0.99899486503195867</v>
      </c>
      <c r="I1135" s="883">
        <v>1.0106350731833234</v>
      </c>
      <c r="K1135">
        <v>1.6335630766668074</v>
      </c>
      <c r="L1135">
        <v>0</v>
      </c>
      <c r="M1135">
        <v>6.3024741682908862E-3</v>
      </c>
      <c r="N1135">
        <v>0.11789248346905269</v>
      </c>
      <c r="O1135">
        <v>3.0391447529592511E-2</v>
      </c>
      <c r="P1135">
        <v>1.8673067951173919E-2</v>
      </c>
      <c r="Q1135">
        <v>0</v>
      </c>
      <c r="R1135">
        <v>6.3024741682908862E-3</v>
      </c>
      <c r="S1135">
        <v>0.16689015058798207</v>
      </c>
      <c r="T1135">
        <v>1.2110801754738061</v>
      </c>
      <c r="U1135">
        <v>0</v>
      </c>
      <c r="V1135">
        <v>1.5734432748616901E-2</v>
      </c>
      <c r="W1135">
        <v>6.1981516037594026E-2</v>
      </c>
      <c r="X1135">
        <v>-1.5032663957449868E-2</v>
      </c>
      <c r="Y1135">
        <v>2.5952466826438793E-2</v>
      </c>
    </row>
    <row r="1136" spans="1:25" x14ac:dyDescent="0.25">
      <c r="A1136" s="879"/>
      <c r="B1136" s="1133">
        <v>886</v>
      </c>
      <c r="C1136" s="883">
        <v>1.0322783640241426</v>
      </c>
      <c r="D1136" s="883">
        <v>0.99999452303151093</v>
      </c>
      <c r="E1136" s="883">
        <v>0.97926546126887726</v>
      </c>
      <c r="F1136" s="883">
        <v>1.0022319833128197</v>
      </c>
      <c r="G1136" s="883">
        <v>1.0125877536789625</v>
      </c>
      <c r="H1136" s="883">
        <v>1.0012081731828273</v>
      </c>
      <c r="I1136" s="883">
        <v>1.00223019027824</v>
      </c>
      <c r="K1136">
        <v>1.6030912755997986</v>
      </c>
      <c r="L1136">
        <v>0</v>
      </c>
      <c r="M1136">
        <v>6.3308109224424983E-3</v>
      </c>
      <c r="N1136">
        <v>0.11445732780788287</v>
      </c>
      <c r="O1136">
        <v>2.9899647136899209E-2</v>
      </c>
      <c r="P1136">
        <v>1.8016459872213342E-2</v>
      </c>
      <c r="Q1136">
        <v>0</v>
      </c>
      <c r="R1136">
        <v>6.3308109224424983E-3</v>
      </c>
      <c r="S1136">
        <v>0.16383711995336644</v>
      </c>
      <c r="T1136">
        <v>1.188988686146502</v>
      </c>
      <c r="U1136">
        <v>0</v>
      </c>
      <c r="V1136">
        <v>1.5683444467108957E-2</v>
      </c>
      <c r="W1136">
        <v>6.0868604420112056E-2</v>
      </c>
      <c r="X1136">
        <v>-1.4729166740567732E-2</v>
      </c>
      <c r="Y1136">
        <v>2.6069152536280914E-2</v>
      </c>
    </row>
    <row r="1137" spans="1:25" x14ac:dyDescent="0.25">
      <c r="A1137" s="879"/>
      <c r="B1137" s="1133">
        <v>887</v>
      </c>
      <c r="C1137" s="883">
        <v>1.039678593126437</v>
      </c>
      <c r="D1137" s="883">
        <v>1.0074290006710787</v>
      </c>
      <c r="E1137" s="883">
        <v>1.0257186591931353</v>
      </c>
      <c r="F1137" s="883">
        <v>0.9813843746782771</v>
      </c>
      <c r="G1137" s="883">
        <v>0.97608995048150937</v>
      </c>
      <c r="H1137" s="883">
        <v>0.97382093193133945</v>
      </c>
      <c r="I1137" s="883">
        <v>1.0283676094976257</v>
      </c>
      <c r="K1137">
        <v>1.5744193977045426</v>
      </c>
      <c r="L1137">
        <v>0</v>
      </c>
      <c r="M1137">
        <v>5.8512539528612047E-3</v>
      </c>
      <c r="N1137">
        <v>0.1133223761074697</v>
      </c>
      <c r="O1137">
        <v>2.956076386456509E-2</v>
      </c>
      <c r="P1137">
        <v>1.8331724863211073E-2</v>
      </c>
      <c r="Q1137">
        <v>0</v>
      </c>
      <c r="R1137">
        <v>5.8512539528612047E-3</v>
      </c>
      <c r="S1137">
        <v>0.16532286567678553</v>
      </c>
      <c r="T1137">
        <v>1.1634095523153258</v>
      </c>
      <c r="U1137">
        <v>0</v>
      </c>
      <c r="V1137">
        <v>1.5645854211461127E-2</v>
      </c>
      <c r="W1137">
        <v>5.8891982809729557E-2</v>
      </c>
      <c r="X1137">
        <v>-1.4160144437509676E-2</v>
      </c>
      <c r="Y1137">
        <v>2.4094422293503719E-2</v>
      </c>
    </row>
    <row r="1138" spans="1:25" x14ac:dyDescent="0.25">
      <c r="A1138" s="879"/>
      <c r="B1138" s="1133">
        <v>888</v>
      </c>
      <c r="C1138" s="883">
        <v>0.9998333198644358</v>
      </c>
      <c r="D1138" s="883">
        <v>0.99650439794428514</v>
      </c>
      <c r="E1138" s="883">
        <v>0.97756228075722418</v>
      </c>
      <c r="F1138" s="883">
        <v>0.98374579906301141</v>
      </c>
      <c r="G1138" s="883">
        <v>0.9647529395894775</v>
      </c>
      <c r="H1138" s="883">
        <v>0.98166996356727332</v>
      </c>
      <c r="I1138" s="883">
        <v>0.96587803216680357</v>
      </c>
      <c r="K1138">
        <v>1.5825152117408834</v>
      </c>
      <c r="L1138">
        <v>0</v>
      </c>
      <c r="M1138">
        <v>6.4282335191030377E-3</v>
      </c>
      <c r="N1138">
        <v>0.11592532561067891</v>
      </c>
      <c r="O1138">
        <v>3.0914450133987057E-2</v>
      </c>
      <c r="P1138">
        <v>1.7682384796111086E-2</v>
      </c>
      <c r="Q1138">
        <v>0</v>
      </c>
      <c r="R1138">
        <v>6.4282335191030377E-3</v>
      </c>
      <c r="S1138">
        <v>0.16195520668045971</v>
      </c>
      <c r="T1138">
        <v>1.1670890690101714</v>
      </c>
      <c r="U1138">
        <v>0</v>
      </c>
      <c r="V1138">
        <v>1.5854820458448684E-2</v>
      </c>
      <c r="W1138">
        <v>6.1701919211678273E-2</v>
      </c>
      <c r="X1138">
        <v>-1.5078285609406201E-2</v>
      </c>
      <c r="Y1138">
        <v>2.6470321448753241E-2</v>
      </c>
    </row>
    <row r="1139" spans="1:25" x14ac:dyDescent="0.25">
      <c r="A1139" s="879"/>
      <c r="B1139" s="1133">
        <v>889</v>
      </c>
      <c r="C1139" s="883">
        <v>0.98949493536041</v>
      </c>
      <c r="D1139" s="883">
        <v>0.993228494270887</v>
      </c>
      <c r="E1139" s="883">
        <v>1.0047298455568778</v>
      </c>
      <c r="F1139" s="883">
        <v>1.0454640191853075</v>
      </c>
      <c r="G1139" s="883">
        <v>0.979481562769144</v>
      </c>
      <c r="H1139" s="883">
        <v>1.0104529523974328</v>
      </c>
      <c r="I1139" s="883">
        <v>0.99693131851839489</v>
      </c>
      <c r="K1139">
        <v>1.6751352699092368</v>
      </c>
      <c r="L1139">
        <v>0</v>
      </c>
      <c r="M1139">
        <v>6.5387893241994812E-3</v>
      </c>
      <c r="N1139">
        <v>0.12276514807004327</v>
      </c>
      <c r="O1139">
        <v>3.1255898561925878E-2</v>
      </c>
      <c r="P1139">
        <v>1.9146447408759312E-2</v>
      </c>
      <c r="Q1139">
        <v>0</v>
      </c>
      <c r="R1139">
        <v>6.5387893241994812E-3</v>
      </c>
      <c r="S1139">
        <v>0.17065675228658495</v>
      </c>
      <c r="T1139">
        <v>1.2397809044906936</v>
      </c>
      <c r="U1139">
        <v>0</v>
      </c>
      <c r="V1139">
        <v>1.5911789319904193E-2</v>
      </c>
      <c r="W1139">
        <v>6.446359546257753E-2</v>
      </c>
      <c r="X1139">
        <v>-1.5770836267191814E-2</v>
      </c>
      <c r="Y1139">
        <v>2.6925570575940659E-2</v>
      </c>
    </row>
    <row r="1140" spans="1:25" x14ac:dyDescent="0.25">
      <c r="A1140" s="879"/>
      <c r="B1140" s="1133">
        <v>890</v>
      </c>
      <c r="C1140" s="883">
        <v>1.0195053565717129</v>
      </c>
      <c r="D1140" s="883">
        <v>0.97548182346278012</v>
      </c>
      <c r="E1140" s="883">
        <v>1.0031817614889906</v>
      </c>
      <c r="F1140" s="883">
        <v>0.9866002121744768</v>
      </c>
      <c r="G1140" s="883">
        <v>1.026046246666283</v>
      </c>
      <c r="H1140" s="883">
        <v>1.014793123264309</v>
      </c>
      <c r="I1140" s="883">
        <v>1.0187779289847201</v>
      </c>
      <c r="K1140">
        <v>1.5988197043477919</v>
      </c>
      <c r="L1140">
        <v>0</v>
      </c>
      <c r="M1140">
        <v>6.4337777453940927E-3</v>
      </c>
      <c r="N1140">
        <v>0.12051692911296481</v>
      </c>
      <c r="O1140">
        <v>3.0556728821255263E-2</v>
      </c>
      <c r="P1140">
        <v>1.8173860326303141E-2</v>
      </c>
      <c r="Q1140">
        <v>0</v>
      </c>
      <c r="R1140">
        <v>6.4337777453940927E-3</v>
      </c>
      <c r="S1140">
        <v>0.16970886940287555</v>
      </c>
      <c r="T1140">
        <v>1.1700046388647201</v>
      </c>
      <c r="U1140">
        <v>0</v>
      </c>
      <c r="V1140">
        <v>1.5749610160751815E-2</v>
      </c>
      <c r="W1140">
        <v>6.3331656766891495E-2</v>
      </c>
      <c r="X1140">
        <v>-1.5715740693754955E-2</v>
      </c>
      <c r="Y1140">
        <v>2.6493151585784309E-2</v>
      </c>
    </row>
    <row r="1141" spans="1:25" x14ac:dyDescent="0.25">
      <c r="A1141" s="879"/>
      <c r="B1141" s="1133">
        <v>891</v>
      </c>
      <c r="C1141" s="883">
        <v>1.0070750771589994</v>
      </c>
      <c r="D1141" s="883">
        <v>0.99678578610518487</v>
      </c>
      <c r="E1141" s="883">
        <v>0.99008749805021112</v>
      </c>
      <c r="F1141" s="883">
        <v>1.0124971081198806</v>
      </c>
      <c r="G1141" s="883">
        <v>0.99776479153678166</v>
      </c>
      <c r="H1141" s="883">
        <v>1.0179166618714319</v>
      </c>
      <c r="I1141" s="883">
        <v>0.98657893127699081</v>
      </c>
      <c r="K1141">
        <v>1.6272583811050645</v>
      </c>
      <c r="L1141">
        <v>0</v>
      </c>
      <c r="M1141">
        <v>6.5449443807401855E-3</v>
      </c>
      <c r="N1141">
        <v>0.12024333762776854</v>
      </c>
      <c r="O1141">
        <v>3.0678671532063152E-2</v>
      </c>
      <c r="P1141">
        <v>1.8360395766882417E-2</v>
      </c>
      <c r="Q1141">
        <v>0</v>
      </c>
      <c r="R1141">
        <v>6.5449443807401855E-3</v>
      </c>
      <c r="S1141">
        <v>0.16630861860069943</v>
      </c>
      <c r="T1141">
        <v>1.2009622449856945</v>
      </c>
      <c r="U1141">
        <v>0</v>
      </c>
      <c r="V1141">
        <v>1.5815611929138079E-2</v>
      </c>
      <c r="W1141">
        <v>6.360070727413529E-2</v>
      </c>
      <c r="X1141">
        <v>-1.56621226145339E-2</v>
      </c>
      <c r="Y1141">
        <v>2.6950916003216051E-2</v>
      </c>
    </row>
    <row r="1142" spans="1:25" x14ac:dyDescent="0.25">
      <c r="A1142" s="879"/>
      <c r="B1142" s="1133">
        <v>892</v>
      </c>
      <c r="C1142" s="883">
        <v>1.0016466951571288</v>
      </c>
      <c r="D1142" s="883">
        <v>0.98511589588071335</v>
      </c>
      <c r="E1142" s="883">
        <v>1.0004478730600339</v>
      </c>
      <c r="F1142" s="883">
        <v>0.95715202844065927</v>
      </c>
      <c r="G1142" s="883">
        <v>0.98581855823199738</v>
      </c>
      <c r="H1142" s="883">
        <v>0.9543782205153124</v>
      </c>
      <c r="I1142" s="883">
        <v>0.9889724724121165</v>
      </c>
      <c r="K1142">
        <v>1.5492344687762725</v>
      </c>
      <c r="L1142">
        <v>0</v>
      </c>
      <c r="M1142">
        <v>6.1463242643162875E-3</v>
      </c>
      <c r="N1142">
        <v>0.11466707285258469</v>
      </c>
      <c r="O1142">
        <v>3.0981862050465041E-2</v>
      </c>
      <c r="P1142">
        <v>1.759578907938068E-2</v>
      </c>
      <c r="Q1142">
        <v>0</v>
      </c>
      <c r="R1142">
        <v>6.1463242643162875E-3</v>
      </c>
      <c r="S1142">
        <v>0.16409060290240599</v>
      </c>
      <c r="T1142">
        <v>1.1351307856983783</v>
      </c>
      <c r="U1142">
        <v>0</v>
      </c>
      <c r="V1142">
        <v>1.5844949221723172E-2</v>
      </c>
      <c r="W1142">
        <v>6.0339365816660523E-2</v>
      </c>
      <c r="X1142">
        <v>-1.4725428160845459E-2</v>
      </c>
      <c r="Y1142">
        <v>2.5309469315518196E-2</v>
      </c>
    </row>
    <row r="1143" spans="1:25" x14ac:dyDescent="0.25">
      <c r="A1143" s="879"/>
      <c r="B1143" s="1133">
        <v>893</v>
      </c>
      <c r="C1143" s="883">
        <v>0.97244691574529418</v>
      </c>
      <c r="D1143" s="883">
        <v>1.0229341077310277</v>
      </c>
      <c r="E1143" s="883">
        <v>1.0055011811577053</v>
      </c>
      <c r="F1143" s="883">
        <v>1.0149323339699861</v>
      </c>
      <c r="G1143" s="883">
        <v>1.0073439297910478</v>
      </c>
      <c r="H1143" s="883">
        <v>1.0055924421209044</v>
      </c>
      <c r="I1143" s="883">
        <v>1.0011883627146076</v>
      </c>
      <c r="K1143">
        <v>1.6416792346355038</v>
      </c>
      <c r="L1143">
        <v>0</v>
      </c>
      <c r="M1143">
        <v>6.530584823510579E-3</v>
      </c>
      <c r="N1143">
        <v>0.12275124639554631</v>
      </c>
      <c r="O1143">
        <v>3.1430468029034833E-2</v>
      </c>
      <c r="P1143">
        <v>1.8714695426970619E-2</v>
      </c>
      <c r="Q1143">
        <v>0</v>
      </c>
      <c r="R1143">
        <v>6.530584823510579E-3</v>
      </c>
      <c r="S1143">
        <v>0.17379166440436788</v>
      </c>
      <c r="T1143">
        <v>1.2035598655737785</v>
      </c>
      <c r="U1143">
        <v>0</v>
      </c>
      <c r="V1143">
        <v>1.6008376724995263E-2</v>
      </c>
      <c r="W1143">
        <v>6.4431660636807733E-2</v>
      </c>
      <c r="X1143">
        <v>-1.5900528458448936E-2</v>
      </c>
      <c r="Y1143">
        <v>2.6891785902450439E-2</v>
      </c>
    </row>
    <row r="1144" spans="1:25" x14ac:dyDescent="0.25">
      <c r="A1144" s="879"/>
      <c r="B1144" s="1133">
        <v>894</v>
      </c>
      <c r="C1144" s="883">
        <v>1.0268501183821868</v>
      </c>
      <c r="D1144" s="883">
        <v>1.0088310222958019</v>
      </c>
      <c r="E1144" s="883">
        <v>1.0378407571470525</v>
      </c>
      <c r="F1144" s="883">
        <v>0.96663689518634299</v>
      </c>
      <c r="G1144" s="883">
        <v>1.0114003457418184</v>
      </c>
      <c r="H1144" s="883">
        <v>1.0224890869430516</v>
      </c>
      <c r="I1144" s="883">
        <v>0.9852185939451864</v>
      </c>
      <c r="K1144">
        <v>1.5661791946794037</v>
      </c>
      <c r="L1144">
        <v>0</v>
      </c>
      <c r="M1144">
        <v>6.1508706329718252E-3</v>
      </c>
      <c r="N1144">
        <v>0.12127864875397602</v>
      </c>
      <c r="O1144">
        <v>2.9902329228204651E-2</v>
      </c>
      <c r="P1144">
        <v>1.8222566691500536E-2</v>
      </c>
      <c r="Q1144">
        <v>0</v>
      </c>
      <c r="R1144">
        <v>6.1508706329718252E-3</v>
      </c>
      <c r="S1144">
        <v>0.16306213458737434</v>
      </c>
      <c r="T1144">
        <v>1.1457106101115315</v>
      </c>
      <c r="U1144">
        <v>0</v>
      </c>
      <c r="V1144">
        <v>1.5711362296633512E-2</v>
      </c>
      <c r="W1144">
        <v>6.2653307987745974E-2</v>
      </c>
      <c r="X1144">
        <v>-1.5689955429982548E-2</v>
      </c>
      <c r="Y1144">
        <v>2.5328190452418256E-2</v>
      </c>
    </row>
    <row r="1145" spans="1:25" x14ac:dyDescent="0.25">
      <c r="A1145" s="879"/>
      <c r="B1145" s="1133">
        <v>895</v>
      </c>
      <c r="C1145" s="883">
        <v>1.0120127832404318</v>
      </c>
      <c r="D1145" s="883">
        <v>0.98072091967501751</v>
      </c>
      <c r="E1145" s="883">
        <v>0.96738222139232433</v>
      </c>
      <c r="F1145" s="883">
        <v>0.99332843832230822</v>
      </c>
      <c r="G1145" s="883">
        <v>0.98127987600347744</v>
      </c>
      <c r="H1145" s="883">
        <v>0.97209621780434241</v>
      </c>
      <c r="I1145" s="883">
        <v>0.99319623154894132</v>
      </c>
      <c r="K1145">
        <v>1.5929425086934179</v>
      </c>
      <c r="L1145">
        <v>0</v>
      </c>
      <c r="M1145">
        <v>6.390314886654736E-3</v>
      </c>
      <c r="N1145">
        <v>0.11351302896225625</v>
      </c>
      <c r="O1145">
        <v>3.0745883646906239E-2</v>
      </c>
      <c r="P1145">
        <v>1.7721371415202324E-2</v>
      </c>
      <c r="Q1145">
        <v>0</v>
      </c>
      <c r="R1145">
        <v>6.390314886654736E-3</v>
      </c>
      <c r="S1145">
        <v>0.16412670463013279</v>
      </c>
      <c r="T1145">
        <v>1.1786467993418801</v>
      </c>
      <c r="U1145">
        <v>0</v>
      </c>
      <c r="V1145">
        <v>1.5789199798954205E-2</v>
      </c>
      <c r="W1145">
        <v>6.0727666936863552E-2</v>
      </c>
      <c r="X1145">
        <v>-1.464232530837296E-2</v>
      </c>
      <c r="Y1145">
        <v>2.6314179269596109E-2</v>
      </c>
    </row>
    <row r="1146" spans="1:25" x14ac:dyDescent="0.25">
      <c r="A1146" s="879"/>
      <c r="B1146" s="1133">
        <v>896</v>
      </c>
      <c r="C1146" s="883">
        <v>0.9947611055479243</v>
      </c>
      <c r="D1146" s="883">
        <v>0.98707328467381128</v>
      </c>
      <c r="E1146" s="883">
        <v>1.0041207636416902</v>
      </c>
      <c r="F1146" s="883">
        <v>0.99555160643879925</v>
      </c>
      <c r="G1146" s="883">
        <v>0.98302487947588602</v>
      </c>
      <c r="H1146" s="883">
        <v>1.0057150305139453</v>
      </c>
      <c r="I1146" s="883">
        <v>0.99413183681995743</v>
      </c>
      <c r="K1146">
        <v>1.6117375277363652</v>
      </c>
      <c r="L1146">
        <v>0</v>
      </c>
      <c r="M1146">
        <v>6.495117977882504E-3</v>
      </c>
      <c r="N1146">
        <v>0.1218352718612704</v>
      </c>
      <c r="O1146">
        <v>3.1168369947269934E-2</v>
      </c>
      <c r="P1146">
        <v>1.8322062210922176E-2</v>
      </c>
      <c r="Q1146">
        <v>0</v>
      </c>
      <c r="R1146">
        <v>6.495117977882504E-3</v>
      </c>
      <c r="S1146">
        <v>0.1690658266714333</v>
      </c>
      <c r="T1146">
        <v>1.1806026970501466</v>
      </c>
      <c r="U1146">
        <v>0</v>
      </c>
      <c r="V1146">
        <v>1.5882622534979896E-2</v>
      </c>
      <c r="W1146">
        <v>6.3994640269613851E-2</v>
      </c>
      <c r="X1146">
        <v>-1.5879702554288305E-2</v>
      </c>
      <c r="Y1146">
        <v>2.6745739745017223E-2</v>
      </c>
    </row>
    <row r="1147" spans="1:25" x14ac:dyDescent="0.25">
      <c r="A1147" s="879"/>
      <c r="B1147" s="1133">
        <v>897</v>
      </c>
      <c r="C1147" s="883">
        <v>0.99838696380273684</v>
      </c>
      <c r="D1147" s="883">
        <v>0.98735568295235265</v>
      </c>
      <c r="E1147" s="883">
        <v>0.99549834708436979</v>
      </c>
      <c r="F1147" s="883">
        <v>1.0099714058557434</v>
      </c>
      <c r="G1147" s="883">
        <v>1.017159643385066</v>
      </c>
      <c r="H1147" s="883">
        <v>1.0162687641518493</v>
      </c>
      <c r="I1147" s="883">
        <v>1.0348376645190209</v>
      </c>
      <c r="K1147">
        <v>1.6368822016976137</v>
      </c>
      <c r="L1147">
        <v>0</v>
      </c>
      <c r="M1147">
        <v>6.5880405969505401E-3</v>
      </c>
      <c r="N1147">
        <v>0.12200974648831361</v>
      </c>
      <c r="O1147">
        <v>3.1059006133109204E-2</v>
      </c>
      <c r="P1147">
        <v>1.8524728656490692E-2</v>
      </c>
      <c r="Q1147">
        <v>0</v>
      </c>
      <c r="R1147">
        <v>6.5880405969505401E-3</v>
      </c>
      <c r="S1147">
        <v>0.17597432640802016</v>
      </c>
      <c r="T1147">
        <v>1.1978646740403465</v>
      </c>
      <c r="U1147">
        <v>0</v>
      </c>
      <c r="V1147">
        <v>1.586271950646272E-2</v>
      </c>
      <c r="W1147">
        <v>6.4361323256479488E-2</v>
      </c>
      <c r="X1147">
        <v>-1.5902701342339395E-2</v>
      </c>
      <c r="Y1147">
        <v>2.7128378550729772E-2</v>
      </c>
    </row>
    <row r="1148" spans="1:25" x14ac:dyDescent="0.25">
      <c r="A1148" s="879"/>
      <c r="B1148" s="1133">
        <v>898</v>
      </c>
      <c r="C1148" s="883">
        <v>0.99553179936525382</v>
      </c>
      <c r="D1148" s="883">
        <v>0.99845246628361006</v>
      </c>
      <c r="E1148" s="883">
        <v>0.99893123195708877</v>
      </c>
      <c r="F1148" s="883">
        <v>1.0189882341182688</v>
      </c>
      <c r="G1148" s="883">
        <v>0.98807708263514726</v>
      </c>
      <c r="H1148" s="883">
        <v>0.9970057871481327</v>
      </c>
      <c r="I1148" s="883">
        <v>0.97777332643593351</v>
      </c>
      <c r="K1148">
        <v>1.6332895121529944</v>
      </c>
      <c r="L1148">
        <v>0</v>
      </c>
      <c r="M1148">
        <v>6.4301527406485709E-3</v>
      </c>
      <c r="N1148">
        <v>0.11969299067868905</v>
      </c>
      <c r="O1148">
        <v>3.1006237243956174E-2</v>
      </c>
      <c r="P1148">
        <v>1.8575592102182036E-2</v>
      </c>
      <c r="Q1148">
        <v>0</v>
      </c>
      <c r="R1148">
        <v>6.4301527406485709E-3</v>
      </c>
      <c r="S1148">
        <v>0.16553572899412317</v>
      </c>
      <c r="T1148">
        <v>1.2084939216830974</v>
      </c>
      <c r="U1148">
        <v>0</v>
      </c>
      <c r="V1148">
        <v>1.5878379916465943E-2</v>
      </c>
      <c r="W1148">
        <v>6.3031536260813925E-2</v>
      </c>
      <c r="X1148">
        <v>-1.5403099187802872E-2</v>
      </c>
      <c r="Y1148">
        <v>2.6478224461469045E-2</v>
      </c>
    </row>
    <row r="1149" spans="1:25" x14ac:dyDescent="0.25">
      <c r="A1149" s="879"/>
      <c r="B1149" s="1133">
        <v>899</v>
      </c>
      <c r="C1149" s="883">
        <v>1.0205542976591628</v>
      </c>
      <c r="D1149" s="883">
        <v>1.0091220748121439</v>
      </c>
      <c r="E1149" s="883">
        <v>0.99696945329404396</v>
      </c>
      <c r="F1149" s="883">
        <v>0.99509123540601185</v>
      </c>
      <c r="G1149" s="883">
        <v>0.96887964508596458</v>
      </c>
      <c r="H1149" s="883">
        <v>0.99926811665926629</v>
      </c>
      <c r="I1149" s="883">
        <v>1.0355393960481152</v>
      </c>
      <c r="K1149">
        <v>1.6038777426457471</v>
      </c>
      <c r="L1149">
        <v>0</v>
      </c>
      <c r="M1149">
        <v>6.2677281217120547E-3</v>
      </c>
      <c r="N1149">
        <v>0.11633092472579597</v>
      </c>
      <c r="O1149">
        <v>3.0119301883916781E-2</v>
      </c>
      <c r="P1149">
        <v>1.8242091628702793E-2</v>
      </c>
      <c r="Q1149">
        <v>0</v>
      </c>
      <c r="R1149">
        <v>6.2677281217120547E-3</v>
      </c>
      <c r="S1149">
        <v>0.17103936963789784</v>
      </c>
      <c r="T1149">
        <v>1.1801889925618458</v>
      </c>
      <c r="U1149">
        <v>0</v>
      </c>
      <c r="V1149">
        <v>1.5744114100180475E-2</v>
      </c>
      <c r="W1149">
        <v>6.1320803303498136E-2</v>
      </c>
      <c r="X1149">
        <v>-1.4917243987284943E-2</v>
      </c>
      <c r="Y1149">
        <v>2.5809388791192905E-2</v>
      </c>
    </row>
    <row r="1150" spans="1:25" x14ac:dyDescent="0.25">
      <c r="A1150" s="879"/>
      <c r="B1150" s="1133">
        <v>900</v>
      </c>
      <c r="C1150" s="883">
        <v>1.04575573592508</v>
      </c>
      <c r="D1150" s="883">
        <v>1.0265058334326744</v>
      </c>
      <c r="E1150" s="883">
        <v>0.99905152870214264</v>
      </c>
      <c r="F1150" s="883">
        <v>1.0147202770484365</v>
      </c>
      <c r="G1150" s="883">
        <v>0.98512620948121099</v>
      </c>
      <c r="H1150" s="883">
        <v>1.0378527187890934</v>
      </c>
      <c r="I1150" s="883">
        <v>1.0149975475109145</v>
      </c>
      <c r="K1150">
        <v>1.6220642246475994</v>
      </c>
      <c r="L1150">
        <v>0</v>
      </c>
      <c r="M1150">
        <v>6.293245797203576E-3</v>
      </c>
      <c r="N1150">
        <v>0.11716544015405415</v>
      </c>
      <c r="O1150">
        <v>2.9191666552742166E-2</v>
      </c>
      <c r="P1150">
        <v>1.8506852084085222E-2</v>
      </c>
      <c r="Q1150">
        <v>0</v>
      </c>
      <c r="R1150">
        <v>6.293245797203576E-3</v>
      </c>
      <c r="S1150">
        <v>0.16559192108896231</v>
      </c>
      <c r="T1150">
        <v>1.2034299648217865</v>
      </c>
      <c r="U1150">
        <v>0</v>
      </c>
      <c r="V1150">
        <v>1.5615382550677242E-2</v>
      </c>
      <c r="W1150">
        <v>6.1696815049807022E-2</v>
      </c>
      <c r="X1150">
        <v>-1.5048283691406086E-2</v>
      </c>
      <c r="Y1150">
        <v>2.5914466036890068E-2</v>
      </c>
    </row>
    <row r="1151" spans="1:25" x14ac:dyDescent="0.25">
      <c r="A1151" s="879"/>
      <c r="B1151" s="1133">
        <v>901</v>
      </c>
      <c r="C1151" s="883">
        <v>0.99828987540225678</v>
      </c>
      <c r="D1151" s="883">
        <v>0.99599613384299868</v>
      </c>
      <c r="E1151" s="883">
        <v>1.0301881234232757</v>
      </c>
      <c r="F1151" s="883">
        <v>1.0104330971085285</v>
      </c>
      <c r="G1151" s="883">
        <v>1.0197428131461597</v>
      </c>
      <c r="H1151" s="883">
        <v>0.99137586039705816</v>
      </c>
      <c r="I1151" s="883">
        <v>1.0336293595635504</v>
      </c>
      <c r="K1151">
        <v>1.631859476904749</v>
      </c>
      <c r="L1151">
        <v>0</v>
      </c>
      <c r="M1151">
        <v>6.2109862128685352E-3</v>
      </c>
      <c r="N1151">
        <v>0.12108685449755656</v>
      </c>
      <c r="O1151">
        <v>3.09230351627688E-2</v>
      </c>
      <c r="P1151">
        <v>1.8987333227773122E-2</v>
      </c>
      <c r="Q1151">
        <v>0</v>
      </c>
      <c r="R1151">
        <v>6.2109862128685352E-3</v>
      </c>
      <c r="S1151">
        <v>0.17423065492985571</v>
      </c>
      <c r="T1151">
        <v>1.1977627972918856</v>
      </c>
      <c r="U1151">
        <v>0</v>
      </c>
      <c r="V1151">
        <v>1.5863250559404494E-2</v>
      </c>
      <c r="W1151">
        <v>6.2789127308881296E-2</v>
      </c>
      <c r="X1151">
        <v>-1.5359311783635489E-2</v>
      </c>
      <c r="Y1151">
        <v>2.5575735710258569E-2</v>
      </c>
    </row>
    <row r="1152" spans="1:25" x14ac:dyDescent="0.25">
      <c r="A1152" s="879"/>
      <c r="B1152" s="1133">
        <v>902</v>
      </c>
      <c r="C1152" s="883">
        <v>0.99616988911686999</v>
      </c>
      <c r="D1152" s="883">
        <v>0.99088676396787634</v>
      </c>
      <c r="E1152" s="883">
        <v>0.99803926065126158</v>
      </c>
      <c r="F1152" s="883">
        <v>0.9864124538002238</v>
      </c>
      <c r="G1152" s="883">
        <v>0.97628729585285334</v>
      </c>
      <c r="H1152" s="883">
        <v>0.97416144254126891</v>
      </c>
      <c r="I1152" s="883">
        <v>1.0087062728723519</v>
      </c>
      <c r="K1152">
        <v>1.5941805399647644</v>
      </c>
      <c r="L1152">
        <v>0</v>
      </c>
      <c r="M1152">
        <v>6.3050495011916143E-3</v>
      </c>
      <c r="N1152">
        <v>0.11720927290084709</v>
      </c>
      <c r="O1152">
        <v>3.1081557644984898E-2</v>
      </c>
      <c r="P1152">
        <v>1.8098960044920488E-2</v>
      </c>
      <c r="Q1152">
        <v>0</v>
      </c>
      <c r="R1152">
        <v>6.3050495011916143E-3</v>
      </c>
      <c r="S1152">
        <v>0.16939413301645029</v>
      </c>
      <c r="T1152">
        <v>1.1698762394761597</v>
      </c>
      <c r="U1152">
        <v>0</v>
      </c>
      <c r="V1152">
        <v>1.587487224214585E-2</v>
      </c>
      <c r="W1152">
        <v>6.1750950922271036E-2</v>
      </c>
      <c r="X1152">
        <v>-1.5068517871945781E-2</v>
      </c>
      <c r="Y1152">
        <v>2.5963071588931828E-2</v>
      </c>
    </row>
    <row r="1153" spans="1:25" x14ac:dyDescent="0.25">
      <c r="A1153" s="879"/>
      <c r="B1153" s="1133">
        <v>903</v>
      </c>
      <c r="C1153" s="883">
        <v>0.97266081209810307</v>
      </c>
      <c r="D1153" s="883">
        <v>1.0104201495542051</v>
      </c>
      <c r="E1153" s="883">
        <v>0.99413778905956163</v>
      </c>
      <c r="F1153" s="883">
        <v>1.0254839072443209</v>
      </c>
      <c r="G1153" s="883">
        <v>1.0044741140303122</v>
      </c>
      <c r="H1153" s="883">
        <v>1.0155699521978987</v>
      </c>
      <c r="I1153" s="883">
        <v>0.97344116767841082</v>
      </c>
      <c r="K1153">
        <v>1.6526734222414856</v>
      </c>
      <c r="L1153">
        <v>0</v>
      </c>
      <c r="M1153">
        <v>6.6963407657445817E-3</v>
      </c>
      <c r="N1153">
        <v>0.12376563829883253</v>
      </c>
      <c r="O1153">
        <v>3.15885502684322E-2</v>
      </c>
      <c r="P1153">
        <v>1.8668067351036464E-2</v>
      </c>
      <c r="Q1153">
        <v>0</v>
      </c>
      <c r="R1153">
        <v>6.6963407657445817E-3</v>
      </c>
      <c r="S1153">
        <v>0.16962516901876731</v>
      </c>
      <c r="T1153">
        <v>1.2162890557237169</v>
      </c>
      <c r="U1153">
        <v>0</v>
      </c>
      <c r="V1153">
        <v>1.6007143898105581E-2</v>
      </c>
      <c r="W1153">
        <v>6.5331796429244818E-2</v>
      </c>
      <c r="X1153">
        <v>-1.6176338115761881E-2</v>
      </c>
      <c r="Y1153">
        <v>2.7574339369112192E-2</v>
      </c>
    </row>
    <row r="1154" spans="1:25" x14ac:dyDescent="0.25">
      <c r="A1154" s="879"/>
      <c r="B1154" s="1133">
        <v>904</v>
      </c>
      <c r="C1154" s="883">
        <v>1.0108686200698813</v>
      </c>
      <c r="D1154" s="883">
        <v>1.006621180019821</v>
      </c>
      <c r="E1154" s="883">
        <v>1.0051831383044325</v>
      </c>
      <c r="F1154" s="883">
        <v>1.0145283108639691</v>
      </c>
      <c r="G1154" s="883">
        <v>0.97412313983934073</v>
      </c>
      <c r="H1154" s="883">
        <v>1.017189612681169</v>
      </c>
      <c r="I1154" s="883">
        <v>0.98826735211518701</v>
      </c>
      <c r="K1154">
        <v>1.6280206448122436</v>
      </c>
      <c r="L1154">
        <v>0</v>
      </c>
      <c r="M1154">
        <v>6.4022905687840075E-3</v>
      </c>
      <c r="N1154">
        <v>0.12028311567125538</v>
      </c>
      <c r="O1154">
        <v>3.0431163808440756E-2</v>
      </c>
      <c r="P1154">
        <v>1.8594053256366663E-2</v>
      </c>
      <c r="Q1154">
        <v>0</v>
      </c>
      <c r="R1154">
        <v>6.4022905687840075E-3</v>
      </c>
      <c r="S1154">
        <v>0.16584121673165395</v>
      </c>
      <c r="T1154">
        <v>1.2030867430434686</v>
      </c>
      <c r="U1154">
        <v>0</v>
      </c>
      <c r="V1154">
        <v>1.5795297038976416E-2</v>
      </c>
      <c r="W1154">
        <v>6.3146099691265598E-2</v>
      </c>
      <c r="X1154">
        <v>-1.5520537426195217E-2</v>
      </c>
      <c r="Y1154">
        <v>2.6363492997012485E-2</v>
      </c>
    </row>
    <row r="1155" spans="1:25" x14ac:dyDescent="0.25">
      <c r="A1155" s="879"/>
      <c r="B1155" s="1133">
        <v>905</v>
      </c>
      <c r="C1155" s="883">
        <v>0.97462212660001046</v>
      </c>
      <c r="D1155" s="883">
        <v>0.97354353914819514</v>
      </c>
      <c r="E1155" s="883">
        <v>0.99758266366781712</v>
      </c>
      <c r="F1155" s="883">
        <v>1.0043073791205281</v>
      </c>
      <c r="G1155" s="883">
        <v>1.0088369717684968</v>
      </c>
      <c r="H1155" s="883">
        <v>0.98627599493466045</v>
      </c>
      <c r="I1155" s="883">
        <v>1.0155480070359613</v>
      </c>
      <c r="K1155">
        <v>1.6306102241725067</v>
      </c>
      <c r="L1155">
        <v>0</v>
      </c>
      <c r="M1155">
        <v>6.5788564416421873E-3</v>
      </c>
      <c r="N1155">
        <v>0.1222165610055129</v>
      </c>
      <c r="O1155">
        <v>3.1994314902948497E-2</v>
      </c>
      <c r="P1155">
        <v>1.8455803276883304E-2</v>
      </c>
      <c r="Q1155">
        <v>0</v>
      </c>
      <c r="R1155">
        <v>6.5788564416421873E-3</v>
      </c>
      <c r="S1155">
        <v>0.17523454329126958</v>
      </c>
      <c r="T1155">
        <v>1.1911079858086744</v>
      </c>
      <c r="U1155">
        <v>0</v>
      </c>
      <c r="V1155">
        <v>1.5995864768296338E-2</v>
      </c>
      <c r="W1155">
        <v>6.4403624098412271E-2</v>
      </c>
      <c r="X1155">
        <v>-1.5889032813379181E-2</v>
      </c>
      <c r="Y1155">
        <v>2.7090559833888677E-2</v>
      </c>
    </row>
    <row r="1156" spans="1:25" x14ac:dyDescent="0.25">
      <c r="A1156" s="879"/>
      <c r="B1156" s="1133">
        <v>906</v>
      </c>
      <c r="C1156" s="883">
        <v>1.0014776747040162</v>
      </c>
      <c r="D1156" s="883">
        <v>0.99701095282503926</v>
      </c>
      <c r="E1156" s="883">
        <v>1.0036838117331819</v>
      </c>
      <c r="F1156" s="883">
        <v>1.007228807268042</v>
      </c>
      <c r="G1156" s="883">
        <v>1.0344188596093884</v>
      </c>
      <c r="H1156" s="883">
        <v>0.99442999609423777</v>
      </c>
      <c r="I1156" s="883">
        <v>1.0027304797585528</v>
      </c>
      <c r="K1156">
        <v>1.6207880650652</v>
      </c>
      <c r="L1156">
        <v>0</v>
      </c>
      <c r="M1156">
        <v>6.3531379853036061E-3</v>
      </c>
      <c r="N1156">
        <v>0.11909491735273783</v>
      </c>
      <c r="O1156">
        <v>3.0835905403314649E-2</v>
      </c>
      <c r="P1156">
        <v>1.8495375350682366E-2</v>
      </c>
      <c r="Q1156">
        <v>0</v>
      </c>
      <c r="R1156">
        <v>6.3531379853036061E-3</v>
      </c>
      <c r="S1156">
        <v>0.168623085921105</v>
      </c>
      <c r="T1156">
        <v>1.1944586040389435</v>
      </c>
      <c r="U1156">
        <v>0</v>
      </c>
      <c r="V1156">
        <v>1.5845867785822945E-2</v>
      </c>
      <c r="W1156">
        <v>6.256880878652496E-2</v>
      </c>
      <c r="X1156">
        <v>-1.529559098100583E-2</v>
      </c>
      <c r="Y1156">
        <v>2.6161091407073914E-2</v>
      </c>
    </row>
    <row r="1157" spans="1:25" x14ac:dyDescent="0.25">
      <c r="A1157" s="879"/>
      <c r="B1157" s="1133">
        <v>907</v>
      </c>
      <c r="C1157" s="883">
        <v>1.0297796072185452</v>
      </c>
      <c r="D1157" s="883">
        <v>0.96300967949620064</v>
      </c>
      <c r="E1157" s="883">
        <v>1.0053318389274013</v>
      </c>
      <c r="F1157" s="883">
        <v>1.0286932765505392</v>
      </c>
      <c r="G1157" s="883">
        <v>0.95749717495638254</v>
      </c>
      <c r="H1157" s="883">
        <v>0.99274617913290408</v>
      </c>
      <c r="I1157" s="883">
        <v>0.99775535188922149</v>
      </c>
      <c r="K1157">
        <v>1.6383102922359021</v>
      </c>
      <c r="L1157">
        <v>0</v>
      </c>
      <c r="M1157">
        <v>6.2553713792783804E-3</v>
      </c>
      <c r="N1157">
        <v>0.11754875225796227</v>
      </c>
      <c r="O1157">
        <v>3.0406144583487012E-2</v>
      </c>
      <c r="P1157">
        <v>1.8787865238845496E-2</v>
      </c>
      <c r="Q1157">
        <v>0</v>
      </c>
      <c r="R1157">
        <v>6.2553713792783804E-3</v>
      </c>
      <c r="S1157">
        <v>0.16343026702310251</v>
      </c>
      <c r="T1157">
        <v>1.2198815447223958</v>
      </c>
      <c r="U1157">
        <v>0</v>
      </c>
      <c r="V1157">
        <v>1.5696259181134743E-2</v>
      </c>
      <c r="W1157">
        <v>6.1706069182359768E-2</v>
      </c>
      <c r="X1157">
        <v>-1.4905115878655898E-2</v>
      </c>
      <c r="Y1157">
        <v>2.5758505925269196E-2</v>
      </c>
    </row>
    <row r="1158" spans="1:25" x14ac:dyDescent="0.25">
      <c r="A1158" s="879"/>
      <c r="B1158" s="1133">
        <v>908</v>
      </c>
      <c r="C1158" s="883">
        <v>1.0257343549471472</v>
      </c>
      <c r="D1158" s="883">
        <v>1.0089112345272047</v>
      </c>
      <c r="E1158" s="883">
        <v>1.0363671233353366</v>
      </c>
      <c r="F1158" s="883">
        <v>0.98096836375899399</v>
      </c>
      <c r="G1158" s="883">
        <v>1.0370505289791947</v>
      </c>
      <c r="H1158" s="883">
        <v>0.98802214498542817</v>
      </c>
      <c r="I1158" s="883">
        <v>1.0180444687993881</v>
      </c>
      <c r="K1158">
        <v>1.5811070254581481</v>
      </c>
      <c r="L1158">
        <v>0</v>
      </c>
      <c r="M1158">
        <v>5.9574809213597006E-3</v>
      </c>
      <c r="N1158">
        <v>0.11721005797039216</v>
      </c>
      <c r="O1158">
        <v>2.9935275873758303E-2</v>
      </c>
      <c r="P1158">
        <v>1.8486789275629113E-2</v>
      </c>
      <c r="Q1158">
        <v>0</v>
      </c>
      <c r="R1158">
        <v>5.9574809213597006E-3</v>
      </c>
      <c r="S1158">
        <v>0.16670000957748826</v>
      </c>
      <c r="T1158">
        <v>1.1627236752911663</v>
      </c>
      <c r="U1158">
        <v>0</v>
      </c>
      <c r="V1158">
        <v>1.5717137352725764E-2</v>
      </c>
      <c r="W1158">
        <v>6.0595112888866355E-2</v>
      </c>
      <c r="X1158">
        <v>-1.4792878813964679E-2</v>
      </c>
      <c r="Y1158">
        <v>2.4531846042084988E-2</v>
      </c>
    </row>
    <row r="1159" spans="1:25" x14ac:dyDescent="0.25">
      <c r="A1159" s="879"/>
      <c r="B1159" s="1133">
        <v>909</v>
      </c>
      <c r="C1159" s="883">
        <v>1.0186808491070778</v>
      </c>
      <c r="D1159" s="883">
        <v>0.99802217318078656</v>
      </c>
      <c r="E1159" s="883">
        <v>1.0141179036351071</v>
      </c>
      <c r="F1159" s="883">
        <v>1.0300551652408705</v>
      </c>
      <c r="G1159" s="883">
        <v>1.0193395967581087</v>
      </c>
      <c r="H1159" s="883">
        <v>1.0132915288457811</v>
      </c>
      <c r="I1159" s="883">
        <v>1.0123268339051767</v>
      </c>
      <c r="K1159">
        <v>1.6482338897242477</v>
      </c>
      <c r="L1159">
        <v>0</v>
      </c>
      <c r="M1159">
        <v>6.3036610276806567E-3</v>
      </c>
      <c r="N1159">
        <v>0.12000702083293009</v>
      </c>
      <c r="O1159">
        <v>3.0293876825592047E-2</v>
      </c>
      <c r="P1159">
        <v>1.9000630690011993E-2</v>
      </c>
      <c r="Q1159">
        <v>0</v>
      </c>
      <c r="R1159">
        <v>6.3036610276806567E-3</v>
      </c>
      <c r="S1159">
        <v>0.16845071113302162</v>
      </c>
      <c r="T1159">
        <v>1.2213287359796201</v>
      </c>
      <c r="U1159">
        <v>0</v>
      </c>
      <c r="V1159">
        <v>1.575393821782696E-2</v>
      </c>
      <c r="W1159">
        <v>6.2723314551550308E-2</v>
      </c>
      <c r="X1159">
        <v>-1.5281692608457855E-2</v>
      </c>
      <c r="Y1159">
        <v>2.5957354102152778E-2</v>
      </c>
    </row>
    <row r="1160" spans="1:25" x14ac:dyDescent="0.25">
      <c r="A1160" s="879"/>
      <c r="B1160" s="1133">
        <v>910</v>
      </c>
      <c r="C1160" s="883">
        <v>1.0241859462240799</v>
      </c>
      <c r="D1160" s="883">
        <v>1.0196840911720693</v>
      </c>
      <c r="E1160" s="883">
        <v>1.0216929618588977</v>
      </c>
      <c r="F1160" s="883">
        <v>0.9944919733475458</v>
      </c>
      <c r="G1160" s="883">
        <v>1.039135014515838</v>
      </c>
      <c r="H1160" s="883">
        <v>0.98767867448471969</v>
      </c>
      <c r="I1160" s="883">
        <v>1.0006444243175334</v>
      </c>
      <c r="K1160">
        <v>1.593255357591755</v>
      </c>
      <c r="L1160">
        <v>0</v>
      </c>
      <c r="M1160">
        <v>6.0130742440655206E-3</v>
      </c>
      <c r="N1160">
        <v>0.11576511309675412</v>
      </c>
      <c r="O1160">
        <v>2.9866726791406763E-2</v>
      </c>
      <c r="P1160">
        <v>1.8471811412384378E-2</v>
      </c>
      <c r="Q1160">
        <v>0</v>
      </c>
      <c r="R1160">
        <v>6.0130742440655206E-3</v>
      </c>
      <c r="S1160">
        <v>0.16396432807580458</v>
      </c>
      <c r="T1160">
        <v>1.1790223095990526</v>
      </c>
      <c r="U1160">
        <v>0</v>
      </c>
      <c r="V1160">
        <v>1.572517257576881E-2</v>
      </c>
      <c r="W1160">
        <v>6.0280677182969949E-2</v>
      </c>
      <c r="X1160">
        <v>-1.4601550592132292E-2</v>
      </c>
      <c r="Y1160">
        <v>2.476076944974499E-2</v>
      </c>
    </row>
    <row r="1161" spans="1:25" x14ac:dyDescent="0.25">
      <c r="A1161" s="879"/>
      <c r="B1161" s="1133">
        <v>911</v>
      </c>
      <c r="C1161" s="883">
        <v>1.0198407089933463</v>
      </c>
      <c r="D1161" s="883">
        <v>1.0328114192833258</v>
      </c>
      <c r="E1161" s="883">
        <v>0.97941575111755019</v>
      </c>
      <c r="F1161" s="883">
        <v>0.99055368192952664</v>
      </c>
      <c r="G1161" s="883">
        <v>1.0295015833737862</v>
      </c>
      <c r="H1161" s="883">
        <v>0.97550633946673804</v>
      </c>
      <c r="I1161" s="883">
        <v>1.0053655053139223</v>
      </c>
      <c r="K1161">
        <v>1.5848350257057973</v>
      </c>
      <c r="L1161">
        <v>0</v>
      </c>
      <c r="M1161">
        <v>6.153516828996574E-3</v>
      </c>
      <c r="N1161">
        <v>0.111276766319716</v>
      </c>
      <c r="O1161">
        <v>2.9875796783548108E-2</v>
      </c>
      <c r="P1161">
        <v>1.784694290507613E-2</v>
      </c>
      <c r="Q1161">
        <v>0</v>
      </c>
      <c r="R1161">
        <v>6.153516828996574E-3</v>
      </c>
      <c r="S1161">
        <v>0.16459151485328782</v>
      </c>
      <c r="T1161">
        <v>1.1751314606058596</v>
      </c>
      <c r="U1161">
        <v>0</v>
      </c>
      <c r="V1161">
        <v>1.574785180951142E-2</v>
      </c>
      <c r="W1161">
        <v>5.9172722121892077E-2</v>
      </c>
      <c r="X1161">
        <v>-1.4147116709737544E-2</v>
      </c>
      <c r="Y1161">
        <v>2.5339087016642833E-2</v>
      </c>
    </row>
    <row r="1162" spans="1:25" x14ac:dyDescent="0.25">
      <c r="A1162" s="879"/>
      <c r="B1162" s="1133">
        <v>912</v>
      </c>
      <c r="C1162" s="883">
        <v>1.0246713536541958</v>
      </c>
      <c r="D1162" s="883">
        <v>0.99769687759048564</v>
      </c>
      <c r="E1162" s="883">
        <v>0.99334261119399592</v>
      </c>
      <c r="F1162" s="883">
        <v>1.01613858377323</v>
      </c>
      <c r="G1162" s="883">
        <v>0.97438728079406034</v>
      </c>
      <c r="H1162" s="883">
        <v>0.98713058968269385</v>
      </c>
      <c r="I1162" s="883">
        <v>0.96635157699669905</v>
      </c>
      <c r="K1162">
        <v>1.6142663936697552</v>
      </c>
      <c r="L1162">
        <v>0</v>
      </c>
      <c r="M1162">
        <v>6.2177716974224119E-3</v>
      </c>
      <c r="N1162">
        <v>0.11478508427246856</v>
      </c>
      <c r="O1162">
        <v>3.0138192356351377E-2</v>
      </c>
      <c r="P1162">
        <v>1.8356203654030144E-2</v>
      </c>
      <c r="Q1162">
        <v>0</v>
      </c>
      <c r="R1162">
        <v>6.2177716974224119E-3</v>
      </c>
      <c r="S1162">
        <v>0.15841062377282233</v>
      </c>
      <c r="T1162">
        <v>1.2052199476777055</v>
      </c>
      <c r="U1162">
        <v>0</v>
      </c>
      <c r="V1162">
        <v>1.5722651017237511E-2</v>
      </c>
      <c r="W1162">
        <v>6.0615252559913589E-2</v>
      </c>
      <c r="X1162">
        <v>-1.4585238768654179E-2</v>
      </c>
      <c r="Y1162">
        <v>2.5603677127880205E-2</v>
      </c>
    </row>
    <row r="1163" spans="1:25" x14ac:dyDescent="0.25">
      <c r="A1163" s="879"/>
      <c r="B1163" s="1133">
        <v>913</v>
      </c>
      <c r="C1163" s="883">
        <v>0.95809318345262051</v>
      </c>
      <c r="D1163" s="883">
        <v>1.0267954802094517</v>
      </c>
      <c r="E1163" s="883">
        <v>0.95944220183659301</v>
      </c>
      <c r="F1163" s="883">
        <v>0.99914622164778111</v>
      </c>
      <c r="G1163" s="883">
        <v>1.0011811080589572</v>
      </c>
      <c r="H1163" s="883">
        <v>1.0335018632881328</v>
      </c>
      <c r="I1163" s="883">
        <v>1.0232195528698338</v>
      </c>
      <c r="K1163">
        <v>1.6369967063893516</v>
      </c>
      <c r="L1163">
        <v>0</v>
      </c>
      <c r="M1163">
        <v>7.0796385594081059E-3</v>
      </c>
      <c r="N1163">
        <v>0.12428309332248523</v>
      </c>
      <c r="O1163">
        <v>3.1891345062257957E-2</v>
      </c>
      <c r="P1163">
        <v>1.7937554366059184E-2</v>
      </c>
      <c r="Q1163">
        <v>0</v>
      </c>
      <c r="R1163">
        <v>7.0796385594081059E-3</v>
      </c>
      <c r="S1163">
        <v>0.18189199766305761</v>
      </c>
      <c r="T1163">
        <v>1.1856986692109384</v>
      </c>
      <c r="U1163">
        <v>0</v>
      </c>
      <c r="V1163">
        <v>1.6092364723055266E-2</v>
      </c>
      <c r="W1163">
        <v>6.6756151403415537E-2</v>
      </c>
      <c r="X1163">
        <v>-1.6707160820872313E-2</v>
      </c>
      <c r="Y1163">
        <v>2.9152691458954608E-2</v>
      </c>
    </row>
    <row r="1164" spans="1:25" x14ac:dyDescent="0.25">
      <c r="A1164" s="879"/>
      <c r="B1164" s="1133">
        <v>914</v>
      </c>
      <c r="C1164" s="883">
        <v>1.0125488443175872</v>
      </c>
      <c r="D1164" s="883">
        <v>1.0112492152896155</v>
      </c>
      <c r="E1164" s="883">
        <v>0.96090869719557537</v>
      </c>
      <c r="F1164" s="883">
        <v>0.99113428401184023</v>
      </c>
      <c r="G1164" s="883">
        <v>0.98064691032432638</v>
      </c>
      <c r="H1164" s="883">
        <v>0.99886183679214824</v>
      </c>
      <c r="I1164" s="883">
        <v>1.0291544595700557</v>
      </c>
      <c r="K1164">
        <v>1.5991463644054014</v>
      </c>
      <c r="L1164">
        <v>0</v>
      </c>
      <c r="M1164">
        <v>6.5102140871908772E-3</v>
      </c>
      <c r="N1164">
        <v>0.11453614774531663</v>
      </c>
      <c r="O1164">
        <v>3.0359860729010049E-2</v>
      </c>
      <c r="P1164">
        <v>1.769210508367814E-2</v>
      </c>
      <c r="Q1164">
        <v>0</v>
      </c>
      <c r="R1164">
        <v>6.5102140871908772E-3</v>
      </c>
      <c r="S1164">
        <v>0.17124438800537142</v>
      </c>
      <c r="T1164">
        <v>1.1761635427813701</v>
      </c>
      <c r="U1164">
        <v>0</v>
      </c>
      <c r="V1164">
        <v>1.5786347872412315E-2</v>
      </c>
      <c r="W1164">
        <v>6.1475251749771358E-2</v>
      </c>
      <c r="X1164">
        <v>-1.4919182397671031E-2</v>
      </c>
      <c r="Y1164">
        <v>2.6807902836141807E-2</v>
      </c>
    </row>
    <row r="1165" spans="1:25" x14ac:dyDescent="0.25">
      <c r="A1165" s="879"/>
      <c r="B1165" s="1133">
        <v>915</v>
      </c>
      <c r="C1165" s="883">
        <v>0.98597797236357398</v>
      </c>
      <c r="D1165" s="883">
        <v>0.99185013211996109</v>
      </c>
      <c r="E1165" s="883">
        <v>1.0382072924343067</v>
      </c>
      <c r="F1165" s="883">
        <v>1.0331843032821786</v>
      </c>
      <c r="G1165" s="883">
        <v>0.96609044293350677</v>
      </c>
      <c r="H1165" s="883">
        <v>1.0100923660302303</v>
      </c>
      <c r="I1165" s="883">
        <v>1.0020719754986152</v>
      </c>
      <c r="K1165">
        <v>1.6643843496472774</v>
      </c>
      <c r="L1165">
        <v>0</v>
      </c>
      <c r="M1165">
        <v>6.3742270826110514E-3</v>
      </c>
      <c r="N1165">
        <v>0.12575071237691926</v>
      </c>
      <c r="O1165">
        <v>3.1353704096669627E-2</v>
      </c>
      <c r="P1165">
        <v>1.944128102936489E-2</v>
      </c>
      <c r="Q1165">
        <v>0</v>
      </c>
      <c r="R1165">
        <v>6.3742270826110514E-3</v>
      </c>
      <c r="S1165">
        <v>0.17217903104485519</v>
      </c>
      <c r="T1165">
        <v>1.2245792422821029</v>
      </c>
      <c r="U1165">
        <v>0</v>
      </c>
      <c r="V1165">
        <v>1.5931441604818238E-2</v>
      </c>
      <c r="W1165">
        <v>6.4951961673581665E-2</v>
      </c>
      <c r="X1165">
        <v>-1.605095701710282E-2</v>
      </c>
      <c r="Y1165">
        <v>2.6247932556066583E-2</v>
      </c>
    </row>
    <row r="1166" spans="1:25" x14ac:dyDescent="0.25">
      <c r="A1166" s="879"/>
      <c r="B1166" s="1133">
        <v>916</v>
      </c>
      <c r="C1166" s="883">
        <v>0.96283881519860015</v>
      </c>
      <c r="D1166" s="883">
        <v>0.98578479777709593</v>
      </c>
      <c r="E1166" s="883">
        <v>0.99075292290284012</v>
      </c>
      <c r="F1166" s="883">
        <v>0.96963250824342206</v>
      </c>
      <c r="G1166" s="883">
        <v>1.0194937717099626</v>
      </c>
      <c r="H1166" s="883">
        <v>1.0187216716106398</v>
      </c>
      <c r="I1166" s="883">
        <v>0.97443111684388894</v>
      </c>
      <c r="K1166">
        <v>1.5929213448580497</v>
      </c>
      <c r="L1166">
        <v>0</v>
      </c>
      <c r="M1166">
        <v>6.8810738451276924E-3</v>
      </c>
      <c r="N1166">
        <v>0.12654346402782357</v>
      </c>
      <c r="O1166">
        <v>3.2230347645968369E-2</v>
      </c>
      <c r="P1166">
        <v>1.7773180433507896E-2</v>
      </c>
      <c r="Q1166">
        <v>0</v>
      </c>
      <c r="R1166">
        <v>6.8810738451276924E-3</v>
      </c>
      <c r="S1166">
        <v>0.17197705044609538</v>
      </c>
      <c r="T1166">
        <v>1.1501068554149263</v>
      </c>
      <c r="U1166">
        <v>0</v>
      </c>
      <c r="V1166">
        <v>1.6064319510526438E-2</v>
      </c>
      <c r="W1166">
        <v>6.6910851412579631E-2</v>
      </c>
      <c r="X1166">
        <v>-1.7019761342128254E-2</v>
      </c>
      <c r="Y1166">
        <v>2.8335037308749481E-2</v>
      </c>
    </row>
    <row r="1167" spans="1:25" x14ac:dyDescent="0.25">
      <c r="A1167" s="879"/>
      <c r="B1167" s="1133">
        <v>917</v>
      </c>
      <c r="C1167" s="883">
        <v>0.98297672314352125</v>
      </c>
      <c r="D1167" s="883">
        <v>0.98175667963345892</v>
      </c>
      <c r="E1167" s="883">
        <v>0.99934095761828079</v>
      </c>
      <c r="F1167" s="883">
        <v>1.044068574755588</v>
      </c>
      <c r="G1167" s="883">
        <v>1.0194180994643349</v>
      </c>
      <c r="H1167" s="883">
        <v>0.99314578019302602</v>
      </c>
      <c r="I1167" s="883">
        <v>1.0216530234554739</v>
      </c>
      <c r="K1167">
        <v>1.6771185788728094</v>
      </c>
      <c r="L1167">
        <v>0</v>
      </c>
      <c r="M1167">
        <v>6.5337353359805001E-3</v>
      </c>
      <c r="N1167">
        <v>0.12169496265222626</v>
      </c>
      <c r="O1167">
        <v>3.161443982953685E-2</v>
      </c>
      <c r="P1167">
        <v>1.9108086182893887E-2</v>
      </c>
      <c r="Q1167">
        <v>0</v>
      </c>
      <c r="R1167">
        <v>6.5337353359805001E-3</v>
      </c>
      <c r="S1167">
        <v>0.1751196701728216</v>
      </c>
      <c r="T1167">
        <v>1.2382306106428054</v>
      </c>
      <c r="U1167">
        <v>0</v>
      </c>
      <c r="V1167">
        <v>1.5948323362213211E-2</v>
      </c>
      <c r="W1167">
        <v>6.4072751211461748E-2</v>
      </c>
      <c r="X1167">
        <v>-1.557502433318088E-2</v>
      </c>
      <c r="Y1167">
        <v>2.6904759152031266E-2</v>
      </c>
    </row>
    <row r="1168" spans="1:25" x14ac:dyDescent="0.25">
      <c r="A1168" s="879"/>
      <c r="B1168" s="1133">
        <v>918</v>
      </c>
      <c r="C1168" s="883">
        <v>1.0265703961130346</v>
      </c>
      <c r="D1168" s="883">
        <v>0.98817700803418229</v>
      </c>
      <c r="E1168" s="883">
        <v>1.0358412773133563</v>
      </c>
      <c r="F1168" s="883">
        <v>0.98188403624139886</v>
      </c>
      <c r="G1168" s="883">
        <v>1.0336547383036543</v>
      </c>
      <c r="H1168" s="883">
        <v>0.98491528363606495</v>
      </c>
      <c r="I1168" s="883">
        <v>1.0004570728613624</v>
      </c>
      <c r="K1168">
        <v>1.5803299928679233</v>
      </c>
      <c r="L1168">
        <v>0</v>
      </c>
      <c r="M1168">
        <v>5.9918940560722061E-3</v>
      </c>
      <c r="N1168">
        <v>0.11779555966762797</v>
      </c>
      <c r="O1168">
        <v>3.0160865745472044E-2</v>
      </c>
      <c r="P1168">
        <v>1.845348100232817E-2</v>
      </c>
      <c r="Q1168">
        <v>0</v>
      </c>
      <c r="R1168">
        <v>5.9918940560722061E-3</v>
      </c>
      <c r="S1168">
        <v>0.16370967825468224</v>
      </c>
      <c r="T1168">
        <v>1.1638185184504728</v>
      </c>
      <c r="U1168">
        <v>0</v>
      </c>
      <c r="V1168">
        <v>1.5712808926043473E-2</v>
      </c>
      <c r="W1168">
        <v>6.0913477745603961E-2</v>
      </c>
      <c r="X1168">
        <v>-1.4907950129828032E-2</v>
      </c>
      <c r="Y1168">
        <v>2.4673553205521448E-2</v>
      </c>
    </row>
    <row r="1169" spans="1:25" x14ac:dyDescent="0.25">
      <c r="A1169" s="879"/>
      <c r="B1169" s="1133">
        <v>919</v>
      </c>
      <c r="C1169" s="883">
        <v>0.97219672252212763</v>
      </c>
      <c r="D1169" s="883">
        <v>0.98600064427174139</v>
      </c>
      <c r="E1169" s="883">
        <v>1.0294214918024396</v>
      </c>
      <c r="F1169" s="883">
        <v>1.0375979884763498</v>
      </c>
      <c r="G1169" s="883">
        <v>1.0037866376544196</v>
      </c>
      <c r="H1169" s="883">
        <v>0.97285385737743435</v>
      </c>
      <c r="I1169" s="883">
        <v>0.98743547104466922</v>
      </c>
      <c r="K1169">
        <v>1.6636605886203455</v>
      </c>
      <c r="L1169">
        <v>0</v>
      </c>
      <c r="M1169">
        <v>6.2909900426136129E-3</v>
      </c>
      <c r="N1169">
        <v>0.12250766620149998</v>
      </c>
      <c r="O1169">
        <v>3.1882101439747595E-2</v>
      </c>
      <c r="P1169">
        <v>1.9359892102722143E-2</v>
      </c>
      <c r="Q1169">
        <v>0</v>
      </c>
      <c r="R1169">
        <v>6.2909900426136129E-3</v>
      </c>
      <c r="S1169">
        <v>0.16991633690829425</v>
      </c>
      <c r="T1169">
        <v>1.2299786149832825</v>
      </c>
      <c r="U1169">
        <v>0</v>
      </c>
      <c r="V1169">
        <v>1.6009819443250636E-2</v>
      </c>
      <c r="W1169">
        <v>6.3549782222598439E-2</v>
      </c>
      <c r="X1169">
        <v>-1.5448801922048238E-2</v>
      </c>
      <c r="Y1169">
        <v>2.5905177240997949E-2</v>
      </c>
    </row>
    <row r="1170" spans="1:25" x14ac:dyDescent="0.25">
      <c r="A1170" s="879"/>
      <c r="B1170" s="1133">
        <v>920</v>
      </c>
      <c r="C1170" s="883">
        <v>1.0010578652217279</v>
      </c>
      <c r="D1170" s="883">
        <v>0.99486139925791495</v>
      </c>
      <c r="E1170" s="883">
        <v>1.0037001800899186</v>
      </c>
      <c r="F1170" s="883">
        <v>1.0028825852590439</v>
      </c>
      <c r="G1170" s="883">
        <v>0.99948123130852051</v>
      </c>
      <c r="H1170" s="883">
        <v>1.0210843585380958</v>
      </c>
      <c r="I1170" s="883">
        <v>1.0040256896158126</v>
      </c>
      <c r="K1170">
        <v>1.6226744622004987</v>
      </c>
      <c r="L1170">
        <v>0</v>
      </c>
      <c r="M1170">
        <v>6.5323548025681402E-3</v>
      </c>
      <c r="N1170">
        <v>0.12245745606760733</v>
      </c>
      <c r="O1170">
        <v>3.0875467093279683E-2</v>
      </c>
      <c r="P1170">
        <v>1.8451559352225991E-2</v>
      </c>
      <c r="Q1170">
        <v>0</v>
      </c>
      <c r="R1170">
        <v>6.5323548025681402E-3</v>
      </c>
      <c r="S1170">
        <v>0.17048710162027028</v>
      </c>
      <c r="T1170">
        <v>1.189304175114307</v>
      </c>
      <c r="U1170">
        <v>0</v>
      </c>
      <c r="V1170">
        <v>1.5848150638210597E-2</v>
      </c>
      <c r="W1170">
        <v>6.4334861071143792E-2</v>
      </c>
      <c r="X1170">
        <v>-1.5983383117710137E-2</v>
      </c>
      <c r="Y1170">
        <v>2.6899074361164954E-2</v>
      </c>
    </row>
    <row r="1171" spans="1:25" x14ac:dyDescent="0.25">
      <c r="A1171" s="879"/>
      <c r="B1171" s="1133">
        <v>921</v>
      </c>
      <c r="C1171" s="883">
        <v>0.98859536982812479</v>
      </c>
      <c r="D1171" s="883">
        <v>0.95971021615261431</v>
      </c>
      <c r="E1171" s="883">
        <v>1.0147776390086114</v>
      </c>
      <c r="F1171" s="883">
        <v>0.99397794604281609</v>
      </c>
      <c r="G1171" s="883">
        <v>0.97968622213279288</v>
      </c>
      <c r="H1171" s="883">
        <v>0.99469557816834064</v>
      </c>
      <c r="I1171" s="883">
        <v>0.99223680794793534</v>
      </c>
      <c r="K1171">
        <v>1.6128418771318982</v>
      </c>
      <c r="L1171">
        <v>0</v>
      </c>
      <c r="M1171">
        <v>6.4849946616031082E-3</v>
      </c>
      <c r="N1171">
        <v>0.12357978789845109</v>
      </c>
      <c r="O1171">
        <v>3.1707804282747297E-2</v>
      </c>
      <c r="P1171">
        <v>1.8447309918597415E-2</v>
      </c>
      <c r="Q1171">
        <v>0</v>
      </c>
      <c r="R1171">
        <v>6.4849946616031082E-3</v>
      </c>
      <c r="S1171">
        <v>0.16945974787257925</v>
      </c>
      <c r="T1171">
        <v>1.1785401001302886</v>
      </c>
      <c r="U1171">
        <v>0</v>
      </c>
      <c r="V1171">
        <v>1.5916802654604354E-2</v>
      </c>
      <c r="W1171">
        <v>6.456963526157207E-2</v>
      </c>
      <c r="X1171">
        <v>-1.6083364617403784E-2</v>
      </c>
      <c r="Y1171">
        <v>2.6704053730461797E-2</v>
      </c>
    </row>
    <row r="1172" spans="1:25" x14ac:dyDescent="0.25">
      <c r="A1172" s="879"/>
      <c r="B1172" s="1133">
        <v>922</v>
      </c>
      <c r="C1172" s="883">
        <v>1.0052879942947308</v>
      </c>
      <c r="D1172" s="883">
        <v>0.97367757270850297</v>
      </c>
      <c r="E1172" s="883">
        <v>1.0175876326289042</v>
      </c>
      <c r="F1172" s="883">
        <v>1.0096236785241666</v>
      </c>
      <c r="G1172" s="883">
        <v>1.0205927970037469</v>
      </c>
      <c r="H1172" s="883">
        <v>0.99995873026386473</v>
      </c>
      <c r="I1172" s="883">
        <v>1.0387772611396386</v>
      </c>
      <c r="K1172">
        <v>1.6328974104026652</v>
      </c>
      <c r="L1172">
        <v>0</v>
      </c>
      <c r="M1172">
        <v>6.3541469953030316E-3</v>
      </c>
      <c r="N1172">
        <v>0.12159084123814164</v>
      </c>
      <c r="O1172">
        <v>3.0999070450568746E-2</v>
      </c>
      <c r="P1172">
        <v>1.8805622912910731E-2</v>
      </c>
      <c r="Q1172">
        <v>0</v>
      </c>
      <c r="R1172">
        <v>6.3541469953030316E-3</v>
      </c>
      <c r="S1172">
        <v>0.17462539405304525</v>
      </c>
      <c r="T1172">
        <v>1.1970384125379887</v>
      </c>
      <c r="U1172">
        <v>0</v>
      </c>
      <c r="V1172">
        <v>1.5825235104218117E-2</v>
      </c>
      <c r="W1172">
        <v>6.3442409612883929E-2</v>
      </c>
      <c r="X1172">
        <v>-1.5594821837747245E-2</v>
      </c>
      <c r="Y1172">
        <v>2.6165246330654472E-2</v>
      </c>
    </row>
    <row r="1173" spans="1:25" x14ac:dyDescent="0.25">
      <c r="A1173" s="879"/>
      <c r="B1173" s="1133">
        <v>923</v>
      </c>
      <c r="C1173" s="883">
        <v>0.98577976796533995</v>
      </c>
      <c r="D1173" s="883">
        <v>0.98972006750704355</v>
      </c>
      <c r="E1173" s="883">
        <v>1.0164316339092681</v>
      </c>
      <c r="F1173" s="883">
        <v>0.96078596082442802</v>
      </c>
      <c r="G1173" s="883">
        <v>1.0303556598645465</v>
      </c>
      <c r="H1173" s="883">
        <v>0.97264679699084822</v>
      </c>
      <c r="I1173" s="883">
        <v>1.0249085191985245</v>
      </c>
      <c r="K1173">
        <v>1.5708056243101587</v>
      </c>
      <c r="L1173">
        <v>0</v>
      </c>
      <c r="M1173">
        <v>6.2634167982864187E-3</v>
      </c>
      <c r="N1173">
        <v>0.119649829946369</v>
      </c>
      <c r="O1173">
        <v>3.1407620924262976E-2</v>
      </c>
      <c r="P1173">
        <v>1.7996954718228347E-2</v>
      </c>
      <c r="Q1173">
        <v>0</v>
      </c>
      <c r="R1173">
        <v>6.2634167982864187E-3</v>
      </c>
      <c r="S1173">
        <v>0.17386961653851346</v>
      </c>
      <c r="T1173">
        <v>1.139155590816413</v>
      </c>
      <c r="U1173">
        <v>0</v>
      </c>
      <c r="V1173">
        <v>1.5932553316618241E-2</v>
      </c>
      <c r="W1173">
        <v>6.2465252194696008E-2</v>
      </c>
      <c r="X1173">
        <v>-1.5463429673656994E-2</v>
      </c>
      <c r="Y1173">
        <v>2.5791635528713101E-2</v>
      </c>
    </row>
    <row r="1174" spans="1:25" x14ac:dyDescent="0.25">
      <c r="A1174" s="879"/>
      <c r="B1174" s="1133">
        <v>924</v>
      </c>
      <c r="C1174" s="883">
        <v>1.0180808339157357</v>
      </c>
      <c r="D1174" s="883">
        <v>0.95443185280066223</v>
      </c>
      <c r="E1174" s="883">
        <v>1.007278234663378</v>
      </c>
      <c r="F1174" s="883">
        <v>1.0209846361967512</v>
      </c>
      <c r="G1174" s="883">
        <v>0.99854602801554182</v>
      </c>
      <c r="H1174" s="883">
        <v>1.0265387951473059</v>
      </c>
      <c r="I1174" s="883">
        <v>0.9872167997309278</v>
      </c>
      <c r="K1174">
        <v>1.6409497423561163</v>
      </c>
      <c r="L1174">
        <v>0</v>
      </c>
      <c r="M1174">
        <v>6.5576878407203375E-3</v>
      </c>
      <c r="N1174">
        <v>0.12358546310460829</v>
      </c>
      <c r="O1174">
        <v>3.086411607464342E-2</v>
      </c>
      <c r="P1174">
        <v>1.8722052470848523E-2</v>
      </c>
      <c r="Q1174">
        <v>0</v>
      </c>
      <c r="R1174">
        <v>6.5576878407203375E-3</v>
      </c>
      <c r="S1174">
        <v>0.16559756009319587</v>
      </c>
      <c r="T1174">
        <v>1.2107033331275574</v>
      </c>
      <c r="U1174">
        <v>0</v>
      </c>
      <c r="V1174">
        <v>1.5757092262816481E-2</v>
      </c>
      <c r="W1174">
        <v>6.4812461906145855E-2</v>
      </c>
      <c r="X1174">
        <v>-1.6095727986863571E-2</v>
      </c>
      <c r="Y1174">
        <v>2.7003391303163E-2</v>
      </c>
    </row>
    <row r="1175" spans="1:25" x14ac:dyDescent="0.25">
      <c r="A1175" s="879"/>
      <c r="B1175" s="1133">
        <v>925</v>
      </c>
      <c r="C1175" s="883">
        <v>0.98426316511478751</v>
      </c>
      <c r="D1175" s="883">
        <v>0.96983976645995507</v>
      </c>
      <c r="E1175" s="883">
        <v>1.0093810000504262</v>
      </c>
      <c r="F1175" s="883">
        <v>0.98877363629190274</v>
      </c>
      <c r="G1175" s="883">
        <v>1.0119631366666588</v>
      </c>
      <c r="H1175" s="883">
        <v>0.99416452540323264</v>
      </c>
      <c r="I1175" s="883">
        <v>1.0128955536015845</v>
      </c>
      <c r="K1175">
        <v>1.610381302721926</v>
      </c>
      <c r="L1175">
        <v>0</v>
      </c>
      <c r="M1175">
        <v>6.5102404858676929E-3</v>
      </c>
      <c r="N1175">
        <v>0.1230738438527141</v>
      </c>
      <c r="O1175">
        <v>3.171881245120383E-2</v>
      </c>
      <c r="P1175">
        <v>1.8347174721113489E-2</v>
      </c>
      <c r="Q1175">
        <v>0</v>
      </c>
      <c r="R1175">
        <v>6.5102404858676929E-3</v>
      </c>
      <c r="S1175">
        <v>0.17359564088021065</v>
      </c>
      <c r="T1175">
        <v>1.1724683407432315</v>
      </c>
      <c r="U1175">
        <v>0</v>
      </c>
      <c r="V1175">
        <v>1.5941074634682865E-2</v>
      </c>
      <c r="W1175">
        <v>6.4477011379792115E-2</v>
      </c>
      <c r="X1175">
        <v>-1.6048607482217109E-2</v>
      </c>
      <c r="Y1175">
        <v>2.6808011541194145E-2</v>
      </c>
    </row>
    <row r="1176" spans="1:25" x14ac:dyDescent="0.25">
      <c r="A1176" s="879"/>
      <c r="B1176" s="1133">
        <v>926</v>
      </c>
      <c r="C1176" s="883">
        <v>1.0040851740211845</v>
      </c>
      <c r="D1176" s="883">
        <v>0.97863930467871985</v>
      </c>
      <c r="E1176" s="883">
        <v>0.97897321951043026</v>
      </c>
      <c r="F1176" s="883">
        <v>0.97179651082631979</v>
      </c>
      <c r="G1176" s="883">
        <v>1.0183105670256449</v>
      </c>
      <c r="H1176" s="883">
        <v>0.98256638786108363</v>
      </c>
      <c r="I1176" s="883">
        <v>0.98916743582376698</v>
      </c>
      <c r="K1176">
        <v>1.5725800318823011</v>
      </c>
      <c r="L1176">
        <v>0</v>
      </c>
      <c r="M1176">
        <v>6.4508648814613767E-3</v>
      </c>
      <c r="N1176">
        <v>0.11657727121777871</v>
      </c>
      <c r="O1176">
        <v>3.1005988146475483E-2</v>
      </c>
      <c r="P1176">
        <v>1.7559745455624092E-2</v>
      </c>
      <c r="Q1176">
        <v>0</v>
      </c>
      <c r="R1176">
        <v>6.4508648814613767E-3</v>
      </c>
      <c r="S1176">
        <v>0.1653879101813536</v>
      </c>
      <c r="T1176">
        <v>1.1528871476567699</v>
      </c>
      <c r="U1176">
        <v>0</v>
      </c>
      <c r="V1176">
        <v>1.5831731399095893E-2</v>
      </c>
      <c r="W1176">
        <v>6.2005069684901028E-2</v>
      </c>
      <c r="X1176">
        <v>-1.523834523041011E-2</v>
      </c>
      <c r="Y1176">
        <v>2.6563513370712537E-2</v>
      </c>
    </row>
    <row r="1177" spans="1:25" x14ac:dyDescent="0.25">
      <c r="A1177" s="879"/>
      <c r="B1177" s="1133">
        <v>927</v>
      </c>
      <c r="C1177" s="883">
        <v>1.011101262066683</v>
      </c>
      <c r="D1177" s="883">
        <v>0.98408684759456078</v>
      </c>
      <c r="E1177" s="883">
        <v>0.99459434686918846</v>
      </c>
      <c r="F1177" s="883">
        <v>0.9805970933589484</v>
      </c>
      <c r="G1177" s="883">
        <v>1.009968812960885</v>
      </c>
      <c r="H1177" s="883">
        <v>1.0296079516431931</v>
      </c>
      <c r="I1177" s="883">
        <v>0.98687705113991098</v>
      </c>
      <c r="K1177">
        <v>1.5916412322288835</v>
      </c>
      <c r="L1177">
        <v>0</v>
      </c>
      <c r="M1177">
        <v>6.6055581865970148E-3</v>
      </c>
      <c r="N1177">
        <v>0.12217038260598892</v>
      </c>
      <c r="O1177">
        <v>3.0709909322011227E-2</v>
      </c>
      <c r="P1177">
        <v>1.7920947904981617E-2</v>
      </c>
      <c r="Q1177">
        <v>0</v>
      </c>
      <c r="R1177">
        <v>6.6055581865970148E-3</v>
      </c>
      <c r="S1177">
        <v>0.16650276978839051</v>
      </c>
      <c r="T1177">
        <v>1.1630421114654002</v>
      </c>
      <c r="U1177">
        <v>0</v>
      </c>
      <c r="V1177">
        <v>1.5794056173247265E-2</v>
      </c>
      <c r="W1177">
        <v>6.4475059024420425E-2</v>
      </c>
      <c r="X1177">
        <v>-1.6174516922436728E-2</v>
      </c>
      <c r="Y1177">
        <v>2.7200512866879228E-2</v>
      </c>
    </row>
    <row r="1178" spans="1:25" x14ac:dyDescent="0.25">
      <c r="A1178" s="879"/>
      <c r="B1178" s="1133">
        <v>928</v>
      </c>
      <c r="C1178" s="883">
        <v>1.0065542034788104</v>
      </c>
      <c r="D1178" s="883">
        <v>0.99138994952056247</v>
      </c>
      <c r="E1178" s="883">
        <v>0.97366290773576558</v>
      </c>
      <c r="F1178" s="883">
        <v>0.99488371145689725</v>
      </c>
      <c r="G1178" s="883">
        <v>1.0274293223409137</v>
      </c>
      <c r="H1178" s="883">
        <v>0.97818913788568473</v>
      </c>
      <c r="I1178" s="883">
        <v>0.96429704367821445</v>
      </c>
      <c r="K1178">
        <v>1.5926474842647971</v>
      </c>
      <c r="L1178">
        <v>0</v>
      </c>
      <c r="M1178">
        <v>6.3989974131328847E-3</v>
      </c>
      <c r="N1178">
        <v>0.11473217323022333</v>
      </c>
      <c r="O1178">
        <v>3.0774331188508006E-2</v>
      </c>
      <c r="P1178">
        <v>1.7783078426050113E-2</v>
      </c>
      <c r="Q1178">
        <v>0</v>
      </c>
      <c r="R1178">
        <v>6.3989974131328847E-3</v>
      </c>
      <c r="S1178">
        <v>0.1604607701657236</v>
      </c>
      <c r="T1178">
        <v>1.180375295796777</v>
      </c>
      <c r="U1178">
        <v>0</v>
      </c>
      <c r="V1178">
        <v>1.5818413227961698E-2</v>
      </c>
      <c r="W1178">
        <v>6.118641824338427E-2</v>
      </c>
      <c r="X1178">
        <v>-1.4832928382032231E-2</v>
      </c>
      <c r="Y1178">
        <v>2.6349932368201032E-2</v>
      </c>
    </row>
    <row r="1179" spans="1:25" x14ac:dyDescent="0.25">
      <c r="A1179" s="879"/>
      <c r="B1179" s="1133">
        <v>929</v>
      </c>
      <c r="C1179" s="883">
        <v>0.97360682829470024</v>
      </c>
      <c r="D1179" s="883">
        <v>1.0041716585677745</v>
      </c>
      <c r="E1179" s="883">
        <v>1.0066213477329631</v>
      </c>
      <c r="F1179" s="883">
        <v>1.0401572956922507</v>
      </c>
      <c r="G1179" s="883">
        <v>1.0314325446230419</v>
      </c>
      <c r="H1179" s="883">
        <v>0.9787382568225238</v>
      </c>
      <c r="I1179" s="883">
        <v>1.0104006279266156</v>
      </c>
      <c r="K1179">
        <v>1.6686078624559786</v>
      </c>
      <c r="L1179">
        <v>0</v>
      </c>
      <c r="M1179">
        <v>6.3949471371424855E-3</v>
      </c>
      <c r="N1179">
        <v>0.12040130260378579</v>
      </c>
      <c r="O1179">
        <v>3.1625348661334277E-2</v>
      </c>
      <c r="P1179">
        <v>1.9131752529501979E-2</v>
      </c>
      <c r="Q1179">
        <v>0</v>
      </c>
      <c r="R1179">
        <v>6.3949471371424855E-3</v>
      </c>
      <c r="S1179">
        <v>0.17376342994467961</v>
      </c>
      <c r="T1179">
        <v>1.2334513214591103</v>
      </c>
      <c r="U1179">
        <v>0</v>
      </c>
      <c r="V1179">
        <v>1.6001697873702207E-2</v>
      </c>
      <c r="W1179">
        <v>6.3163122849693651E-2</v>
      </c>
      <c r="X1179">
        <v>-1.5263367518424917E-2</v>
      </c>
      <c r="Y1179">
        <v>2.6333254052594814E-2</v>
      </c>
    </row>
    <row r="1180" spans="1:25" x14ac:dyDescent="0.25">
      <c r="A1180" s="879"/>
      <c r="B1180" s="1133">
        <v>930</v>
      </c>
      <c r="C1180" s="883">
        <v>0.95105989212884023</v>
      </c>
      <c r="D1180" s="883">
        <v>1.0328755819211137</v>
      </c>
      <c r="E1180" s="883">
        <v>1.0289613353309202</v>
      </c>
      <c r="F1180" s="883">
        <v>0.99358299486669355</v>
      </c>
      <c r="G1180" s="883">
        <v>0.99270326389213992</v>
      </c>
      <c r="H1180" s="883">
        <v>0.99551313210786385</v>
      </c>
      <c r="I1180" s="883">
        <v>0.96868352265949198</v>
      </c>
      <c r="K1180">
        <v>1.6167381029901244</v>
      </c>
      <c r="L1180">
        <v>0</v>
      </c>
      <c r="M1180">
        <v>6.4483333444292062E-3</v>
      </c>
      <c r="N1180">
        <v>0.12548630263888433</v>
      </c>
      <c r="O1180">
        <v>3.199123084864687E-2</v>
      </c>
      <c r="P1180">
        <v>1.8660716457739958E-2</v>
      </c>
      <c r="Q1180">
        <v>0</v>
      </c>
      <c r="R1180">
        <v>6.4483333444292062E-3</v>
      </c>
      <c r="S1180">
        <v>0.17127304749848823</v>
      </c>
      <c r="T1180">
        <v>1.1778112573829587</v>
      </c>
      <c r="U1180">
        <v>0</v>
      </c>
      <c r="V1180">
        <v>1.6134444073782995E-2</v>
      </c>
      <c r="W1180">
        <v>6.5109625326093767E-2</v>
      </c>
      <c r="X1180">
        <v>-1.628161018828168E-2</v>
      </c>
      <c r="Y1180">
        <v>2.6553088951810851E-2</v>
      </c>
    </row>
    <row r="1181" spans="1:25" x14ac:dyDescent="0.25">
      <c r="A1181" s="879"/>
      <c r="B1181" s="1133">
        <v>931</v>
      </c>
      <c r="C1181" s="883">
        <v>1.0382841329125148</v>
      </c>
      <c r="D1181" s="883">
        <v>0.9995253730077226</v>
      </c>
      <c r="E1181" s="883">
        <v>1.0335715966187631</v>
      </c>
      <c r="F1181" s="883">
        <v>1.0189792907910451</v>
      </c>
      <c r="G1181" s="883">
        <v>0.99030800627499682</v>
      </c>
      <c r="H1181" s="883">
        <v>1.02515361876408</v>
      </c>
      <c r="I1181" s="883">
        <v>1.0374814459884416</v>
      </c>
      <c r="K1181">
        <v>1.6352047381348558</v>
      </c>
      <c r="L1181">
        <v>0</v>
      </c>
      <c r="M1181">
        <v>6.1472134239688317E-3</v>
      </c>
      <c r="N1181">
        <v>0.12044437417190049</v>
      </c>
      <c r="O1181">
        <v>2.9686781666337897E-2</v>
      </c>
      <c r="P1181">
        <v>1.9112729339628466E-2</v>
      </c>
      <c r="Q1181">
        <v>0</v>
      </c>
      <c r="R1181">
        <v>6.1472134239688317E-3</v>
      </c>
      <c r="S1181">
        <v>0.17006968633549163</v>
      </c>
      <c r="T1181">
        <v>1.2078298259182831</v>
      </c>
      <c r="U1181">
        <v>0</v>
      </c>
      <c r="V1181">
        <v>1.5652896549204202E-2</v>
      </c>
      <c r="W1181">
        <v>6.2352467196219202E-2</v>
      </c>
      <c r="X1181">
        <v>-1.5257153758912956E-2</v>
      </c>
      <c r="Y1181">
        <v>2.531313071670286E-2</v>
      </c>
    </row>
    <row r="1182" spans="1:25" x14ac:dyDescent="0.25">
      <c r="A1182" s="879"/>
      <c r="B1182" s="1133">
        <v>932</v>
      </c>
      <c r="C1182" s="883">
        <v>1.015145331862866</v>
      </c>
      <c r="D1182" s="883">
        <v>1.0117800782026549</v>
      </c>
      <c r="E1182" s="883">
        <v>0.96733077420763924</v>
      </c>
      <c r="F1182" s="883">
        <v>1.0001227177163681</v>
      </c>
      <c r="G1182" s="883">
        <v>1.0164176273494059</v>
      </c>
      <c r="H1182" s="883">
        <v>0.97498733190537534</v>
      </c>
      <c r="I1182" s="883">
        <v>1.0068573383650914</v>
      </c>
      <c r="K1182">
        <v>1.5997877499396194</v>
      </c>
      <c r="L1182">
        <v>0</v>
      </c>
      <c r="M1182">
        <v>6.3015614550148745E-3</v>
      </c>
      <c r="N1182">
        <v>0.1119279239117261</v>
      </c>
      <c r="O1182">
        <v>3.0271156762876027E-2</v>
      </c>
      <c r="P1182">
        <v>1.7846689605273837E-2</v>
      </c>
      <c r="Q1182">
        <v>0</v>
      </c>
      <c r="R1182">
        <v>6.3015614550148745E-3</v>
      </c>
      <c r="S1182">
        <v>0.16574197528946316</v>
      </c>
      <c r="T1182">
        <v>1.1867096036573923</v>
      </c>
      <c r="U1182">
        <v>0</v>
      </c>
      <c r="V1182">
        <v>1.5772576789897273E-2</v>
      </c>
      <c r="W1182">
        <v>5.9881211441674402E-2</v>
      </c>
      <c r="X1182">
        <v>-1.431209595430824E-2</v>
      </c>
      <c r="Y1182">
        <v>2.5948708435625079E-2</v>
      </c>
    </row>
    <row r="1183" spans="1:25" x14ac:dyDescent="0.25">
      <c r="A1183" s="879"/>
      <c r="B1183" s="1133">
        <v>933</v>
      </c>
      <c r="C1183" s="883">
        <v>0.97636996866179204</v>
      </c>
      <c r="D1183" s="883">
        <v>0.9839375036978173</v>
      </c>
      <c r="E1183" s="883">
        <v>1.0184148208078445</v>
      </c>
      <c r="F1183" s="883">
        <v>1.0104874994004915</v>
      </c>
      <c r="G1183" s="883">
        <v>0.99420311272406803</v>
      </c>
      <c r="H1183" s="883">
        <v>0.9717127946204881</v>
      </c>
      <c r="I1183" s="883">
        <v>0.96477974916711207</v>
      </c>
      <c r="K1183">
        <v>1.624665592984486</v>
      </c>
      <c r="L1183">
        <v>0</v>
      </c>
      <c r="M1183">
        <v>6.3232699352249386E-3</v>
      </c>
      <c r="N1183">
        <v>0.12114816241633815</v>
      </c>
      <c r="O1183">
        <v>3.1782882692349711E-2</v>
      </c>
      <c r="P1183">
        <v>1.8705741690725038E-2</v>
      </c>
      <c r="Q1183">
        <v>0</v>
      </c>
      <c r="R1183">
        <v>6.3232699352249386E-3</v>
      </c>
      <c r="S1183">
        <v>0.16525085575642121</v>
      </c>
      <c r="T1183">
        <v>1.1980471145749259</v>
      </c>
      <c r="U1183">
        <v>0</v>
      </c>
      <c r="V1183">
        <v>1.5985851460921973E-2</v>
      </c>
      <c r="W1183">
        <v>6.318566087497364E-2</v>
      </c>
      <c r="X1183">
        <v>-1.5478776575335357E-2</v>
      </c>
      <c r="Y1183">
        <v>2.6038100093164693E-2</v>
      </c>
    </row>
    <row r="1184" spans="1:25" x14ac:dyDescent="0.25">
      <c r="A1184" s="879"/>
      <c r="B1184" s="1133">
        <v>934</v>
      </c>
      <c r="C1184" s="883">
        <v>1.0084373086222336</v>
      </c>
      <c r="D1184" s="883">
        <v>1.0213816203322341</v>
      </c>
      <c r="E1184" s="883">
        <v>1.0060607656379956</v>
      </c>
      <c r="F1184" s="883">
        <v>1.0178365686884066</v>
      </c>
      <c r="G1184" s="883">
        <v>0.98887365629968726</v>
      </c>
      <c r="H1184" s="883">
        <v>0.99095148172843051</v>
      </c>
      <c r="I1184" s="883">
        <v>1.0318738862561314</v>
      </c>
      <c r="K1184">
        <v>1.632581444987492</v>
      </c>
      <c r="L1184">
        <v>0</v>
      </c>
      <c r="M1184">
        <v>6.2069876770950898E-3</v>
      </c>
      <c r="N1184">
        <v>0.11676551553407054</v>
      </c>
      <c r="O1184">
        <v>3.0326679106923892E-2</v>
      </c>
      <c r="P1184">
        <v>1.8740310254973514E-2</v>
      </c>
      <c r="Q1184">
        <v>0</v>
      </c>
      <c r="R1184">
        <v>6.2069876770950898E-3</v>
      </c>
      <c r="S1184">
        <v>0.17188117070957512</v>
      </c>
      <c r="T1184">
        <v>1.2069932880091818</v>
      </c>
      <c r="U1184">
        <v>0</v>
      </c>
      <c r="V1184">
        <v>1.5808299423820081E-2</v>
      </c>
      <c r="W1184">
        <v>6.1272782941344278E-2</v>
      </c>
      <c r="X1184">
        <v>-1.4765871444053195E-2</v>
      </c>
      <c r="Y1184">
        <v>2.555927045165635E-2</v>
      </c>
    </row>
    <row r="1185" spans="1:25" x14ac:dyDescent="0.25">
      <c r="A1185" s="879"/>
      <c r="B1185" s="1133">
        <v>935</v>
      </c>
      <c r="C1185" s="883">
        <v>1.0125782539338457</v>
      </c>
      <c r="D1185" s="883">
        <v>0.98341536120450457</v>
      </c>
      <c r="E1185" s="883">
        <v>1.0100168503159135</v>
      </c>
      <c r="F1185" s="883">
        <v>1.0041706680723808</v>
      </c>
      <c r="G1185" s="883">
        <v>0.9674110517728618</v>
      </c>
      <c r="H1185" s="883">
        <v>1.0369565219008869</v>
      </c>
      <c r="I1185" s="883">
        <v>1.0039627817214072</v>
      </c>
      <c r="K1185">
        <v>1.6250700246712975</v>
      </c>
      <c r="L1185">
        <v>0</v>
      </c>
      <c r="M1185">
        <v>6.5560772036299614E-3</v>
      </c>
      <c r="N1185">
        <v>0.12405709413055505</v>
      </c>
      <c r="O1185">
        <v>3.0660333566433575E-2</v>
      </c>
      <c r="P1185">
        <v>1.8545589404226986E-2</v>
      </c>
      <c r="Q1185">
        <v>0</v>
      </c>
      <c r="R1185">
        <v>6.5560772036299614E-3</v>
      </c>
      <c r="S1185">
        <v>0.1695881911672448</v>
      </c>
      <c r="T1185">
        <v>1.1907139988639832</v>
      </c>
      <c r="U1185">
        <v>0</v>
      </c>
      <c r="V1185">
        <v>1.5786191496152978E-2</v>
      </c>
      <c r="W1185">
        <v>6.4971686063919037E-2</v>
      </c>
      <c r="X1185">
        <v>-1.6249819007526423E-2</v>
      </c>
      <c r="Y1185">
        <v>2.6996758986307542E-2</v>
      </c>
    </row>
    <row r="1186" spans="1:25" x14ac:dyDescent="0.25">
      <c r="A1186" s="879"/>
      <c r="B1186" s="1133">
        <v>936</v>
      </c>
      <c r="C1186" s="883">
        <v>0.99098256355856384</v>
      </c>
      <c r="D1186" s="883">
        <v>0.98780359598199829</v>
      </c>
      <c r="E1186" s="883">
        <v>1.0018419401121548</v>
      </c>
      <c r="F1186" s="883">
        <v>0.99357809341725134</v>
      </c>
      <c r="G1186" s="883">
        <v>0.98877029085960544</v>
      </c>
      <c r="H1186" s="883">
        <v>0.99267150005061655</v>
      </c>
      <c r="I1186" s="883">
        <v>1.0040481395744096</v>
      </c>
      <c r="K1186">
        <v>1.6091779172975365</v>
      </c>
      <c r="L1186">
        <v>0</v>
      </c>
      <c r="M1186">
        <v>6.4460236894924895E-3</v>
      </c>
      <c r="N1186">
        <v>0.12050692935786997</v>
      </c>
      <c r="O1186">
        <v>3.1279945039605683E-2</v>
      </c>
      <c r="P1186">
        <v>1.8280919911259432E-2</v>
      </c>
      <c r="Q1186">
        <v>0</v>
      </c>
      <c r="R1186">
        <v>6.4460236894924895E-3</v>
      </c>
      <c r="S1186">
        <v>0.17062248798570734</v>
      </c>
      <c r="T1186">
        <v>1.1783044023474645</v>
      </c>
      <c r="U1186">
        <v>0</v>
      </c>
      <c r="V1186">
        <v>1.5903518646832364E-2</v>
      </c>
      <c r="W1186">
        <v>6.3368510090871341E-2</v>
      </c>
      <c r="X1186">
        <v>-1.5632374285959958E-2</v>
      </c>
      <c r="Y1186">
        <v>2.6543578203884713E-2</v>
      </c>
    </row>
    <row r="1187" spans="1:25" x14ac:dyDescent="0.25">
      <c r="A1187" s="879"/>
      <c r="B1187" s="1133">
        <v>937</v>
      </c>
      <c r="C1187" s="883">
        <v>0.9897142230155439</v>
      </c>
      <c r="D1187" s="883">
        <v>1.0347009911117675</v>
      </c>
      <c r="E1187" s="883">
        <v>0.98534991273238426</v>
      </c>
      <c r="F1187" s="883">
        <v>1.0203878727908113</v>
      </c>
      <c r="G1187" s="883">
        <v>0.96804659088713263</v>
      </c>
      <c r="H1187" s="883">
        <v>0.97640678473668774</v>
      </c>
      <c r="I1187" s="883">
        <v>1.0293272841960976</v>
      </c>
      <c r="K1187">
        <v>1.636787559227568</v>
      </c>
      <c r="L1187">
        <v>0</v>
      </c>
      <c r="M1187">
        <v>6.308792104694691E-3</v>
      </c>
      <c r="N1187">
        <v>0.11509337996701262</v>
      </c>
      <c r="O1187">
        <v>3.0757973806063373E-2</v>
      </c>
      <c r="P1187">
        <v>1.8517847408197043E-2</v>
      </c>
      <c r="Q1187">
        <v>0</v>
      </c>
      <c r="R1187">
        <v>6.308792104694691E-3</v>
      </c>
      <c r="S1187">
        <v>0.173686934549797</v>
      </c>
      <c r="T1187">
        <v>1.2104118921888378</v>
      </c>
      <c r="U1187">
        <v>0</v>
      </c>
      <c r="V1187">
        <v>1.5910568597718867E-2</v>
      </c>
      <c r="W1187">
        <v>6.102084760893791E-2</v>
      </c>
      <c r="X1187">
        <v>-1.4590367862995678E-2</v>
      </c>
      <c r="Y1187">
        <v>2.5978482963998906E-2</v>
      </c>
    </row>
    <row r="1188" spans="1:25" x14ac:dyDescent="0.25">
      <c r="A1188" s="879"/>
      <c r="B1188" s="1133">
        <v>938</v>
      </c>
      <c r="C1188" s="883">
        <v>1.0009058826628761</v>
      </c>
      <c r="D1188" s="883">
        <v>1.0022430693236044</v>
      </c>
      <c r="E1188" s="883">
        <v>1.0047049288539274</v>
      </c>
      <c r="F1188" s="883">
        <v>0.96494832158925592</v>
      </c>
      <c r="G1188" s="883">
        <v>0.99139531355807065</v>
      </c>
      <c r="H1188" s="883">
        <v>1.0049756225730762</v>
      </c>
      <c r="I1188" s="883">
        <v>1.0233393307394056</v>
      </c>
      <c r="K1188">
        <v>1.5755773021829798</v>
      </c>
      <c r="L1188">
        <v>0</v>
      </c>
      <c r="M1188">
        <v>6.403481045580554E-3</v>
      </c>
      <c r="N1188">
        <v>0.12022031169934691</v>
      </c>
      <c r="O1188">
        <v>3.0788112604837242E-2</v>
      </c>
      <c r="P1188">
        <v>1.7892179309014801E-2</v>
      </c>
      <c r="Q1188">
        <v>0</v>
      </c>
      <c r="R1188">
        <v>6.403481045580554E-3</v>
      </c>
      <c r="S1188">
        <v>0.17275903352328836</v>
      </c>
      <c r="T1188">
        <v>1.1443004710052218</v>
      </c>
      <c r="U1188">
        <v>0</v>
      </c>
      <c r="V1188">
        <v>1.5848977565585634E-2</v>
      </c>
      <c r="W1188">
        <v>6.3128089508143859E-2</v>
      </c>
      <c r="X1188">
        <v>-1.5728268201022761E-2</v>
      </c>
      <c r="Y1188">
        <v>2.6368395168563704E-2</v>
      </c>
    </row>
    <row r="1189" spans="1:25" x14ac:dyDescent="0.25">
      <c r="A1189" s="879"/>
      <c r="B1189" s="1133">
        <v>939</v>
      </c>
      <c r="C1189" s="883">
        <v>1.0137245304415894</v>
      </c>
      <c r="D1189" s="883">
        <v>0.98481482738027626</v>
      </c>
      <c r="E1189" s="883">
        <v>0.98401855054848886</v>
      </c>
      <c r="F1189" s="883">
        <v>0.98847564447573799</v>
      </c>
      <c r="G1189" s="883">
        <v>0.98519194728502391</v>
      </c>
      <c r="H1189" s="883">
        <v>1.010670897382556</v>
      </c>
      <c r="I1189" s="883">
        <v>0.96029078631839371</v>
      </c>
      <c r="K1189">
        <v>1.5904553450530019</v>
      </c>
      <c r="L1189">
        <v>0</v>
      </c>
      <c r="M1189">
        <v>6.5250872314557709E-3</v>
      </c>
      <c r="N1189">
        <v>0.11880449693511592</v>
      </c>
      <c r="O1189">
        <v>3.0629987474028401E-2</v>
      </c>
      <c r="P1189">
        <v>1.7823337941404584E-2</v>
      </c>
      <c r="Q1189">
        <v>0</v>
      </c>
      <c r="R1189">
        <v>6.5250872314557709E-3</v>
      </c>
      <c r="S1189">
        <v>0.16053216209351337</v>
      </c>
      <c r="T1189">
        <v>1.172581284234997</v>
      </c>
      <c r="U1189">
        <v>0</v>
      </c>
      <c r="V1189">
        <v>1.5780103604974397E-2</v>
      </c>
      <c r="W1189">
        <v>6.3030351576348037E-2</v>
      </c>
      <c r="X1189">
        <v>-1.5595526604284489E-2</v>
      </c>
      <c r="Y1189">
        <v>2.686914779690365E-2</v>
      </c>
    </row>
    <row r="1190" spans="1:25" x14ac:dyDescent="0.25">
      <c r="A1190" s="879"/>
      <c r="B1190" s="1133">
        <v>940</v>
      </c>
      <c r="C1190" s="883">
        <v>0.97002900353498833</v>
      </c>
      <c r="D1190" s="883">
        <v>1.045032661744457</v>
      </c>
      <c r="E1190" s="883">
        <v>0.98248972384193223</v>
      </c>
      <c r="F1190" s="883">
        <v>1.0108347723102646</v>
      </c>
      <c r="G1190" s="883">
        <v>1.0119705107234274</v>
      </c>
      <c r="H1190" s="883">
        <v>0.99831083034429069</v>
      </c>
      <c r="I1190" s="883">
        <v>1.0017549553746599</v>
      </c>
      <c r="K1190">
        <v>1.6326413352670788</v>
      </c>
      <c r="L1190">
        <v>0</v>
      </c>
      <c r="M1190">
        <v>6.5685438329563979E-3</v>
      </c>
      <c r="N1190">
        <v>0.11932482125787879</v>
      </c>
      <c r="O1190">
        <v>3.1260014701831436E-2</v>
      </c>
      <c r="P1190">
        <v>1.8329445553147326E-2</v>
      </c>
      <c r="Q1190">
        <v>0</v>
      </c>
      <c r="R1190">
        <v>6.5685438329563979E-3</v>
      </c>
      <c r="S1190">
        <v>0.17365675200499892</v>
      </c>
      <c r="T1190">
        <v>1.1991336805614918</v>
      </c>
      <c r="U1190">
        <v>0</v>
      </c>
      <c r="V1190">
        <v>1.6022350570792591E-2</v>
      </c>
      <c r="W1190">
        <v>6.3354818674084545E-2</v>
      </c>
      <c r="X1190">
        <v>-1.5488642404043256E-2</v>
      </c>
      <c r="Y1190">
        <v>2.7048094346896517E-2</v>
      </c>
    </row>
    <row r="1191" spans="1:25" x14ac:dyDescent="0.25">
      <c r="A1191" s="879"/>
      <c r="B1191" s="1133">
        <v>941</v>
      </c>
      <c r="C1191" s="883">
        <v>0.99524341925744997</v>
      </c>
      <c r="D1191" s="883">
        <v>0.97244422247374973</v>
      </c>
      <c r="E1191" s="883">
        <v>0.99594976766142607</v>
      </c>
      <c r="F1191" s="883">
        <v>0.98743094659616215</v>
      </c>
      <c r="G1191" s="883">
        <v>1.005359246653166</v>
      </c>
      <c r="H1191" s="883">
        <v>0.98383469619685759</v>
      </c>
      <c r="I1191" s="883">
        <v>1.0424778769874137</v>
      </c>
      <c r="K1191">
        <v>1.6058557044379969</v>
      </c>
      <c r="L1191">
        <v>0</v>
      </c>
      <c r="M1191">
        <v>6.4390162011127303E-3</v>
      </c>
      <c r="N1191">
        <v>0.11932963480500441</v>
      </c>
      <c r="O1191">
        <v>3.1346957070098158E-2</v>
      </c>
      <c r="P1191">
        <v>1.8175356239541519E-2</v>
      </c>
      <c r="Q1191">
        <v>0</v>
      </c>
      <c r="R1191">
        <v>6.4390162011127303E-3</v>
      </c>
      <c r="S1191">
        <v>0.17601449024711743</v>
      </c>
      <c r="T1191">
        <v>1.1711225355220516</v>
      </c>
      <c r="U1191">
        <v>0</v>
      </c>
      <c r="V1191">
        <v>1.5879966660555724E-2</v>
      </c>
      <c r="W1191">
        <v>6.2933403035403207E-2</v>
      </c>
      <c r="X1191">
        <v>-1.5461361755799482E-2</v>
      </c>
      <c r="Y1191">
        <v>2.6514722614023298E-2</v>
      </c>
    </row>
    <row r="1192" spans="1:25" x14ac:dyDescent="0.25">
      <c r="A1192" s="879"/>
      <c r="B1192" s="1133">
        <v>942</v>
      </c>
      <c r="C1192" s="883">
        <v>0.97422477397737306</v>
      </c>
      <c r="D1192" s="883">
        <v>1.0177002945452454</v>
      </c>
      <c r="E1192" s="883">
        <v>0.96880702445108824</v>
      </c>
      <c r="F1192" s="883">
        <v>0.96607945173358867</v>
      </c>
      <c r="G1192" s="883">
        <v>1.0123098322853339</v>
      </c>
      <c r="H1192" s="883">
        <v>1.0229854493043313</v>
      </c>
      <c r="I1192" s="883">
        <v>1.0050986594942517</v>
      </c>
      <c r="K1192">
        <v>1.5857280241877896</v>
      </c>
      <c r="L1192">
        <v>0</v>
      </c>
      <c r="M1192">
        <v>6.8627849510696217E-3</v>
      </c>
      <c r="N1192">
        <v>0.12216385610512692</v>
      </c>
      <c r="O1192">
        <v>3.1467977483408349E-2</v>
      </c>
      <c r="P1192">
        <v>1.7466148549077867E-2</v>
      </c>
      <c r="Q1192">
        <v>0</v>
      </c>
      <c r="R1192">
        <v>6.8627849510696217E-3</v>
      </c>
      <c r="S1192">
        <v>0.17519602519633326</v>
      </c>
      <c r="T1192">
        <v>1.1462883860477184</v>
      </c>
      <c r="U1192">
        <v>0</v>
      </c>
      <c r="V1192">
        <v>1.5998146195883464E-2</v>
      </c>
      <c r="W1192">
        <v>6.5308885661588878E-2</v>
      </c>
      <c r="X1192">
        <v>-1.6421127949667907E-2</v>
      </c>
      <c r="Y1192">
        <v>2.8259726898320122E-2</v>
      </c>
    </row>
    <row r="1193" spans="1:25" x14ac:dyDescent="0.25">
      <c r="A1193" s="879"/>
      <c r="B1193" s="1133">
        <v>943</v>
      </c>
      <c r="C1193" s="883">
        <v>1.0053179721082737</v>
      </c>
      <c r="D1193" s="883">
        <v>1.0337016260345648</v>
      </c>
      <c r="E1193" s="883">
        <v>0.99410066840221911</v>
      </c>
      <c r="F1193" s="883">
        <v>1.0356126523970339</v>
      </c>
      <c r="G1193" s="883">
        <v>1.0193448379379682</v>
      </c>
      <c r="H1193" s="883">
        <v>1.0429533886526163</v>
      </c>
      <c r="I1193" s="883">
        <v>0.99966491566798499</v>
      </c>
      <c r="K1193">
        <v>1.6604085298854914</v>
      </c>
      <c r="L1193">
        <v>0</v>
      </c>
      <c r="M1193">
        <v>6.586540211546075E-3</v>
      </c>
      <c r="N1193">
        <v>0.12172954358440424</v>
      </c>
      <c r="O1193">
        <v>3.0285225672950954E-2</v>
      </c>
      <c r="P1193">
        <v>1.8828199369694883E-2</v>
      </c>
      <c r="Q1193">
        <v>0</v>
      </c>
      <c r="R1193">
        <v>6.586540211546075E-3</v>
      </c>
      <c r="S1193">
        <v>0.16986154260499328</v>
      </c>
      <c r="T1193">
        <v>1.2283031063380585</v>
      </c>
      <c r="U1193">
        <v>0</v>
      </c>
      <c r="V1193">
        <v>1.5825073396014563E-2</v>
      </c>
      <c r="W1193">
        <v>6.4258196679593885E-2</v>
      </c>
      <c r="X1193">
        <v>-1.5804557990913203E-2</v>
      </c>
      <c r="Y1193">
        <v>2.7122200230692832E-2</v>
      </c>
    </row>
    <row r="1194" spans="1:25" x14ac:dyDescent="0.25">
      <c r="A1194" s="879"/>
      <c r="B1194" s="1133">
        <v>944</v>
      </c>
      <c r="C1194" s="883">
        <v>0.98341509197541022</v>
      </c>
      <c r="D1194" s="883">
        <v>1.0257787103853291</v>
      </c>
      <c r="E1194" s="883">
        <v>1.0270014845876878</v>
      </c>
      <c r="F1194" s="883">
        <v>1.0322611817465608</v>
      </c>
      <c r="G1194" s="883">
        <v>0.96091036945637354</v>
      </c>
      <c r="H1194" s="883">
        <v>0.98914137625309828</v>
      </c>
      <c r="I1194" s="883">
        <v>0.98122086839765588</v>
      </c>
      <c r="K1194">
        <v>1.6513057645227551</v>
      </c>
      <c r="L1194">
        <v>0</v>
      </c>
      <c r="M1194">
        <v>6.2259988513945329E-3</v>
      </c>
      <c r="N1194">
        <v>0.12080906446277292</v>
      </c>
      <c r="O1194">
        <v>3.1025973867200476E-2</v>
      </c>
      <c r="P1194">
        <v>1.9205412766100841E-2</v>
      </c>
      <c r="Q1194">
        <v>0</v>
      </c>
      <c r="R1194">
        <v>6.2259988513945329E-3</v>
      </c>
      <c r="S1194">
        <v>0.16748064843436289</v>
      </c>
      <c r="T1194">
        <v>1.2236984293363178</v>
      </c>
      <c r="U1194">
        <v>0</v>
      </c>
      <c r="V1194">
        <v>1.5945851150803953E-2</v>
      </c>
      <c r="W1194">
        <v>6.274314760521979E-2</v>
      </c>
      <c r="X1194">
        <v>-1.5240318183583193E-2</v>
      </c>
      <c r="Y1194">
        <v>2.563755508355858E-2</v>
      </c>
    </row>
    <row r="1195" spans="1:25" x14ac:dyDescent="0.25">
      <c r="A1195" s="879"/>
      <c r="B1195" s="1133">
        <v>945</v>
      </c>
      <c r="C1195" s="883">
        <v>0.99249171169637118</v>
      </c>
      <c r="D1195" s="883">
        <v>1.0048084061139897</v>
      </c>
      <c r="E1195" s="883">
        <v>0.99938082332878242</v>
      </c>
      <c r="F1195" s="883">
        <v>1.0024117351281863</v>
      </c>
      <c r="G1195" s="883">
        <v>0.96727721333494732</v>
      </c>
      <c r="H1195" s="883">
        <v>1.0059056407865485</v>
      </c>
      <c r="I1195" s="883">
        <v>0.96363472746199474</v>
      </c>
      <c r="K1195">
        <v>1.6135455271668873</v>
      </c>
      <c r="L1195">
        <v>0</v>
      </c>
      <c r="M1195">
        <v>6.4864853064670143E-3</v>
      </c>
      <c r="N1195">
        <v>0.12082203681295528</v>
      </c>
      <c r="O1195">
        <v>3.1021985688875202E-2</v>
      </c>
      <c r="P1195">
        <v>1.829978458981283E-2</v>
      </c>
      <c r="Q1195">
        <v>0</v>
      </c>
      <c r="R1195">
        <v>6.4864853064670143E-3</v>
      </c>
      <c r="S1195">
        <v>0.1640802350875657</v>
      </c>
      <c r="T1195">
        <v>1.1888262412709454</v>
      </c>
      <c r="U1195">
        <v>0</v>
      </c>
      <c r="V1195">
        <v>1.5895153664820118E-2</v>
      </c>
      <c r="W1195">
        <v>6.3611893450734813E-2</v>
      </c>
      <c r="X1195">
        <v>-1.572199533950901E-2</v>
      </c>
      <c r="Y1195">
        <v>2.6710191940686467E-2</v>
      </c>
    </row>
    <row r="1196" spans="1:25" x14ac:dyDescent="0.25">
      <c r="A1196" s="879"/>
      <c r="B1196" s="1133">
        <v>946</v>
      </c>
      <c r="C1196" s="883">
        <v>0.99619597176793306</v>
      </c>
      <c r="D1196" s="883">
        <v>1.0048707437877586</v>
      </c>
      <c r="E1196" s="883">
        <v>1.0078920079189142</v>
      </c>
      <c r="F1196" s="883">
        <v>0.98162888641569046</v>
      </c>
      <c r="G1196" s="883">
        <v>0.97779492509327226</v>
      </c>
      <c r="H1196" s="883">
        <v>0.98564779514189327</v>
      </c>
      <c r="I1196" s="883">
        <v>0.96011814735777079</v>
      </c>
      <c r="K1196">
        <v>1.5818828791779371</v>
      </c>
      <c r="L1196">
        <v>0</v>
      </c>
      <c r="M1196">
        <v>6.2851225836708996E-3</v>
      </c>
      <c r="N1196">
        <v>0.11855642140740226</v>
      </c>
      <c r="O1196">
        <v>3.0898517768710526E-2</v>
      </c>
      <c r="P1196">
        <v>1.8052519612319413E-2</v>
      </c>
      <c r="Q1196">
        <v>0</v>
      </c>
      <c r="R1196">
        <v>6.2851225836708996E-3</v>
      </c>
      <c r="S1196">
        <v>0.16175222427584562</v>
      </c>
      <c r="T1196">
        <v>1.1640233461967069</v>
      </c>
      <c r="U1196">
        <v>0</v>
      </c>
      <c r="V1196">
        <v>1.5874728957524377E-2</v>
      </c>
      <c r="W1196">
        <v>6.2156168970112967E-2</v>
      </c>
      <c r="X1196">
        <v>-1.5312064100126605E-2</v>
      </c>
      <c r="Y1196">
        <v>2.5881016089440621E-2</v>
      </c>
    </row>
    <row r="1197" spans="1:25" x14ac:dyDescent="0.25">
      <c r="A1197" s="879"/>
      <c r="B1197" s="1133">
        <v>947</v>
      </c>
      <c r="C1197" s="883">
        <v>1.0009484104469941</v>
      </c>
      <c r="D1197" s="883">
        <v>0.96449508563908048</v>
      </c>
      <c r="E1197" s="883">
        <v>1.015212898916237</v>
      </c>
      <c r="F1197" s="883">
        <v>0.99629946410037684</v>
      </c>
      <c r="G1197" s="883">
        <v>1.0216635919032022</v>
      </c>
      <c r="H1197" s="883">
        <v>1.0018269974551464</v>
      </c>
      <c r="I1197" s="883">
        <v>1.0013239408858545</v>
      </c>
      <c r="K1197">
        <v>1.6134953486625783</v>
      </c>
      <c r="L1197">
        <v>0</v>
      </c>
      <c r="M1197">
        <v>6.4341042658609734E-3</v>
      </c>
      <c r="N1197">
        <v>0.12268900721042378</v>
      </c>
      <c r="O1197">
        <v>3.1253855445970549E-2</v>
      </c>
      <c r="P1197">
        <v>1.8486926347594759E-2</v>
      </c>
      <c r="Q1197">
        <v>0</v>
      </c>
      <c r="R1197">
        <v>6.4341042658609734E-3</v>
      </c>
      <c r="S1197">
        <v>0.16926854186447549</v>
      </c>
      <c r="T1197">
        <v>1.1812846475766843</v>
      </c>
      <c r="U1197">
        <v>0</v>
      </c>
      <c r="V1197">
        <v>1.5848746149331381E-2</v>
      </c>
      <c r="W1197">
        <v>6.4090437174997503E-2</v>
      </c>
      <c r="X1197">
        <v>-1.592130924584749E-2</v>
      </c>
      <c r="Y1197">
        <v>2.6494496138948453E-2</v>
      </c>
    </row>
    <row r="1198" spans="1:25" x14ac:dyDescent="0.25">
      <c r="A1198" s="879"/>
      <c r="B1198" s="1133">
        <v>948</v>
      </c>
      <c r="C1198" s="883">
        <v>0.97015367160735111</v>
      </c>
      <c r="D1198" s="883">
        <v>0.99295947393474004</v>
      </c>
      <c r="E1198" s="883">
        <v>0.97575304460612844</v>
      </c>
      <c r="F1198" s="883">
        <v>1.0060028914307499</v>
      </c>
      <c r="G1198" s="883">
        <v>1.0205718615436492</v>
      </c>
      <c r="H1198" s="883">
        <v>0.99946206231228885</v>
      </c>
      <c r="I1198" s="883">
        <v>1.0252710896627071</v>
      </c>
      <c r="K1198">
        <v>1.6363752638030962</v>
      </c>
      <c r="L1198">
        <v>0</v>
      </c>
      <c r="M1198">
        <v>6.7663539311731448E-3</v>
      </c>
      <c r="N1198">
        <v>0.12169572235840258</v>
      </c>
      <c r="O1198">
        <v>3.1907119953511712E-2</v>
      </c>
      <c r="P1198">
        <v>1.8221864762282273E-2</v>
      </c>
      <c r="Q1198">
        <v>0</v>
      </c>
      <c r="R1198">
        <v>6.7663539311731448E-3</v>
      </c>
      <c r="S1198">
        <v>0.1783015891095068</v>
      </c>
      <c r="T1198">
        <v>1.1935282859969882</v>
      </c>
      <c r="U1198">
        <v>0</v>
      </c>
      <c r="V1198">
        <v>1.6021628373203898E-2</v>
      </c>
      <c r="W1198">
        <v>6.4832031100855836E-2</v>
      </c>
      <c r="X1198">
        <v>-1.5995618974122241E-2</v>
      </c>
      <c r="Y1198">
        <v>2.7862641122468119E-2</v>
      </c>
    </row>
    <row r="1199" spans="1:25" x14ac:dyDescent="0.25">
      <c r="A1199" s="879"/>
      <c r="B1199" s="1133">
        <v>949</v>
      </c>
      <c r="C1199" s="883">
        <v>1.0207101034018637</v>
      </c>
      <c r="D1199" s="883">
        <v>0.99202367248609691</v>
      </c>
      <c r="E1199" s="883">
        <v>0.96987248352213062</v>
      </c>
      <c r="F1199" s="883">
        <v>0.9969840673024063</v>
      </c>
      <c r="G1199" s="883">
        <v>1.0029622126202791</v>
      </c>
      <c r="H1199" s="883">
        <v>0.99056266273460403</v>
      </c>
      <c r="I1199" s="883">
        <v>0.9933115060047718</v>
      </c>
      <c r="K1199">
        <v>1.5974577836670396</v>
      </c>
      <c r="L1199">
        <v>0</v>
      </c>
      <c r="M1199">
        <v>6.4093727319278768E-3</v>
      </c>
      <c r="N1199">
        <v>0.11427334675599553</v>
      </c>
      <c r="O1199">
        <v>3.0342637889596121E-2</v>
      </c>
      <c r="P1199">
        <v>1.7805509825526606E-2</v>
      </c>
      <c r="Q1199">
        <v>0</v>
      </c>
      <c r="R1199">
        <v>6.4093727319278768E-3</v>
      </c>
      <c r="S1199">
        <v>0.16368700241520517</v>
      </c>
      <c r="T1199">
        <v>1.1829379518729304</v>
      </c>
      <c r="U1199">
        <v>0</v>
      </c>
      <c r="V1199">
        <v>1.5743298699682464E-2</v>
      </c>
      <c r="W1199">
        <v>6.1057889093189127E-2</v>
      </c>
      <c r="X1199">
        <v>-1.4782508969347585E-2</v>
      </c>
      <c r="Y1199">
        <v>2.6392656084260897E-2</v>
      </c>
    </row>
    <row r="1200" spans="1:25" x14ac:dyDescent="0.25">
      <c r="A1200" s="879"/>
      <c r="B1200" s="1133">
        <v>950</v>
      </c>
      <c r="C1200" s="883">
        <v>1.0205316343582258</v>
      </c>
      <c r="D1200" s="883">
        <v>0.97638611491950633</v>
      </c>
      <c r="E1200" s="883">
        <v>0.99149787257884958</v>
      </c>
      <c r="F1200" s="883">
        <v>1.0008189895691337</v>
      </c>
      <c r="G1200" s="883">
        <v>1.0078926622024189</v>
      </c>
      <c r="H1200" s="883">
        <v>0.96468174551406594</v>
      </c>
      <c r="I1200" s="883">
        <v>1.0196005347899011</v>
      </c>
      <c r="K1200">
        <v>1.6029306097546288</v>
      </c>
      <c r="L1200">
        <v>0</v>
      </c>
      <c r="M1200">
        <v>6.1700303160212968E-3</v>
      </c>
      <c r="N1200">
        <v>0.11359269764083446</v>
      </c>
      <c r="O1200">
        <v>3.0524437321428947E-2</v>
      </c>
      <c r="P1200">
        <v>1.8200315301882042E-2</v>
      </c>
      <c r="Q1200">
        <v>0</v>
      </c>
      <c r="R1200">
        <v>6.1700303160212968E-3</v>
      </c>
      <c r="S1200">
        <v>0.16671864910009404</v>
      </c>
      <c r="T1200">
        <v>1.1870840833396197</v>
      </c>
      <c r="U1200">
        <v>0</v>
      </c>
      <c r="V1200">
        <v>1.5744232728019503E-2</v>
      </c>
      <c r="W1200">
        <v>6.0040733932758557E-2</v>
      </c>
      <c r="X1200">
        <v>-1.4381626226927782E-2</v>
      </c>
      <c r="Y1200">
        <v>2.5407086616919518E-2</v>
      </c>
    </row>
    <row r="1201" spans="1:25" x14ac:dyDescent="0.25">
      <c r="A1201" s="879"/>
      <c r="B1201" s="1133">
        <v>951</v>
      </c>
      <c r="C1201" s="883">
        <v>0.99716077985739893</v>
      </c>
      <c r="D1201" s="883">
        <v>0.98836573413379258</v>
      </c>
      <c r="E1201" s="883">
        <v>1.0074735157088111</v>
      </c>
      <c r="F1201" s="883">
        <v>1.0073259603826605</v>
      </c>
      <c r="G1201" s="883">
        <v>0.97353135975531147</v>
      </c>
      <c r="H1201" s="883">
        <v>0.98887154877071259</v>
      </c>
      <c r="I1201" s="883">
        <v>1.025981215935293</v>
      </c>
      <c r="K1201">
        <v>1.6263431747566259</v>
      </c>
      <c r="L1201">
        <v>0</v>
      </c>
      <c r="M1201">
        <v>6.3486173552993958E-3</v>
      </c>
      <c r="N1201">
        <v>0.11967994388009709</v>
      </c>
      <c r="O1201">
        <v>3.1074160305488444E-2</v>
      </c>
      <c r="P1201">
        <v>1.8608759072750614E-2</v>
      </c>
      <c r="Q1201">
        <v>0</v>
      </c>
      <c r="R1201">
        <v>6.3486173552993958E-3</v>
      </c>
      <c r="S1201">
        <v>0.17304181222570861</v>
      </c>
      <c r="T1201">
        <v>1.1945029615538278</v>
      </c>
      <c r="U1201">
        <v>0</v>
      </c>
      <c r="V1201">
        <v>1.5869434066730401E-2</v>
      </c>
      <c r="W1201">
        <v>6.2758205003710335E-2</v>
      </c>
      <c r="X1201">
        <v>-1.5334577609046756E-2</v>
      </c>
      <c r="Y1201">
        <v>2.6142476257358719E-2</v>
      </c>
    </row>
    <row r="1202" spans="1:25" x14ac:dyDescent="0.25">
      <c r="A1202" s="879"/>
      <c r="B1202" s="1133">
        <v>952</v>
      </c>
      <c r="C1202" s="883">
        <v>0.98921311379679533</v>
      </c>
      <c r="D1202" s="883">
        <v>1.0041919007021423</v>
      </c>
      <c r="E1202" s="883">
        <v>1.0090794894405837</v>
      </c>
      <c r="F1202" s="883">
        <v>0.99093442968449641</v>
      </c>
      <c r="G1202" s="883">
        <v>1.001505683629959</v>
      </c>
      <c r="H1202" s="883">
        <v>1.0187532828545978</v>
      </c>
      <c r="I1202" s="883">
        <v>1.0261453874843192</v>
      </c>
      <c r="K1202">
        <v>1.6155875617481927</v>
      </c>
      <c r="L1202">
        <v>0</v>
      </c>
      <c r="M1202">
        <v>6.5372618480152907E-3</v>
      </c>
      <c r="N1202">
        <v>0.12352952028635239</v>
      </c>
      <c r="O1202">
        <v>3.112399315918887E-2</v>
      </c>
      <c r="P1202">
        <v>1.8410888527192314E-2</v>
      </c>
      <c r="Q1202">
        <v>0</v>
      </c>
      <c r="R1202">
        <v>6.5372618480152907E-3</v>
      </c>
      <c r="S1202">
        <v>0.17609179549804518</v>
      </c>
      <c r="T1202">
        <v>1.1750361077960549</v>
      </c>
      <c r="U1202">
        <v>0</v>
      </c>
      <c r="V1202">
        <v>1.5913358948204497E-2</v>
      </c>
      <c r="W1202">
        <v>6.4725389976160161E-2</v>
      </c>
      <c r="X1202">
        <v>-1.6162773143901497E-2</v>
      </c>
      <c r="Y1202">
        <v>2.6919280700894783E-2</v>
      </c>
    </row>
    <row r="1203" spans="1:25" x14ac:dyDescent="0.25">
      <c r="A1203" s="879"/>
      <c r="B1203" s="1133">
        <v>953</v>
      </c>
      <c r="C1203" s="883">
        <v>0.96896265951657035</v>
      </c>
      <c r="D1203" s="883">
        <v>0.97747017731524277</v>
      </c>
      <c r="E1203" s="883">
        <v>0.99780479021726909</v>
      </c>
      <c r="F1203" s="883">
        <v>0.98377388622323014</v>
      </c>
      <c r="G1203" s="883">
        <v>0.97325474604826645</v>
      </c>
      <c r="H1203" s="883">
        <v>0.97563745814884861</v>
      </c>
      <c r="I1203" s="883">
        <v>1.005281761988946</v>
      </c>
      <c r="K1203">
        <v>1.6032495530415405</v>
      </c>
      <c r="L1203">
        <v>0</v>
      </c>
      <c r="M1203">
        <v>6.5328778439128167E-3</v>
      </c>
      <c r="N1203">
        <v>0.12140235949296659</v>
      </c>
      <c r="O1203">
        <v>3.2129217139613295E-2</v>
      </c>
      <c r="P1203">
        <v>1.8114833568861788E-2</v>
      </c>
      <c r="Q1203">
        <v>0</v>
      </c>
      <c r="R1203">
        <v>6.5328778439128167E-3</v>
      </c>
      <c r="S1203">
        <v>0.17378715231521627</v>
      </c>
      <c r="T1203">
        <v>1.1667512113017304</v>
      </c>
      <c r="U1203">
        <v>0</v>
      </c>
      <c r="V1203">
        <v>1.6028535455626984E-2</v>
      </c>
      <c r="W1203">
        <v>6.3967506250380821E-2</v>
      </c>
      <c r="X1203">
        <v>-1.5832490635179226E-2</v>
      </c>
      <c r="Y1203">
        <v>2.6901228152324447E-2</v>
      </c>
    </row>
    <row r="1204" spans="1:25" x14ac:dyDescent="0.25">
      <c r="A1204" s="879"/>
      <c r="B1204" s="1133">
        <v>954</v>
      </c>
      <c r="C1204" s="883">
        <v>0.99544258780133787</v>
      </c>
      <c r="D1204" s="883">
        <v>0.9788701859359521</v>
      </c>
      <c r="E1204" s="883">
        <v>1.0210711902394776</v>
      </c>
      <c r="F1204" s="883">
        <v>1.0210474004909114</v>
      </c>
      <c r="G1204" s="883">
        <v>0.97338698558985448</v>
      </c>
      <c r="H1204" s="883">
        <v>0.98765635529562812</v>
      </c>
      <c r="I1204" s="883">
        <v>1.0177144880508342</v>
      </c>
      <c r="K1204">
        <v>1.6435642204524727</v>
      </c>
      <c r="L1204">
        <v>0</v>
      </c>
      <c r="M1204">
        <v>6.3037532144530574E-3</v>
      </c>
      <c r="N1204">
        <v>0.12124976961850352</v>
      </c>
      <c r="O1204">
        <v>3.123593098452537E-2</v>
      </c>
      <c r="P1204">
        <v>1.90024219532288E-2</v>
      </c>
      <c r="Q1204">
        <v>0</v>
      </c>
      <c r="R1204">
        <v>6.3037532144530574E-3</v>
      </c>
      <c r="S1204">
        <v>0.17198653233615105</v>
      </c>
      <c r="T1204">
        <v>1.2105168981727561</v>
      </c>
      <c r="U1204">
        <v>0</v>
      </c>
      <c r="V1204">
        <v>1.5878870684016805E-2</v>
      </c>
      <c r="W1204">
        <v>6.3155951862697499E-2</v>
      </c>
      <c r="X1204">
        <v>-1.5419888870280903E-2</v>
      </c>
      <c r="Y1204">
        <v>2.5957733710872882E-2</v>
      </c>
    </row>
    <row r="1205" spans="1:25" x14ac:dyDescent="0.25">
      <c r="A1205" s="879"/>
      <c r="B1205" s="1133">
        <v>955</v>
      </c>
      <c r="C1205" s="883">
        <v>0.96817845616114317</v>
      </c>
      <c r="D1205" s="883">
        <v>1.0123604936691435</v>
      </c>
      <c r="E1205" s="883">
        <v>0.97643971463223511</v>
      </c>
      <c r="F1205" s="883">
        <v>0.99206270739751623</v>
      </c>
      <c r="G1205" s="883">
        <v>1.010514829505611</v>
      </c>
      <c r="H1205" s="883">
        <v>0.97426481513131358</v>
      </c>
      <c r="I1205" s="883">
        <v>1.0011290799075154</v>
      </c>
      <c r="K1205">
        <v>1.6077467261513323</v>
      </c>
      <c r="L1205">
        <v>0</v>
      </c>
      <c r="M1205">
        <v>6.5485160353587653E-3</v>
      </c>
      <c r="N1205">
        <v>0.11789790392003263</v>
      </c>
      <c r="O1205">
        <v>3.1725151373087325E-2</v>
      </c>
      <c r="P1205">
        <v>1.794134776623512E-2</v>
      </c>
      <c r="Q1205">
        <v>0</v>
      </c>
      <c r="R1205">
        <v>6.5485160353587653E-3</v>
      </c>
      <c r="S1205">
        <v>0.17275491705034099</v>
      </c>
      <c r="T1205">
        <v>1.176976830546584</v>
      </c>
      <c r="U1205">
        <v>0</v>
      </c>
      <c r="V1205">
        <v>1.6033092594690664E-2</v>
      </c>
      <c r="W1205">
        <v>6.2787160086164445E-2</v>
      </c>
      <c r="X1205">
        <v>-1.5335300627005733E-2</v>
      </c>
      <c r="Y1205">
        <v>2.696562344120455E-2</v>
      </c>
    </row>
    <row r="1206" spans="1:25" x14ac:dyDescent="0.25">
      <c r="A1206" s="879"/>
      <c r="B1206" s="1133">
        <v>956</v>
      </c>
      <c r="C1206" s="883">
        <v>1.0218945036842166</v>
      </c>
      <c r="D1206" s="883">
        <v>0.98212455004885335</v>
      </c>
      <c r="E1206" s="883">
        <v>1.0048342757403017</v>
      </c>
      <c r="F1206" s="883">
        <v>0.98505921647465489</v>
      </c>
      <c r="G1206" s="883">
        <v>1.0016966536248288</v>
      </c>
      <c r="H1206" s="883">
        <v>0.99909965113496746</v>
      </c>
      <c r="I1206" s="883">
        <v>1.0202821882135682</v>
      </c>
      <c r="K1206">
        <v>1.5918420259060568</v>
      </c>
      <c r="L1206">
        <v>0</v>
      </c>
      <c r="M1206">
        <v>6.2912553454947256E-3</v>
      </c>
      <c r="N1206">
        <v>0.11813599024496223</v>
      </c>
      <c r="O1206">
        <v>3.0401238352816395E-2</v>
      </c>
      <c r="P1206">
        <v>1.8156191412171917E-2</v>
      </c>
      <c r="Q1206">
        <v>0</v>
      </c>
      <c r="R1206">
        <v>6.2912553454947256E-3</v>
      </c>
      <c r="S1206">
        <v>0.16857386250856735</v>
      </c>
      <c r="T1206">
        <v>1.1681469543110403</v>
      </c>
      <c r="U1206">
        <v>0</v>
      </c>
      <c r="V1206">
        <v>1.5737108337398623E-2</v>
      </c>
      <c r="W1206">
        <v>6.2029628279150643E-2</v>
      </c>
      <c r="X1206">
        <v>-1.5245217251089516E-2</v>
      </c>
      <c r="Y1206">
        <v>2.5906269711040222E-2</v>
      </c>
    </row>
    <row r="1207" spans="1:25" x14ac:dyDescent="0.25">
      <c r="A1207" s="879"/>
      <c r="B1207" s="1133">
        <v>957</v>
      </c>
      <c r="C1207" s="883">
        <v>1.0045599541174446</v>
      </c>
      <c r="D1207" s="883">
        <v>0.99905271861864786</v>
      </c>
      <c r="E1207" s="883">
        <v>1.0277353498077582</v>
      </c>
      <c r="F1207" s="883">
        <v>0.98265177515106406</v>
      </c>
      <c r="G1207" s="883">
        <v>1.0074688929696582</v>
      </c>
      <c r="H1207" s="883">
        <v>0.97278919442339062</v>
      </c>
      <c r="I1207" s="883">
        <v>0.99628150953696848</v>
      </c>
      <c r="K1207">
        <v>1.5844683439554637</v>
      </c>
      <c r="L1207">
        <v>0</v>
      </c>
      <c r="M1207">
        <v>6.0612412470542106E-3</v>
      </c>
      <c r="N1207">
        <v>0.11773979300808729</v>
      </c>
      <c r="O1207">
        <v>3.0694667225728316E-2</v>
      </c>
      <c r="P1207">
        <v>1.8387952982313913E-2</v>
      </c>
      <c r="Q1207">
        <v>0</v>
      </c>
      <c r="R1207">
        <v>6.0612412470542106E-3</v>
      </c>
      <c r="S1207">
        <v>0.16578470375209955</v>
      </c>
      <c r="T1207">
        <v>1.1648754309459775</v>
      </c>
      <c r="U1207">
        <v>0</v>
      </c>
      <c r="V1207">
        <v>1.582916530764809E-2</v>
      </c>
      <c r="W1207">
        <v>6.1127062240540382E-2</v>
      </c>
      <c r="X1207">
        <v>-1.4929544101577612E-2</v>
      </c>
      <c r="Y1207">
        <v>2.4959112594645491E-2</v>
      </c>
    </row>
    <row r="1208" spans="1:25" x14ac:dyDescent="0.25">
      <c r="A1208" s="879"/>
      <c r="B1208" s="1133">
        <v>958</v>
      </c>
      <c r="C1208" s="883">
        <v>1.0021197467981349</v>
      </c>
      <c r="D1208" s="883">
        <v>0.98693270163485236</v>
      </c>
      <c r="E1208" s="883">
        <v>0.98704616257010691</v>
      </c>
      <c r="F1208" s="883">
        <v>1.0013566540785219</v>
      </c>
      <c r="G1208" s="883">
        <v>0.9774602265964214</v>
      </c>
      <c r="H1208" s="883">
        <v>0.98719400273512192</v>
      </c>
      <c r="I1208" s="883">
        <v>0.9694409627383942</v>
      </c>
      <c r="K1208">
        <v>1.6062822423053109</v>
      </c>
      <c r="L1208">
        <v>0</v>
      </c>
      <c r="M1208">
        <v>6.4241565742337286E-3</v>
      </c>
      <c r="N1208">
        <v>0.11749319888930232</v>
      </c>
      <c r="O1208">
        <v>3.0955619896672733E-2</v>
      </c>
      <c r="P1208">
        <v>1.8094572973665027E-2</v>
      </c>
      <c r="Q1208">
        <v>0</v>
      </c>
      <c r="R1208">
        <v>6.4241565742337286E-3</v>
      </c>
      <c r="S1208">
        <v>0.16259503490503333</v>
      </c>
      <c r="T1208">
        <v>1.1878048716188023</v>
      </c>
      <c r="U1208">
        <v>0</v>
      </c>
      <c r="V1208">
        <v>1.5842380006942002E-2</v>
      </c>
      <c r="W1208">
        <v>6.2240445739738519E-2</v>
      </c>
      <c r="X1208">
        <v>-1.5197415040296603E-2</v>
      </c>
      <c r="Y1208">
        <v>2.6453533315450566E-2</v>
      </c>
    </row>
    <row r="1209" spans="1:25" x14ac:dyDescent="0.25">
      <c r="A1209" s="879"/>
      <c r="B1209" s="1133">
        <v>959</v>
      </c>
      <c r="C1209" s="883">
        <v>0.99006703972421994</v>
      </c>
      <c r="D1209" s="883">
        <v>1.0128937883767395</v>
      </c>
      <c r="E1209" s="883">
        <v>1.0238480870107491</v>
      </c>
      <c r="F1209" s="883">
        <v>0.98294913720291732</v>
      </c>
      <c r="G1209" s="883">
        <v>1.0058295425892645</v>
      </c>
      <c r="H1209" s="883">
        <v>0.98929112807864505</v>
      </c>
      <c r="I1209" s="883">
        <v>1.0034288474604207</v>
      </c>
      <c r="K1209">
        <v>1.5941712381184314</v>
      </c>
      <c r="L1209">
        <v>0</v>
      </c>
      <c r="M1209">
        <v>6.2372431703061519E-3</v>
      </c>
      <c r="N1209">
        <v>0.12046422234499272</v>
      </c>
      <c r="O1209">
        <v>3.0976667161097989E-2</v>
      </c>
      <c r="P1209">
        <v>1.8402784932338604E-2</v>
      </c>
      <c r="Q1209">
        <v>0</v>
      </c>
      <c r="R1209">
        <v>6.2372431703061519E-3</v>
      </c>
      <c r="S1209">
        <v>0.17024792188961677</v>
      </c>
      <c r="T1209">
        <v>1.1652985150481112</v>
      </c>
      <c r="U1209">
        <v>0</v>
      </c>
      <c r="V1209">
        <v>1.5908605685985313E-2</v>
      </c>
      <c r="W1209">
        <v>6.2661094676729368E-2</v>
      </c>
      <c r="X1209">
        <v>-1.5472430807863478E-2</v>
      </c>
      <c r="Y1209">
        <v>2.5683857187422474E-2</v>
      </c>
    </row>
    <row r="1210" spans="1:25" x14ac:dyDescent="0.25">
      <c r="A1210" s="879"/>
      <c r="B1210" s="1133">
        <v>960</v>
      </c>
      <c r="C1210" s="883">
        <v>1.0054079980040409</v>
      </c>
      <c r="D1210" s="883">
        <v>0.99334568596646744</v>
      </c>
      <c r="E1210" s="883">
        <v>0.96907229648823456</v>
      </c>
      <c r="F1210" s="883">
        <v>1.0152224326393646</v>
      </c>
      <c r="G1210" s="883">
        <v>0.99917830887622994</v>
      </c>
      <c r="H1210" s="883">
        <v>1.031212811206454</v>
      </c>
      <c r="I1210" s="883">
        <v>1.0346678243584848</v>
      </c>
      <c r="K1210">
        <v>1.6420858850353424</v>
      </c>
      <c r="L1210">
        <v>0</v>
      </c>
      <c r="M1210">
        <v>6.7746431736814099E-3</v>
      </c>
      <c r="N1210">
        <v>0.12064236365626112</v>
      </c>
      <c r="O1210">
        <v>3.0788649064026986E-2</v>
      </c>
      <c r="P1210">
        <v>1.8233004984222371E-2</v>
      </c>
      <c r="Q1210">
        <v>0</v>
      </c>
      <c r="R1210">
        <v>6.7746431736814099E-3</v>
      </c>
      <c r="S1210">
        <v>0.17551455789147907</v>
      </c>
      <c r="T1210">
        <v>1.2045932776026456</v>
      </c>
      <c r="U1210">
        <v>0</v>
      </c>
      <c r="V1210">
        <v>1.5824587830639711E-2</v>
      </c>
      <c r="W1210">
        <v>6.4486889875488132E-2</v>
      </c>
      <c r="X1210">
        <v>-1.5894220617108806E-2</v>
      </c>
      <c r="Y1210">
        <v>2.7896774747686998E-2</v>
      </c>
    </row>
    <row r="1211" spans="1:25" x14ac:dyDescent="0.25">
      <c r="A1211" s="879"/>
      <c r="B1211" s="1133">
        <v>961</v>
      </c>
      <c r="C1211" s="883">
        <v>1.0132615546688233</v>
      </c>
      <c r="D1211" s="883">
        <v>0.97980206427164862</v>
      </c>
      <c r="E1211" s="883">
        <v>0.98721852713065206</v>
      </c>
      <c r="F1211" s="883">
        <v>0.98824946692274496</v>
      </c>
      <c r="G1211" s="883">
        <v>0.98474475674534756</v>
      </c>
      <c r="H1211" s="883">
        <v>1.0177745354303667</v>
      </c>
      <c r="I1211" s="883">
        <v>1.0006593529792227</v>
      </c>
      <c r="K1211">
        <v>1.5996467671908843</v>
      </c>
      <c r="L1211">
        <v>0</v>
      </c>
      <c r="M1211">
        <v>6.57058382795421E-3</v>
      </c>
      <c r="N1211">
        <v>0.12020196746469386</v>
      </c>
      <c r="O1211">
        <v>3.0704021762924725E-2</v>
      </c>
      <c r="P1211">
        <v>1.7959632050013965E-2</v>
      </c>
      <c r="Q1211">
        <v>0</v>
      </c>
      <c r="R1211">
        <v>6.57058382795421E-3</v>
      </c>
      <c r="S1211">
        <v>0.16782514684267388</v>
      </c>
      <c r="T1211">
        <v>1.1722540083155606</v>
      </c>
      <c r="U1211">
        <v>0</v>
      </c>
      <c r="V1211">
        <v>1.5782560817868121E-2</v>
      </c>
      <c r="W1211">
        <v>6.3669900303652924E-2</v>
      </c>
      <c r="X1211">
        <v>-1.580696504969532E-2</v>
      </c>
      <c r="Y1211">
        <v>2.7056494683191934E-2</v>
      </c>
    </row>
    <row r="1212" spans="1:25" x14ac:dyDescent="0.25">
      <c r="A1212" s="879"/>
      <c r="B1212" s="1133">
        <v>962</v>
      </c>
      <c r="C1212" s="883">
        <v>1.0073884051082533</v>
      </c>
      <c r="D1212" s="883">
        <v>0.9998553809998133</v>
      </c>
      <c r="E1212" s="883">
        <v>0.97176248886898897</v>
      </c>
      <c r="F1212" s="883">
        <v>1.004540532721111</v>
      </c>
      <c r="G1212" s="883">
        <v>1.0102317069966769</v>
      </c>
      <c r="H1212" s="883">
        <v>1.0011266420447833</v>
      </c>
      <c r="I1212" s="883">
        <v>0.98588259704523828</v>
      </c>
      <c r="K1212">
        <v>1.6121900118261918</v>
      </c>
      <c r="L1212">
        <v>0</v>
      </c>
      <c r="M1212">
        <v>6.5296465193852397E-3</v>
      </c>
      <c r="N1212">
        <v>0.11674485560236157</v>
      </c>
      <c r="O1212">
        <v>3.0645900269797681E-2</v>
      </c>
      <c r="P1212">
        <v>1.7968480031558588E-2</v>
      </c>
      <c r="Q1212">
        <v>0</v>
      </c>
      <c r="R1212">
        <v>6.5296465193852397E-3</v>
      </c>
      <c r="S1212">
        <v>0.16513560278691655</v>
      </c>
      <c r="T1212">
        <v>1.1918682950075723</v>
      </c>
      <c r="U1212">
        <v>0</v>
      </c>
      <c r="V1212">
        <v>1.5813928222666966E-2</v>
      </c>
      <c r="W1212">
        <v>6.2319226332795991E-2</v>
      </c>
      <c r="X1212">
        <v>-1.5194198560551857E-2</v>
      </c>
      <c r="Y1212">
        <v>2.6887922133074199E-2</v>
      </c>
    </row>
    <row r="1213" spans="1:25" x14ac:dyDescent="0.25">
      <c r="A1213" s="879"/>
      <c r="B1213" s="1133">
        <v>963</v>
      </c>
      <c r="C1213" s="883">
        <v>0.97661605511686633</v>
      </c>
      <c r="D1213" s="883">
        <v>1.0018944803341034</v>
      </c>
      <c r="E1213" s="883">
        <v>0.97975037068757864</v>
      </c>
      <c r="F1213" s="883">
        <v>0.97909699098187597</v>
      </c>
      <c r="G1213" s="883">
        <v>1.0055727013882132</v>
      </c>
      <c r="H1213" s="883">
        <v>0.98083888004963304</v>
      </c>
      <c r="I1213" s="883">
        <v>0.97645494206693795</v>
      </c>
      <c r="K1213">
        <v>1.5872097116297079</v>
      </c>
      <c r="L1213">
        <v>0</v>
      </c>
      <c r="M1213">
        <v>6.5471812262267101E-3</v>
      </c>
      <c r="N1213">
        <v>0.11845436977032074</v>
      </c>
      <c r="O1213">
        <v>3.1579400739746674E-2</v>
      </c>
      <c r="P1213">
        <v>1.7714309377816446E-2</v>
      </c>
      <c r="Q1213">
        <v>0</v>
      </c>
      <c r="R1213">
        <v>6.5471812262267101E-3</v>
      </c>
      <c r="S1213">
        <v>0.16752292850644432</v>
      </c>
      <c r="T1213">
        <v>1.1615338347436031</v>
      </c>
      <c r="U1213">
        <v>0</v>
      </c>
      <c r="V1213">
        <v>1.5984444521240329E-2</v>
      </c>
      <c r="W1213">
        <v>6.2978942078614167E-2</v>
      </c>
      <c r="X1213">
        <v>-1.5518645042864541E-2</v>
      </c>
      <c r="Y1213">
        <v>2.6960126934785913E-2</v>
      </c>
    </row>
    <row r="1214" spans="1:25" x14ac:dyDescent="0.25">
      <c r="A1214" s="879"/>
      <c r="B1214" s="1133">
        <v>964</v>
      </c>
      <c r="C1214" s="883">
        <v>0.96265092743930469</v>
      </c>
      <c r="D1214" s="883">
        <v>0.99418561996481114</v>
      </c>
      <c r="E1214" s="883">
        <v>1.0387806789293208</v>
      </c>
      <c r="F1214" s="883">
        <v>0.97250037001212131</v>
      </c>
      <c r="G1214" s="883">
        <v>0.9868150377809658</v>
      </c>
      <c r="H1214" s="883">
        <v>1.0188908724796841</v>
      </c>
      <c r="I1214" s="883">
        <v>0.97891794126071119</v>
      </c>
      <c r="K1214">
        <v>1.5988324394822133</v>
      </c>
      <c r="L1214">
        <v>0</v>
      </c>
      <c r="M1214">
        <v>6.5753410001948088E-3</v>
      </c>
      <c r="N1214">
        <v>0.12982821042703341</v>
      </c>
      <c r="O1214">
        <v>3.2082698399697594E-2</v>
      </c>
      <c r="P1214">
        <v>1.8469333989304233E-2</v>
      </c>
      <c r="Q1214">
        <v>0</v>
      </c>
      <c r="R1214">
        <v>6.5753410001948088E-3</v>
      </c>
      <c r="S1214">
        <v>0.17277208186223178</v>
      </c>
      <c r="T1214">
        <v>1.1526434859657952</v>
      </c>
      <c r="U1214">
        <v>0</v>
      </c>
      <c r="V1214">
        <v>1.606542461186455E-2</v>
      </c>
      <c r="W1214">
        <v>6.7039249933392178E-2</v>
      </c>
      <c r="X1214">
        <v>-1.7144129578838374E-2</v>
      </c>
      <c r="Y1214">
        <v>2.7076083871733631E-2</v>
      </c>
    </row>
    <row r="1215" spans="1:25" x14ac:dyDescent="0.25">
      <c r="A1215" s="879"/>
      <c r="B1215" s="1133">
        <v>965</v>
      </c>
      <c r="C1215" s="883">
        <v>0.9929798943274345</v>
      </c>
      <c r="D1215" s="883">
        <v>1.0026633334553101</v>
      </c>
      <c r="E1215" s="883">
        <v>1.0096364923543326</v>
      </c>
      <c r="F1215" s="883">
        <v>0.99278389959372593</v>
      </c>
      <c r="G1215" s="883">
        <v>1.0164434088498964</v>
      </c>
      <c r="H1215" s="883">
        <v>1.0211223656581108</v>
      </c>
      <c r="I1215" s="883">
        <v>1.0263676780444406</v>
      </c>
      <c r="K1215">
        <v>1.6170883758691119</v>
      </c>
      <c r="L1215">
        <v>0</v>
      </c>
      <c r="M1215">
        <v>6.528863044404986E-3</v>
      </c>
      <c r="N1215">
        <v>0.12347259040656532</v>
      </c>
      <c r="O1215">
        <v>3.1024333751259712E-2</v>
      </c>
      <c r="P1215">
        <v>1.844136310990414E-2</v>
      </c>
      <c r="Q1215">
        <v>0</v>
      </c>
      <c r="R1215">
        <v>6.528863044404986E-3</v>
      </c>
      <c r="S1215">
        <v>0.17562090764938418</v>
      </c>
      <c r="T1215">
        <v>1.1772189286149275</v>
      </c>
      <c r="U1215">
        <v>0</v>
      </c>
      <c r="V1215">
        <v>1.589245318447342E-2</v>
      </c>
      <c r="W1215">
        <v>6.4677734837710221E-2</v>
      </c>
      <c r="X1215">
        <v>-1.6144631607671097E-2</v>
      </c>
      <c r="Y1215">
        <v>2.6884695922558863E-2</v>
      </c>
    </row>
    <row r="1216" spans="1:25" x14ac:dyDescent="0.25">
      <c r="A1216" s="879"/>
      <c r="B1216" s="1133">
        <v>966</v>
      </c>
      <c r="C1216" s="883">
        <v>1.0247012305103682</v>
      </c>
      <c r="D1216" s="883">
        <v>0.99203961935085416</v>
      </c>
      <c r="E1216" s="883">
        <v>0.98410340681429576</v>
      </c>
      <c r="F1216" s="883">
        <v>1.0411944072149013</v>
      </c>
      <c r="G1216" s="883">
        <v>0.97152191017967127</v>
      </c>
      <c r="H1216" s="883">
        <v>0.99053555197730925</v>
      </c>
      <c r="I1216" s="883">
        <v>1.0108531039485427</v>
      </c>
      <c r="K1216">
        <v>1.6529069766082447</v>
      </c>
      <c r="L1216">
        <v>0</v>
      </c>
      <c r="M1216">
        <v>6.305511470437156E-3</v>
      </c>
      <c r="N1216">
        <v>0.11482105653859599</v>
      </c>
      <c r="O1216">
        <v>3.0213342823467687E-2</v>
      </c>
      <c r="P1216">
        <v>1.8721502478254399E-2</v>
      </c>
      <c r="Q1216">
        <v>0</v>
      </c>
      <c r="R1216">
        <v>6.305511470437156E-3</v>
      </c>
      <c r="S1216">
        <v>0.16594213041979861</v>
      </c>
      <c r="T1216">
        <v>1.2351173777248206</v>
      </c>
      <c r="U1216">
        <v>0</v>
      </c>
      <c r="V1216">
        <v>1.5722495893205415E-2</v>
      </c>
      <c r="W1216">
        <v>6.0914399437066682E-2</v>
      </c>
      <c r="X1216">
        <v>-1.4510302603022163E-2</v>
      </c>
      <c r="Y1216">
        <v>2.5964973896057501E-2</v>
      </c>
    </row>
    <row r="1217" spans="1:25" x14ac:dyDescent="0.25">
      <c r="A1217" s="879"/>
      <c r="B1217" s="1133">
        <v>967</v>
      </c>
      <c r="C1217" s="883">
        <v>1.0016215504880308</v>
      </c>
      <c r="D1217" s="883">
        <v>1.0101222126131877</v>
      </c>
      <c r="E1217" s="883">
        <v>0.9919345219424377</v>
      </c>
      <c r="F1217" s="883">
        <v>1.0158735982725764</v>
      </c>
      <c r="G1217" s="883">
        <v>1.0442704997772994</v>
      </c>
      <c r="H1217" s="883">
        <v>0.99007709264972799</v>
      </c>
      <c r="I1217" s="883">
        <v>1.0258160947321078</v>
      </c>
      <c r="K1217">
        <v>1.6321313052553286</v>
      </c>
      <c r="L1217">
        <v>0</v>
      </c>
      <c r="M1217">
        <v>6.3525313772266889E-3</v>
      </c>
      <c r="N1217">
        <v>0.11702834052912577</v>
      </c>
      <c r="O1217">
        <v>3.0680642668099202E-2</v>
      </c>
      <c r="P1217">
        <v>1.8516288088666216E-2</v>
      </c>
      <c r="Q1217">
        <v>0</v>
      </c>
      <c r="R1217">
        <v>6.3525313772266889E-3</v>
      </c>
      <c r="S1217">
        <v>0.17207711575897486</v>
      </c>
      <c r="T1217">
        <v>1.2049322853168605</v>
      </c>
      <c r="U1217">
        <v>0</v>
      </c>
      <c r="V1217">
        <v>1.5845085854137696E-2</v>
      </c>
      <c r="W1217">
        <v>6.1843224772181182E-2</v>
      </c>
      <c r="X1217">
        <v>-1.4950271235701904E-2</v>
      </c>
      <c r="Y1217">
        <v>2.615859350298538E-2</v>
      </c>
    </row>
    <row r="1218" spans="1:25" x14ac:dyDescent="0.25">
      <c r="A1218" s="879"/>
      <c r="B1218" s="1133">
        <v>968</v>
      </c>
      <c r="C1218" s="883">
        <v>1.0147282435387976</v>
      </c>
      <c r="D1218" s="883">
        <v>1.002369292332995</v>
      </c>
      <c r="E1218" s="883">
        <v>1.0161095127681039</v>
      </c>
      <c r="F1218" s="883">
        <v>1.0177197558367137</v>
      </c>
      <c r="G1218" s="883">
        <v>0.99697693940025078</v>
      </c>
      <c r="H1218" s="883">
        <v>0.96892553493000966</v>
      </c>
      <c r="I1218" s="883">
        <v>1.0129175850705425</v>
      </c>
      <c r="K1218">
        <v>1.6238959297280102</v>
      </c>
      <c r="L1218">
        <v>0</v>
      </c>
      <c r="M1218">
        <v>6.0289057046792249E-3</v>
      </c>
      <c r="N1218">
        <v>0.11511509103476139</v>
      </c>
      <c r="O1218">
        <v>3.0357297954393441E-2</v>
      </c>
      <c r="P1218">
        <v>1.8805620972960957E-2</v>
      </c>
      <c r="Q1218">
        <v>0</v>
      </c>
      <c r="R1218">
        <v>6.0289057046792249E-3</v>
      </c>
      <c r="S1218">
        <v>0.16659694545550968</v>
      </c>
      <c r="T1218">
        <v>1.206665197362063</v>
      </c>
      <c r="U1218">
        <v>0</v>
      </c>
      <c r="V1218">
        <v>1.5774784164813219E-2</v>
      </c>
      <c r="W1218">
        <v>6.0107365024645226E-2</v>
      </c>
      <c r="X1218">
        <v>-1.4352332827794469E-2</v>
      </c>
      <c r="Y1218">
        <v>2.482596058665729E-2</v>
      </c>
    </row>
    <row r="1219" spans="1:25" x14ac:dyDescent="0.25">
      <c r="A1219" s="879"/>
      <c r="B1219" s="1133">
        <v>969</v>
      </c>
      <c r="C1219" s="883">
        <v>0.97000731612270175</v>
      </c>
      <c r="D1219" s="883">
        <v>0.97908783792949727</v>
      </c>
      <c r="E1219" s="883">
        <v>1.0397166499621975</v>
      </c>
      <c r="F1219" s="883">
        <v>1.0097000073438069</v>
      </c>
      <c r="G1219" s="883">
        <v>1.001412715574058</v>
      </c>
      <c r="H1219" s="883">
        <v>1.0024360275099344</v>
      </c>
      <c r="I1219" s="883">
        <v>1.0143206295162055</v>
      </c>
      <c r="K1219">
        <v>1.6444763598380425</v>
      </c>
      <c r="L1219">
        <v>0</v>
      </c>
      <c r="M1219">
        <v>6.4587890254630166E-3</v>
      </c>
      <c r="N1219">
        <v>0.12770336651786957</v>
      </c>
      <c r="O1219">
        <v>3.2033937530832272E-2</v>
      </c>
      <c r="P1219">
        <v>1.9144468196456831E-2</v>
      </c>
      <c r="Q1219">
        <v>0</v>
      </c>
      <c r="R1219">
        <v>6.4587890254630166E-3</v>
      </c>
      <c r="S1219">
        <v>0.17683109482523163</v>
      </c>
      <c r="T1219">
        <v>1.196716475175192</v>
      </c>
      <c r="U1219">
        <v>0</v>
      </c>
      <c r="V1219">
        <v>1.6022476224135478E-2</v>
      </c>
      <c r="W1219">
        <v>6.5911888695396395E-2</v>
      </c>
      <c r="X1219">
        <v>-1.6483490912338E-2</v>
      </c>
      <c r="Y1219">
        <v>2.6596143585266244E-2</v>
      </c>
    </row>
    <row r="1220" spans="1:25" x14ac:dyDescent="0.25">
      <c r="A1220" s="879"/>
      <c r="B1220" s="1133">
        <v>970</v>
      </c>
      <c r="C1220" s="883">
        <v>0.99503363044249327</v>
      </c>
      <c r="D1220" s="883">
        <v>1.0271801627436565</v>
      </c>
      <c r="E1220" s="883">
        <v>0.985282222284801</v>
      </c>
      <c r="F1220" s="883">
        <v>0.98117859146979913</v>
      </c>
      <c r="G1220" s="883">
        <v>0.9964069171640545</v>
      </c>
      <c r="H1220" s="883">
        <v>0.9907196176885118</v>
      </c>
      <c r="I1220" s="883">
        <v>0.99291857470094647</v>
      </c>
      <c r="K1220">
        <v>1.5853087128255683</v>
      </c>
      <c r="L1220">
        <v>0</v>
      </c>
      <c r="M1220">
        <v>6.3881425684163889E-3</v>
      </c>
      <c r="N1220">
        <v>0.11652929758929331</v>
      </c>
      <c r="O1220">
        <v>3.0683001688633211E-2</v>
      </c>
      <c r="P1220">
        <v>1.7819949596520616E-2</v>
      </c>
      <c r="Q1220">
        <v>0</v>
      </c>
      <c r="R1220">
        <v>6.3881425684163889E-3</v>
      </c>
      <c r="S1220">
        <v>0.16753125150871112</v>
      </c>
      <c r="T1220">
        <v>1.1639020131720328</v>
      </c>
      <c r="U1220">
        <v>0</v>
      </c>
      <c r="V1220">
        <v>1.5881121552352898E-2</v>
      </c>
      <c r="W1220">
        <v>6.178423988062344E-2</v>
      </c>
      <c r="X1220">
        <v>-1.512739621234753E-2</v>
      </c>
      <c r="Y1220">
        <v>2.6305234049748834E-2</v>
      </c>
    </row>
    <row r="1221" spans="1:25" x14ac:dyDescent="0.25">
      <c r="A1221" s="879"/>
      <c r="B1221" s="1133">
        <v>971</v>
      </c>
      <c r="C1221" s="883">
        <v>1.0022338440516547</v>
      </c>
      <c r="D1221" s="883">
        <v>1.0030541281907566</v>
      </c>
      <c r="E1221" s="883">
        <v>0.97629649312399369</v>
      </c>
      <c r="F1221" s="883">
        <v>0.9657032082637077</v>
      </c>
      <c r="G1221" s="883">
        <v>0.97149109561634639</v>
      </c>
      <c r="H1221" s="883">
        <v>1.0170020076826676</v>
      </c>
      <c r="I1221" s="883">
        <v>0.9940150605460728</v>
      </c>
      <c r="K1221">
        <v>1.5723985906506202</v>
      </c>
      <c r="L1221">
        <v>0</v>
      </c>
      <c r="M1221">
        <v>6.631571148905762E-3</v>
      </c>
      <c r="N1221">
        <v>0.1193678335818341</v>
      </c>
      <c r="O1221">
        <v>3.0760681989673078E-2</v>
      </c>
      <c r="P1221">
        <v>1.7466790489475574E-2</v>
      </c>
      <c r="Q1221">
        <v>0</v>
      </c>
      <c r="R1221">
        <v>6.631571148905762E-3</v>
      </c>
      <c r="S1221">
        <v>0.16823820465144115</v>
      </c>
      <c r="T1221">
        <v>1.1457066746806204</v>
      </c>
      <c r="U1221">
        <v>0</v>
      </c>
      <c r="V1221">
        <v>1.5841760690589565E-2</v>
      </c>
      <c r="W1221">
        <v>6.3574544694399382E-2</v>
      </c>
      <c r="X1221">
        <v>-1.5865529742945219E-2</v>
      </c>
      <c r="Y1221">
        <v>2.7307629615531966E-2</v>
      </c>
    </row>
    <row r="1222" spans="1:25" x14ac:dyDescent="0.25">
      <c r="A1222" s="879"/>
      <c r="B1222" s="1133">
        <v>972</v>
      </c>
      <c r="C1222" s="883">
        <v>0.97975223975195858</v>
      </c>
      <c r="D1222" s="883">
        <v>1.0231229720668191</v>
      </c>
      <c r="E1222" s="883">
        <v>0.99499259463877943</v>
      </c>
      <c r="F1222" s="883">
        <v>1.0281479437398611</v>
      </c>
      <c r="G1222" s="883">
        <v>0.99627563845770761</v>
      </c>
      <c r="H1222" s="883">
        <v>0.99083572597997471</v>
      </c>
      <c r="I1222" s="883">
        <v>0.9934351569712998</v>
      </c>
      <c r="K1222">
        <v>1.649094546711853</v>
      </c>
      <c r="L1222">
        <v>0</v>
      </c>
      <c r="M1222">
        <v>6.4451430007146406E-3</v>
      </c>
      <c r="N1222">
        <v>0.11927386712868249</v>
      </c>
      <c r="O1222">
        <v>3.1202863944074073E-2</v>
      </c>
      <c r="P1222">
        <v>1.8730402562084723E-2</v>
      </c>
      <c r="Q1222">
        <v>0</v>
      </c>
      <c r="R1222">
        <v>6.4451430007146406E-3</v>
      </c>
      <c r="S1222">
        <v>0.17028802940028304</v>
      </c>
      <c r="T1222">
        <v>1.2194324173607585</v>
      </c>
      <c r="U1222">
        <v>0</v>
      </c>
      <c r="V1222">
        <v>1.5966576044169331E-2</v>
      </c>
      <c r="W1222">
        <v>6.2933956494913457E-2</v>
      </c>
      <c r="X1222">
        <v>-1.5273517907369612E-2</v>
      </c>
      <c r="Y1222">
        <v>2.6539951684254291E-2</v>
      </c>
    </row>
    <row r="1223" spans="1:25" x14ac:dyDescent="0.25">
      <c r="A1223" s="879"/>
      <c r="B1223" s="1133">
        <v>973</v>
      </c>
      <c r="C1223" s="883">
        <v>1.043717776456951</v>
      </c>
      <c r="D1223" s="883">
        <v>0.97719514963221599</v>
      </c>
      <c r="E1223" s="883">
        <v>1.0078689306514512</v>
      </c>
      <c r="F1223" s="883">
        <v>0.96265432614626545</v>
      </c>
      <c r="G1223" s="883">
        <v>0.97526009144171777</v>
      </c>
      <c r="H1223" s="883">
        <v>1.0275476979379725</v>
      </c>
      <c r="I1223" s="883">
        <v>0.99361148644043151</v>
      </c>
      <c r="K1223">
        <v>1.5595759495170005</v>
      </c>
      <c r="L1223">
        <v>0</v>
      </c>
      <c r="M1223">
        <v>6.3325298773480717E-3</v>
      </c>
      <c r="N1223">
        <v>0.11944658495829019</v>
      </c>
      <c r="O1223">
        <v>2.9822991268439531E-2</v>
      </c>
      <c r="P1223">
        <v>1.7754574097800277E-2</v>
      </c>
      <c r="Q1223">
        <v>0</v>
      </c>
      <c r="R1223">
        <v>6.3325298773480717E-3</v>
      </c>
      <c r="S1223">
        <v>0.16237467583199419</v>
      </c>
      <c r="T1223">
        <v>1.1415235737224447</v>
      </c>
      <c r="U1223">
        <v>0</v>
      </c>
      <c r="V1223">
        <v>1.5625561624113909E-2</v>
      </c>
      <c r="W1223">
        <v>6.2623574888959588E-2</v>
      </c>
      <c r="X1223">
        <v>-1.5671817761661402E-2</v>
      </c>
      <c r="Y1223">
        <v>2.6076230886619502E-2</v>
      </c>
    </row>
    <row r="1224" spans="1:25" x14ac:dyDescent="0.25">
      <c r="A1224" s="879"/>
      <c r="B1224" s="1133">
        <v>974</v>
      </c>
      <c r="C1224" s="883">
        <v>1.0073048845690751</v>
      </c>
      <c r="D1224" s="883">
        <v>0.99428540373349195</v>
      </c>
      <c r="E1224" s="883">
        <v>0.99503258680389794</v>
      </c>
      <c r="F1224" s="883">
        <v>0.99045255634419516</v>
      </c>
      <c r="G1224" s="883">
        <v>1.0143818011605028</v>
      </c>
      <c r="H1224" s="883">
        <v>1.0112608853677818</v>
      </c>
      <c r="I1224" s="883">
        <v>0.99182946465297883</v>
      </c>
      <c r="K1224">
        <v>1.6003496734017255</v>
      </c>
      <c r="L1224">
        <v>0</v>
      </c>
      <c r="M1224">
        <v>6.4799244109666216E-3</v>
      </c>
      <c r="N1224">
        <v>0.11992463984933362</v>
      </c>
      <c r="O1224">
        <v>3.0698420493052561E-2</v>
      </c>
      <c r="P1224">
        <v>1.8086864029185325E-2</v>
      </c>
      <c r="Q1224">
        <v>0</v>
      </c>
      <c r="R1224">
        <v>6.4799244109666216E-3</v>
      </c>
      <c r="S1224">
        <v>0.16680639191183372</v>
      </c>
      <c r="T1224">
        <v>1.1747231559801636</v>
      </c>
      <c r="U1224">
        <v>0</v>
      </c>
      <c r="V1224">
        <v>1.5814376928218209E-2</v>
      </c>
      <c r="W1224">
        <v>6.3276072481703444E-2</v>
      </c>
      <c r="X1224">
        <v>-1.5663423612576912E-2</v>
      </c>
      <c r="Y1224">
        <v>2.6683175340811709E-2</v>
      </c>
    </row>
    <row r="1225" spans="1:25" x14ac:dyDescent="0.25">
      <c r="A1225" s="879"/>
      <c r="B1225" s="1133">
        <v>975</v>
      </c>
      <c r="C1225" s="883">
        <v>1.0417905190716932</v>
      </c>
      <c r="D1225" s="883">
        <v>0.96256664340063258</v>
      </c>
      <c r="E1225" s="883">
        <v>1.0004432082526189</v>
      </c>
      <c r="F1225" s="883">
        <v>1.0078407909390819</v>
      </c>
      <c r="G1225" s="883">
        <v>1.0142020401775531</v>
      </c>
      <c r="H1225" s="883">
        <v>0.9941411353340962</v>
      </c>
      <c r="I1225" s="883">
        <v>0.99607756636296019</v>
      </c>
      <c r="K1225">
        <v>1.6085642613788373</v>
      </c>
      <c r="L1225">
        <v>0</v>
      </c>
      <c r="M1225">
        <v>6.2197280150317232E-3</v>
      </c>
      <c r="N1225">
        <v>0.11603570624413753</v>
      </c>
      <c r="O1225">
        <v>3.0065217484829678E-2</v>
      </c>
      <c r="P1225">
        <v>1.8360349364183088E-2</v>
      </c>
      <c r="Q1225">
        <v>0</v>
      </c>
      <c r="R1225">
        <v>6.2197280150317232E-3</v>
      </c>
      <c r="S1225">
        <v>0.16135274800990226</v>
      </c>
      <c r="T1225">
        <v>1.1952450169958877</v>
      </c>
      <c r="U1225">
        <v>0</v>
      </c>
      <c r="V1225">
        <v>1.5635224408267454E-2</v>
      </c>
      <c r="W1225">
        <v>6.1059700663654397E-2</v>
      </c>
      <c r="X1225">
        <v>-1.4801434687608429E-2</v>
      </c>
      <c r="Y1225">
        <v>2.56117328955838E-2</v>
      </c>
    </row>
    <row r="1226" spans="1:25" x14ac:dyDescent="0.25">
      <c r="A1226" s="879"/>
      <c r="B1226" s="1133">
        <v>976</v>
      </c>
      <c r="C1226" s="883">
        <v>0.98633845765315686</v>
      </c>
      <c r="D1226" s="883">
        <v>0.99528054423092838</v>
      </c>
      <c r="E1226" s="883">
        <v>0.96193547291761983</v>
      </c>
      <c r="F1226" s="883">
        <v>1.0012523043069079</v>
      </c>
      <c r="G1226" s="883">
        <v>0.98826409711781704</v>
      </c>
      <c r="H1226" s="883">
        <v>1.0065050823050732</v>
      </c>
      <c r="I1226" s="883">
        <v>1.0169756686550881</v>
      </c>
      <c r="K1226">
        <v>1.6232889494795151</v>
      </c>
      <c r="L1226">
        <v>0</v>
      </c>
      <c r="M1226">
        <v>6.7762701660621849E-3</v>
      </c>
      <c r="N1226">
        <v>0.11939895735540849</v>
      </c>
      <c r="O1226">
        <v>3.1364922477400817E-2</v>
      </c>
      <c r="P1226">
        <v>1.7904146809099145E-2</v>
      </c>
      <c r="Q1226">
        <v>0</v>
      </c>
      <c r="R1226">
        <v>6.7762701660621849E-3</v>
      </c>
      <c r="S1226">
        <v>0.1743387710976175</v>
      </c>
      <c r="T1226">
        <v>1.1881511599685126</v>
      </c>
      <c r="U1226">
        <v>0</v>
      </c>
      <c r="V1226">
        <v>1.5929420818425716E-2</v>
      </c>
      <c r="W1226">
        <v>6.4052088848799052E-2</v>
      </c>
      <c r="X1226">
        <v>-1.5753992308466646E-2</v>
      </c>
      <c r="Y1226">
        <v>2.7903474412717184E-2</v>
      </c>
    </row>
    <row r="1227" spans="1:25" x14ac:dyDescent="0.25">
      <c r="A1227" s="879"/>
      <c r="B1227" s="1133">
        <v>977</v>
      </c>
      <c r="C1227" s="883">
        <v>0.9973568028755978</v>
      </c>
      <c r="D1227" s="883">
        <v>1.0251424447822275</v>
      </c>
      <c r="E1227" s="883">
        <v>0.98420990453566692</v>
      </c>
      <c r="F1227" s="883">
        <v>0.97258924182155859</v>
      </c>
      <c r="G1227" s="883">
        <v>0.99452396335597837</v>
      </c>
      <c r="H1227" s="883">
        <v>1.00779097454773</v>
      </c>
      <c r="I1227" s="883">
        <v>0.96667399253219322</v>
      </c>
      <c r="K1227">
        <v>1.573769445958451</v>
      </c>
      <c r="L1227">
        <v>0</v>
      </c>
      <c r="M1227">
        <v>6.4948892905495881E-3</v>
      </c>
      <c r="N1227">
        <v>0.1182882406538522</v>
      </c>
      <c r="O1227">
        <v>3.0636714159312285E-2</v>
      </c>
      <c r="P1227">
        <v>1.7619886468669268E-2</v>
      </c>
      <c r="Q1227">
        <v>0</v>
      </c>
      <c r="R1227">
        <v>6.4948892905495881E-3</v>
      </c>
      <c r="S1227">
        <v>0.1636889004265038</v>
      </c>
      <c r="T1227">
        <v>1.1537325343261218</v>
      </c>
      <c r="U1227">
        <v>0</v>
      </c>
      <c r="V1227">
        <v>1.5868359539638093E-2</v>
      </c>
      <c r="W1227">
        <v>6.2750455295488797E-2</v>
      </c>
      <c r="X1227">
        <v>-1.5560442962420927E-2</v>
      </c>
      <c r="Y1227">
        <v>2.6744798051285101E-2</v>
      </c>
    </row>
    <row r="1228" spans="1:25" x14ac:dyDescent="0.25">
      <c r="A1228" s="879"/>
      <c r="B1228" s="1133">
        <v>978</v>
      </c>
      <c r="C1228" s="883">
        <v>1.0049942838055708</v>
      </c>
      <c r="D1228" s="883">
        <v>1.0170136635490539</v>
      </c>
      <c r="E1228" s="883">
        <v>0.99055724426300262</v>
      </c>
      <c r="F1228" s="883">
        <v>1.0060026245924536</v>
      </c>
      <c r="G1228" s="883">
        <v>0.99518193493606233</v>
      </c>
      <c r="H1228" s="883">
        <v>1.0126535832580614</v>
      </c>
      <c r="I1228" s="883">
        <v>1.0049318753705658</v>
      </c>
      <c r="K1228">
        <v>1.6199996689805063</v>
      </c>
      <c r="L1228">
        <v>0</v>
      </c>
      <c r="M1228">
        <v>6.4637524207649842E-3</v>
      </c>
      <c r="N1228">
        <v>0.11883441345802312</v>
      </c>
      <c r="O1228">
        <v>3.0495754135017417E-2</v>
      </c>
      <c r="P1228">
        <v>1.8303741723556324E-2</v>
      </c>
      <c r="Q1228">
        <v>0</v>
      </c>
      <c r="R1228">
        <v>6.4637524207649842E-3</v>
      </c>
      <c r="S1228">
        <v>0.16923996997752611</v>
      </c>
      <c r="T1228">
        <v>1.193250082421252</v>
      </c>
      <c r="U1228">
        <v>0</v>
      </c>
      <c r="V1228">
        <v>1.5826819966062895E-2</v>
      </c>
      <c r="W1228">
        <v>6.2840760290051145E-2</v>
      </c>
      <c r="X1228">
        <v>-1.540845495465187E-2</v>
      </c>
      <c r="Y1228">
        <v>2.6616581963668319E-2</v>
      </c>
    </row>
    <row r="1229" spans="1:25" x14ac:dyDescent="0.25">
      <c r="A1229" s="879"/>
      <c r="B1229" s="1133">
        <v>979</v>
      </c>
      <c r="C1229" s="883">
        <v>0.96692823808581763</v>
      </c>
      <c r="D1229" s="883">
        <v>1.0052511159242568</v>
      </c>
      <c r="E1229" s="883">
        <v>1.0322922973076183</v>
      </c>
      <c r="F1229" s="883">
        <v>0.97465032092565895</v>
      </c>
      <c r="G1229" s="883">
        <v>1.00462067149487</v>
      </c>
      <c r="H1229" s="883">
        <v>1.0240695198983927</v>
      </c>
      <c r="I1229" s="883">
        <v>1.0173990099630088</v>
      </c>
      <c r="K1229">
        <v>1.6062111486734214</v>
      </c>
      <c r="L1229">
        <v>0</v>
      </c>
      <c r="M1229">
        <v>6.5844797833676562E-3</v>
      </c>
      <c r="N1229">
        <v>0.1287681923685555</v>
      </c>
      <c r="O1229">
        <v>3.1806058543439347E-2</v>
      </c>
      <c r="P1229">
        <v>1.8502486655784137E-2</v>
      </c>
      <c r="Q1229">
        <v>0</v>
      </c>
      <c r="R1229">
        <v>6.5844797833676562E-3</v>
      </c>
      <c r="S1229">
        <v>0.17895307632336674</v>
      </c>
      <c r="T1229">
        <v>1.1553082249681363</v>
      </c>
      <c r="U1229">
        <v>0</v>
      </c>
      <c r="V1229">
        <v>1.6040373110621137E-2</v>
      </c>
      <c r="W1229">
        <v>6.6703398640574896E-2</v>
      </c>
      <c r="X1229">
        <v>-1.6984377691252939E-2</v>
      </c>
      <c r="Y1229">
        <v>2.7113715754196643E-2</v>
      </c>
    </row>
    <row r="1230" spans="1:25" x14ac:dyDescent="0.25">
      <c r="A1230" s="879"/>
      <c r="B1230" s="1133">
        <v>980</v>
      </c>
      <c r="C1230" s="883">
        <v>1.010409573460457</v>
      </c>
      <c r="D1230" s="883">
        <v>0.99480880977051378</v>
      </c>
      <c r="E1230" s="883">
        <v>1.005205407724352</v>
      </c>
      <c r="F1230" s="883">
        <v>0.99972193023556311</v>
      </c>
      <c r="G1230" s="883">
        <v>1.0109010472129445</v>
      </c>
      <c r="H1230" s="883">
        <v>1.0028945682447754</v>
      </c>
      <c r="I1230" s="883">
        <v>1.0193677515070008</v>
      </c>
      <c r="K1230">
        <v>1.6134265231383753</v>
      </c>
      <c r="L1230">
        <v>0</v>
      </c>
      <c r="M1230">
        <v>6.3483966939074394E-3</v>
      </c>
      <c r="N1230">
        <v>0.11927451730473643</v>
      </c>
      <c r="O1230">
        <v>3.0589060166911708E-2</v>
      </c>
      <c r="P1230">
        <v>1.8420342972825604E-2</v>
      </c>
      <c r="Q1230">
        <v>0</v>
      </c>
      <c r="R1230">
        <v>6.3483966939074394E-3</v>
      </c>
      <c r="S1230">
        <v>0.170425974406619</v>
      </c>
      <c r="T1230">
        <v>1.1855280615169956</v>
      </c>
      <c r="U1230">
        <v>0</v>
      </c>
      <c r="V1230">
        <v>1.5797747177605036E-2</v>
      </c>
      <c r="W1230">
        <v>6.2615915762101945E-2</v>
      </c>
      <c r="X1230">
        <v>-1.5366663782443857E-2</v>
      </c>
      <c r="Y1230">
        <v>2.6141567613022911E-2</v>
      </c>
    </row>
    <row r="1231" spans="1:25" x14ac:dyDescent="0.25">
      <c r="A1231" s="879"/>
      <c r="B1231" s="1133">
        <v>981</v>
      </c>
      <c r="C1231" s="883">
        <v>1.0259188277908622</v>
      </c>
      <c r="D1231" s="883">
        <v>0.98388632531794606</v>
      </c>
      <c r="E1231" s="883">
        <v>1.0070451373281746</v>
      </c>
      <c r="F1231" s="883">
        <v>1.0299819037854825</v>
      </c>
      <c r="G1231" s="883">
        <v>1.0008269589952401</v>
      </c>
      <c r="H1231" s="883">
        <v>0.9822509618034676</v>
      </c>
      <c r="I1231" s="883">
        <v>1.0302517207504114</v>
      </c>
      <c r="K1231">
        <v>1.6420578490357316</v>
      </c>
      <c r="L1231">
        <v>0</v>
      </c>
      <c r="M1231">
        <v>6.1440848165689897E-3</v>
      </c>
      <c r="N1231">
        <v>0.11575078819535094</v>
      </c>
      <c r="O1231">
        <v>3.0258399770253398E-2</v>
      </c>
      <c r="P1231">
        <v>1.8901456263422503E-2</v>
      </c>
      <c r="Q1231">
        <v>0</v>
      </c>
      <c r="R1231">
        <v>6.1440848165689897E-3</v>
      </c>
      <c r="S1231">
        <v>0.16854875006873643</v>
      </c>
      <c r="T1231">
        <v>1.2213769215938297</v>
      </c>
      <c r="U1231">
        <v>0</v>
      </c>
      <c r="V1231">
        <v>1.5716181676940867E-2</v>
      </c>
      <c r="W1231">
        <v>6.0710696445916104E-2</v>
      </c>
      <c r="X1231">
        <v>-1.450559264702086E-2</v>
      </c>
      <c r="Y1231">
        <v>2.5300247668301669E-2</v>
      </c>
    </row>
    <row r="1232" spans="1:25" x14ac:dyDescent="0.25">
      <c r="A1232" s="879"/>
      <c r="B1232" s="1133">
        <v>982</v>
      </c>
      <c r="C1232" s="883">
        <v>0.98764783871367934</v>
      </c>
      <c r="D1232" s="883">
        <v>1.010031514919463</v>
      </c>
      <c r="E1232" s="883">
        <v>0.99663449785368063</v>
      </c>
      <c r="F1232" s="883">
        <v>1.017840832926014</v>
      </c>
      <c r="G1232" s="883">
        <v>0.98876018014269573</v>
      </c>
      <c r="H1232" s="883">
        <v>0.99236883173696111</v>
      </c>
      <c r="I1232" s="883">
        <v>1.0168319341729797</v>
      </c>
      <c r="K1232">
        <v>1.6393370893692103</v>
      </c>
      <c r="L1232">
        <v>0</v>
      </c>
      <c r="M1232">
        <v>6.4311384823101843E-3</v>
      </c>
      <c r="N1232">
        <v>0.11930463901355592</v>
      </c>
      <c r="O1232">
        <v>3.1111889078383553E-2</v>
      </c>
      <c r="P1232">
        <v>1.8627667695999269E-2</v>
      </c>
      <c r="Q1232">
        <v>0</v>
      </c>
      <c r="R1232">
        <v>6.4311384823101843E-3</v>
      </c>
      <c r="S1232">
        <v>0.1731256161676992</v>
      </c>
      <c r="T1232">
        <v>1.2071766029098219</v>
      </c>
      <c r="U1232">
        <v>0</v>
      </c>
      <c r="V1232">
        <v>1.5922093180338156E-2</v>
      </c>
      <c r="W1232">
        <v>6.2898795021768386E-2</v>
      </c>
      <c r="X1232">
        <v>-1.5312497268532116E-2</v>
      </c>
      <c r="Y1232">
        <v>2.6482283570176093E-2</v>
      </c>
    </row>
    <row r="1233" spans="1:25" x14ac:dyDescent="0.25">
      <c r="A1233" s="879"/>
      <c r="B1233" s="1133">
        <v>983</v>
      </c>
      <c r="C1233" s="883">
        <v>0.99302290126770187</v>
      </c>
      <c r="D1233" s="883">
        <v>1.0263362770584525</v>
      </c>
      <c r="E1233" s="883">
        <v>1.0022018213881247</v>
      </c>
      <c r="F1233" s="883">
        <v>1.0114291804188233</v>
      </c>
      <c r="G1233" s="883">
        <v>1.0363342229769086</v>
      </c>
      <c r="H1233" s="883">
        <v>1.010478853869164</v>
      </c>
      <c r="I1233" s="883">
        <v>0.99620291262249072</v>
      </c>
      <c r="K1233">
        <v>1.6288552388172619</v>
      </c>
      <c r="L1233">
        <v>0</v>
      </c>
      <c r="M1233">
        <v>6.4353753899166824E-3</v>
      </c>
      <c r="N1233">
        <v>0.12037201237218324</v>
      </c>
      <c r="O1233">
        <v>3.0741194767113202E-2</v>
      </c>
      <c r="P1233">
        <v>1.8555328375452027E-2</v>
      </c>
      <c r="Q1233">
        <v>0</v>
      </c>
      <c r="R1233">
        <v>6.4353753899166824E-3</v>
      </c>
      <c r="S1233">
        <v>0.16958769570794713</v>
      </c>
      <c r="T1233">
        <v>1.1994676065970316</v>
      </c>
      <c r="U1233">
        <v>0</v>
      </c>
      <c r="V1233">
        <v>1.5892215410197818E-2</v>
      </c>
      <c r="W1233">
        <v>6.3286261287499895E-2</v>
      </c>
      <c r="X1233">
        <v>-1.5546806101722956E-2</v>
      </c>
      <c r="Y1233">
        <v>2.6499730401558202E-2</v>
      </c>
    </row>
    <row r="1234" spans="1:25" x14ac:dyDescent="0.25">
      <c r="A1234" s="879"/>
      <c r="B1234" s="1133">
        <v>984</v>
      </c>
      <c r="C1234" s="883">
        <v>1.00894220083855</v>
      </c>
      <c r="D1234" s="883">
        <v>0.98212542746571851</v>
      </c>
      <c r="E1234" s="883">
        <v>0.98706657807964437</v>
      </c>
      <c r="F1234" s="883">
        <v>1.035976151683262</v>
      </c>
      <c r="G1234" s="883">
        <v>1.0150338535714547</v>
      </c>
      <c r="H1234" s="883">
        <v>0.95448019940534023</v>
      </c>
      <c r="I1234" s="883">
        <v>0.96522446324516809</v>
      </c>
      <c r="K1234">
        <v>1.637377076456024</v>
      </c>
      <c r="L1234">
        <v>0</v>
      </c>
      <c r="M1234">
        <v>6.1826240861406773E-3</v>
      </c>
      <c r="N1234">
        <v>0.11307916689761503</v>
      </c>
      <c r="O1234">
        <v>3.0806392154822577E-2</v>
      </c>
      <c r="P1234">
        <v>1.8590567329872743E-2</v>
      </c>
      <c r="Q1234">
        <v>0</v>
      </c>
      <c r="R1234">
        <v>6.1826240861406773E-3</v>
      </c>
      <c r="S1234">
        <v>0.15901146936449165</v>
      </c>
      <c r="T1234">
        <v>1.2288699735790414</v>
      </c>
      <c r="U1234">
        <v>0</v>
      </c>
      <c r="V1234">
        <v>1.5805594160623868E-2</v>
      </c>
      <c r="W1234">
        <v>5.990156094591545E-2</v>
      </c>
      <c r="X1234">
        <v>-1.4146593497022554E-2</v>
      </c>
      <c r="Y1234">
        <v>2.5458945520663613E-2</v>
      </c>
    </row>
    <row r="1235" spans="1:25" x14ac:dyDescent="0.25">
      <c r="A1235" s="879"/>
      <c r="B1235" s="1133">
        <v>985</v>
      </c>
      <c r="C1235" s="883">
        <v>1.0005310206398821</v>
      </c>
      <c r="D1235" s="883">
        <v>1.0222565770503254</v>
      </c>
      <c r="E1235" s="883">
        <v>0.98596501968099082</v>
      </c>
      <c r="F1235" s="883">
        <v>0.9689026257070501</v>
      </c>
      <c r="G1235" s="883">
        <v>1.0112587420363355</v>
      </c>
      <c r="H1235" s="883">
        <v>1.0212876929524854</v>
      </c>
      <c r="I1235" s="883">
        <v>1.0327045101427619</v>
      </c>
      <c r="K1235">
        <v>1.5830816782536015</v>
      </c>
      <c r="L1235">
        <v>0</v>
      </c>
      <c r="M1235">
        <v>6.5591862843286212E-3</v>
      </c>
      <c r="N1235">
        <v>0.11977061333443301</v>
      </c>
      <c r="O1235">
        <v>3.0572570548607878E-2</v>
      </c>
      <c r="P1235">
        <v>1.7737008897141058E-2</v>
      </c>
      <c r="Q1235">
        <v>0</v>
      </c>
      <c r="R1235">
        <v>6.5591862843286212E-3</v>
      </c>
      <c r="S1235">
        <v>0.17514573157881189</v>
      </c>
      <c r="T1235">
        <v>1.1493275757550039</v>
      </c>
      <c r="U1235">
        <v>0</v>
      </c>
      <c r="V1235">
        <v>1.5851018239841648E-2</v>
      </c>
      <c r="W1235">
        <v>6.3481139782908522E-2</v>
      </c>
      <c r="X1235">
        <v>-1.5813541510375929E-2</v>
      </c>
      <c r="Y1235">
        <v>2.7009561627228895E-2</v>
      </c>
    </row>
    <row r="1236" spans="1:25" x14ac:dyDescent="0.25">
      <c r="A1236" s="879"/>
      <c r="B1236" s="1133">
        <v>986</v>
      </c>
      <c r="C1236" s="883">
        <v>1.0068123145688315</v>
      </c>
      <c r="D1236" s="883">
        <v>0.99495982782231018</v>
      </c>
      <c r="E1236" s="883">
        <v>0.95956645158332843</v>
      </c>
      <c r="F1236" s="883">
        <v>1.0044933638983606</v>
      </c>
      <c r="G1236" s="883">
        <v>1.0147554253635007</v>
      </c>
      <c r="H1236" s="883">
        <v>0.97897450754296744</v>
      </c>
      <c r="I1236" s="883">
        <v>1.0046016097706636</v>
      </c>
      <c r="K1236">
        <v>1.6101646719636762</v>
      </c>
      <c r="L1236">
        <v>0</v>
      </c>
      <c r="M1236">
        <v>6.471141578572542E-3</v>
      </c>
      <c r="N1236">
        <v>0.11362190131608882</v>
      </c>
      <c r="O1236">
        <v>3.0732802242708964E-2</v>
      </c>
      <c r="P1236">
        <v>1.7826110700965538E-2</v>
      </c>
      <c r="Q1236">
        <v>0</v>
      </c>
      <c r="R1236">
        <v>6.471141578572542E-3</v>
      </c>
      <c r="S1236">
        <v>0.1671203975393088</v>
      </c>
      <c r="T1236">
        <v>1.1920418447832699</v>
      </c>
      <c r="U1236">
        <v>0</v>
      </c>
      <c r="V1236">
        <v>1.5817024724329519E-2</v>
      </c>
      <c r="W1236">
        <v>6.1025878934243889E-2</v>
      </c>
      <c r="X1236">
        <v>-1.4668297477537392E-2</v>
      </c>
      <c r="Y1236">
        <v>2.664700920029878E-2</v>
      </c>
    </row>
    <row r="1237" spans="1:25" x14ac:dyDescent="0.25">
      <c r="A1237" s="879"/>
      <c r="B1237" s="1133">
        <v>987</v>
      </c>
      <c r="C1237" s="883">
        <v>1.0166666712328476</v>
      </c>
      <c r="D1237" s="883">
        <v>1.0216698243486286</v>
      </c>
      <c r="E1237" s="883">
        <v>0.97255570482659681</v>
      </c>
      <c r="F1237" s="883">
        <v>1.0192497791775295</v>
      </c>
      <c r="G1237" s="883">
        <v>1.0169283605570449</v>
      </c>
      <c r="H1237" s="883">
        <v>0.97780933473450138</v>
      </c>
      <c r="I1237" s="883">
        <v>1.0231852721895942</v>
      </c>
      <c r="K1237">
        <v>1.6249674414980437</v>
      </c>
      <c r="L1237">
        <v>0</v>
      </c>
      <c r="M1237">
        <v>6.2545320020559667E-3</v>
      </c>
      <c r="N1237">
        <v>0.11195778792416937</v>
      </c>
      <c r="O1237">
        <v>3.0104595761300819E-2</v>
      </c>
      <c r="P1237">
        <v>1.8248160564794075E-2</v>
      </c>
      <c r="Q1237">
        <v>0</v>
      </c>
      <c r="R1237">
        <v>6.2545320020559667E-3</v>
      </c>
      <c r="S1237">
        <v>0.16825620336788674</v>
      </c>
      <c r="T1237">
        <v>1.2093054130494103</v>
      </c>
      <c r="U1237">
        <v>0</v>
      </c>
      <c r="V1237">
        <v>1.5764540689814907E-2</v>
      </c>
      <c r="W1237">
        <v>5.9740047936604666E-2</v>
      </c>
      <c r="X1237">
        <v>-1.4164357315208254E-2</v>
      </c>
      <c r="Y1237">
        <v>2.5755049519270875E-2</v>
      </c>
    </row>
    <row r="1238" spans="1:25" x14ac:dyDescent="0.25">
      <c r="A1238" s="879"/>
      <c r="B1238" s="1133">
        <v>988</v>
      </c>
      <c r="C1238" s="883">
        <v>1.0308969056851987</v>
      </c>
      <c r="D1238" s="883">
        <v>0.98088066778452243</v>
      </c>
      <c r="E1238" s="883">
        <v>1.004494018818191</v>
      </c>
      <c r="F1238" s="883">
        <v>0.96859623550190699</v>
      </c>
      <c r="G1238" s="883">
        <v>1.0162404628205453</v>
      </c>
      <c r="H1238" s="883">
        <v>0.99339805692767957</v>
      </c>
      <c r="I1238" s="883">
        <v>0.99873642825407116</v>
      </c>
      <c r="K1238">
        <v>1.5637055419444448</v>
      </c>
      <c r="L1238">
        <v>0</v>
      </c>
      <c r="M1238">
        <v>6.2060826092062496E-3</v>
      </c>
      <c r="N1238">
        <v>0.1164779236761307</v>
      </c>
      <c r="O1238">
        <v>3.0151325010306543E-2</v>
      </c>
      <c r="P1238">
        <v>1.7817631229430496E-2</v>
      </c>
      <c r="Q1238">
        <v>0</v>
      </c>
      <c r="R1238">
        <v>6.2060826092062496E-3</v>
      </c>
      <c r="S1238">
        <v>0.16326250675162851</v>
      </c>
      <c r="T1238">
        <v>1.1486302047012269</v>
      </c>
      <c r="U1238">
        <v>0</v>
      </c>
      <c r="V1238">
        <v>1.569052150909846E-2</v>
      </c>
      <c r="W1238">
        <v>6.1169343809086507E-2</v>
      </c>
      <c r="X1238">
        <v>-1.5049458285651161E-2</v>
      </c>
      <c r="Y1238">
        <v>2.5555543543186184E-2</v>
      </c>
    </row>
    <row r="1239" spans="1:25" x14ac:dyDescent="0.25">
      <c r="A1239" s="879"/>
      <c r="B1239" s="1133">
        <v>989</v>
      </c>
      <c r="C1239" s="883">
        <v>1.0157518768198053</v>
      </c>
      <c r="D1239" s="883">
        <v>1.0082245711963402</v>
      </c>
      <c r="E1239" s="883">
        <v>0.99085445795623728</v>
      </c>
      <c r="F1239" s="883">
        <v>1.0128075901158777</v>
      </c>
      <c r="G1239" s="883">
        <v>0.99258296019386094</v>
      </c>
      <c r="H1239" s="883">
        <v>1.0066710882154988</v>
      </c>
      <c r="I1239" s="883">
        <v>1.0030179732559572</v>
      </c>
      <c r="K1239">
        <v>1.6232030258974155</v>
      </c>
      <c r="L1239">
        <v>0</v>
      </c>
      <c r="M1239">
        <v>6.3805022954724882E-3</v>
      </c>
      <c r="N1239">
        <v>0.11735557929186424</v>
      </c>
      <c r="O1239">
        <v>3.0277477892309643E-2</v>
      </c>
      <c r="P1239">
        <v>1.8382788471299594E-2</v>
      </c>
      <c r="Q1239">
        <v>0</v>
      </c>
      <c r="R1239">
        <v>6.3805022954724882E-3</v>
      </c>
      <c r="S1239">
        <v>0.16687564425500367</v>
      </c>
      <c r="T1239">
        <v>1.2013160506776726</v>
      </c>
      <c r="U1239">
        <v>0</v>
      </c>
      <c r="V1239">
        <v>1.5769369980246962E-2</v>
      </c>
      <c r="W1239">
        <v>6.2049544375009286E-2</v>
      </c>
      <c r="X1239">
        <v>-1.5097201811674087E-2</v>
      </c>
      <c r="Y1239">
        <v>2.6273772765683739E-2</v>
      </c>
    </row>
    <row r="1240" spans="1:25" x14ac:dyDescent="0.25">
      <c r="A1240" s="879"/>
      <c r="B1240" s="1133">
        <v>990</v>
      </c>
      <c r="C1240" s="883">
        <v>1.0057627060600829</v>
      </c>
      <c r="D1240" s="883">
        <v>0.96362223238012357</v>
      </c>
      <c r="E1240" s="883">
        <v>1.025362448028619</v>
      </c>
      <c r="F1240" s="883">
        <v>0.99666386828561204</v>
      </c>
      <c r="G1240" s="883">
        <v>1.0317140730113628</v>
      </c>
      <c r="H1240" s="883">
        <v>0.99480218891131411</v>
      </c>
      <c r="I1240" s="883">
        <v>0.97625247418850414</v>
      </c>
      <c r="K1240">
        <v>1.6065930106461916</v>
      </c>
      <c r="L1240">
        <v>0</v>
      </c>
      <c r="M1240">
        <v>6.3047080363341033E-3</v>
      </c>
      <c r="N1240">
        <v>0.1220402113420731</v>
      </c>
      <c r="O1240">
        <v>3.1106198602059435E-2</v>
      </c>
      <c r="P1240">
        <v>1.8556261246620364E-2</v>
      </c>
      <c r="Q1240">
        <v>0</v>
      </c>
      <c r="R1240">
        <v>6.3047080363341033E-3</v>
      </c>
      <c r="S1240">
        <v>0.16385863088789054</v>
      </c>
      <c r="T1240">
        <v>1.1815296134947251</v>
      </c>
      <c r="U1240">
        <v>0</v>
      </c>
      <c r="V1240">
        <v>1.5822675516529095E-2</v>
      </c>
      <c r="W1240">
        <v>6.34336187791157E-2</v>
      </c>
      <c r="X1240">
        <v>-1.5715864720249162E-2</v>
      </c>
      <c r="Y1240">
        <v>2.596166549742707E-2</v>
      </c>
    </row>
    <row r="1241" spans="1:25" x14ac:dyDescent="0.25">
      <c r="A1241" s="879"/>
      <c r="B1241" s="1133">
        <v>991</v>
      </c>
      <c r="C1241" s="883">
        <v>1.0315021975050849</v>
      </c>
      <c r="D1241" s="883">
        <v>1.0168118596726643</v>
      </c>
      <c r="E1241" s="883">
        <v>1.0200633934049419</v>
      </c>
      <c r="F1241" s="883">
        <v>1.0107657770402847</v>
      </c>
      <c r="G1241" s="883">
        <v>1.0453572981547017</v>
      </c>
      <c r="H1241" s="883">
        <v>1.0221003239378914</v>
      </c>
      <c r="I1241" s="883">
        <v>1.001589295747622</v>
      </c>
      <c r="K1241">
        <v>1.618668176867484</v>
      </c>
      <c r="L1241">
        <v>0</v>
      </c>
      <c r="M1241">
        <v>6.1951033279802883E-3</v>
      </c>
      <c r="N1241">
        <v>0.1189824327725309</v>
      </c>
      <c r="O1241">
        <v>2.9689797149278926E-2</v>
      </c>
      <c r="P1241">
        <v>1.8724008594645507E-2</v>
      </c>
      <c r="Q1241">
        <v>0</v>
      </c>
      <c r="R1241">
        <v>6.1951033279802883E-3</v>
      </c>
      <c r="S1241">
        <v>0.1649031365114442</v>
      </c>
      <c r="T1241">
        <v>1.1983462164360623</v>
      </c>
      <c r="U1241">
        <v>0</v>
      </c>
      <c r="V1241">
        <v>1.5687418339926557E-2</v>
      </c>
      <c r="W1241">
        <v>6.2005720169235105E-2</v>
      </c>
      <c r="X1241">
        <v>-1.5180885922976587E-2</v>
      </c>
      <c r="Y1241">
        <v>2.5510332817336889E-2</v>
      </c>
    </row>
    <row r="1242" spans="1:25" x14ac:dyDescent="0.25">
      <c r="A1242" s="879"/>
      <c r="B1242" s="1133">
        <v>992</v>
      </c>
      <c r="C1242" s="883">
        <v>1.0092538050370614</v>
      </c>
      <c r="D1242" s="883">
        <v>1.0097294620101391</v>
      </c>
      <c r="E1242" s="883">
        <v>1.0209589744550458</v>
      </c>
      <c r="F1242" s="883">
        <v>1.0110763766802844</v>
      </c>
      <c r="G1242" s="883">
        <v>0.9896612497213737</v>
      </c>
      <c r="H1242" s="883">
        <v>0.97854029063199588</v>
      </c>
      <c r="I1242" s="883">
        <v>0.99459308059505691</v>
      </c>
      <c r="K1242">
        <v>1.6166777421822982</v>
      </c>
      <c r="L1242">
        <v>0</v>
      </c>
      <c r="M1242">
        <v>6.0759745740388334E-3</v>
      </c>
      <c r="N1242">
        <v>0.11684915602973242</v>
      </c>
      <c r="O1242">
        <v>3.0428443389429155E-2</v>
      </c>
      <c r="P1242">
        <v>1.874357203847862E-2</v>
      </c>
      <c r="Q1242">
        <v>0</v>
      </c>
      <c r="R1242">
        <v>6.0759745740388334E-3</v>
      </c>
      <c r="S1242">
        <v>0.16495583601750313</v>
      </c>
      <c r="T1242">
        <v>1.1986977108362262</v>
      </c>
      <c r="U1242">
        <v>0</v>
      </c>
      <c r="V1242">
        <v>1.5803925904765415E-2</v>
      </c>
      <c r="W1242">
        <v>6.086714610406195E-2</v>
      </c>
      <c r="X1242">
        <v>-1.4687829950632152E-2</v>
      </c>
      <c r="Y1242">
        <v>2.5019781812733722E-2</v>
      </c>
    </row>
    <row r="1243" spans="1:25" x14ac:dyDescent="0.25">
      <c r="A1243" s="879"/>
      <c r="B1243" s="1133">
        <v>993</v>
      </c>
      <c r="C1243" s="883">
        <v>0.99113501527933878</v>
      </c>
      <c r="D1243" s="883">
        <v>0.97041863063697242</v>
      </c>
      <c r="E1243" s="883">
        <v>0.98793314687806699</v>
      </c>
      <c r="F1243" s="883">
        <v>1.0037127110159119</v>
      </c>
      <c r="G1243" s="883">
        <v>0.9857175148275561</v>
      </c>
      <c r="H1243" s="883">
        <v>1.003662105259953</v>
      </c>
      <c r="I1243" s="883">
        <v>0.9995064715730978</v>
      </c>
      <c r="K1243">
        <v>1.6245401898787968</v>
      </c>
      <c r="L1243">
        <v>0</v>
      </c>
      <c r="M1243">
        <v>6.6485158558045989E-3</v>
      </c>
      <c r="N1243">
        <v>0.12175660613213202</v>
      </c>
      <c r="O1243">
        <v>3.1509935078980117E-2</v>
      </c>
      <c r="P1243">
        <v>1.8251370832233625E-2</v>
      </c>
      <c r="Q1243">
        <v>0</v>
      </c>
      <c r="R1243">
        <v>6.6485158558045989E-3</v>
      </c>
      <c r="S1243">
        <v>0.17064641336040112</v>
      </c>
      <c r="T1243">
        <v>1.1905830212917969</v>
      </c>
      <c r="U1243">
        <v>0</v>
      </c>
      <c r="V1243">
        <v>1.5902672473100343E-2</v>
      </c>
      <c r="W1243">
        <v>6.4470377030964296E-2</v>
      </c>
      <c r="X1243">
        <v>-1.5957611223308483E-2</v>
      </c>
      <c r="Y1243">
        <v>2.7377404902495978E-2</v>
      </c>
    </row>
    <row r="1244" spans="1:25" x14ac:dyDescent="0.25">
      <c r="A1244" s="879"/>
      <c r="B1244" s="1133">
        <v>994</v>
      </c>
      <c r="C1244" s="883">
        <v>1.0225151342847956</v>
      </c>
      <c r="D1244" s="883">
        <v>0.9866802862121139</v>
      </c>
      <c r="E1244" s="883">
        <v>1.009760540576945</v>
      </c>
      <c r="F1244" s="883">
        <v>1.01545665098843</v>
      </c>
      <c r="G1244" s="883">
        <v>1.0007669442201721</v>
      </c>
      <c r="H1244" s="883">
        <v>1.0260455266676691</v>
      </c>
      <c r="I1244" s="883">
        <v>1.0056031699580856</v>
      </c>
      <c r="K1244">
        <v>1.6320673565956827</v>
      </c>
      <c r="L1244">
        <v>0</v>
      </c>
      <c r="M1244">
        <v>6.4159907079524821E-3</v>
      </c>
      <c r="N1244">
        <v>0.12136025563325525</v>
      </c>
      <c r="O1244">
        <v>3.032236817359105E-2</v>
      </c>
      <c r="P1244">
        <v>1.8694161015926962E-2</v>
      </c>
      <c r="Q1244">
        <v>0</v>
      </c>
      <c r="R1244">
        <v>6.4159907079524821E-3</v>
      </c>
      <c r="S1244">
        <v>0.16755115435788706</v>
      </c>
      <c r="T1244">
        <v>1.2041013883741312</v>
      </c>
      <c r="U1244">
        <v>0</v>
      </c>
      <c r="V1244">
        <v>1.5733870288387793E-2</v>
      </c>
      <c r="W1244">
        <v>6.3567345320538912E-2</v>
      </c>
      <c r="X1244">
        <v>-1.5683094299610241E-2</v>
      </c>
      <c r="Y1244">
        <v>2.6419907731574401E-2</v>
      </c>
    </row>
    <row r="1245" spans="1:25" x14ac:dyDescent="0.25">
      <c r="A1245" s="879"/>
      <c r="B1245" s="1133">
        <v>995</v>
      </c>
      <c r="C1245" s="883">
        <v>1.0373769360737628</v>
      </c>
      <c r="D1245" s="883">
        <v>1.003846255488666</v>
      </c>
      <c r="E1245" s="883">
        <v>1.046904652962134</v>
      </c>
      <c r="F1245" s="883">
        <v>1.0012334271612777</v>
      </c>
      <c r="G1245" s="883">
        <v>1.0220656139751403</v>
      </c>
      <c r="H1245" s="883">
        <v>1.0025515852545412</v>
      </c>
      <c r="I1245" s="883">
        <v>0.98079709391586023</v>
      </c>
      <c r="K1245">
        <v>1.5995248436848533</v>
      </c>
      <c r="L1245">
        <v>0</v>
      </c>
      <c r="M1245">
        <v>5.9355357851146586E-3</v>
      </c>
      <c r="N1245">
        <v>0.11860995505632166</v>
      </c>
      <c r="O1245">
        <v>2.964910799938314E-2</v>
      </c>
      <c r="P1245">
        <v>1.8861006538195814E-2</v>
      </c>
      <c r="Q1245">
        <v>0</v>
      </c>
      <c r="R1245">
        <v>5.9355357851146586E-3</v>
      </c>
      <c r="S1245">
        <v>0.15965085585087971</v>
      </c>
      <c r="T1245">
        <v>1.1865493416057447</v>
      </c>
      <c r="U1245">
        <v>0</v>
      </c>
      <c r="V1245">
        <v>1.5657488262508283E-2</v>
      </c>
      <c r="W1245">
        <v>6.1004149902914223E-2</v>
      </c>
      <c r="X1245">
        <v>-1.4898541408212326E-2</v>
      </c>
      <c r="Y1245">
        <v>2.4441479877116545E-2</v>
      </c>
    </row>
    <row r="1246" spans="1:25" x14ac:dyDescent="0.25">
      <c r="A1246" s="879"/>
      <c r="B1246" s="1133">
        <v>996</v>
      </c>
      <c r="C1246" s="883">
        <v>0.99870056246786443</v>
      </c>
      <c r="D1246" s="883">
        <v>1.0060143426500066</v>
      </c>
      <c r="E1246" s="883">
        <v>0.99259567374239632</v>
      </c>
      <c r="F1246" s="883">
        <v>1.0102027589683438</v>
      </c>
      <c r="G1246" s="883">
        <v>1.0168564477407962</v>
      </c>
      <c r="H1246" s="883">
        <v>0.99252122638465701</v>
      </c>
      <c r="I1246" s="883">
        <v>0.97865313116200037</v>
      </c>
      <c r="K1246">
        <v>1.6194096984283071</v>
      </c>
      <c r="L1246">
        <v>0</v>
      </c>
      <c r="M1246">
        <v>6.3947618066338835E-3</v>
      </c>
      <c r="N1246">
        <v>0.11792183501621462</v>
      </c>
      <c r="O1246">
        <v>3.08200265043275E-2</v>
      </c>
      <c r="P1246">
        <v>1.8339607908345875E-2</v>
      </c>
      <c r="Q1246">
        <v>0</v>
      </c>
      <c r="R1246">
        <v>6.3947618066338835E-3</v>
      </c>
      <c r="S1246">
        <v>0.16482397479480121</v>
      </c>
      <c r="T1246">
        <v>1.1981936414270731</v>
      </c>
      <c r="U1246">
        <v>0</v>
      </c>
      <c r="V1246">
        <v>1.5861004893707266E-2</v>
      </c>
      <c r="W1246">
        <v>6.2294866194414864E-2</v>
      </c>
      <c r="X1246">
        <v>-1.5177749205124769E-2</v>
      </c>
      <c r="Y1246">
        <v>2.6332490894547984E-2</v>
      </c>
    </row>
    <row r="1247" spans="1:25" x14ac:dyDescent="0.25">
      <c r="A1247" s="879"/>
      <c r="B1247" s="1133">
        <v>997</v>
      </c>
      <c r="C1247" s="883">
        <v>1.0297862092490786</v>
      </c>
      <c r="D1247" s="883">
        <v>0.99194578258326893</v>
      </c>
      <c r="E1247" s="883">
        <v>0.98180494948208441</v>
      </c>
      <c r="F1247" s="883">
        <v>0.95859857684323213</v>
      </c>
      <c r="G1247" s="883">
        <v>0.98776047393706012</v>
      </c>
      <c r="H1247" s="883">
        <v>1.009736302551707</v>
      </c>
      <c r="I1247" s="883">
        <v>1.0021207023653491</v>
      </c>
      <c r="K1247">
        <v>1.5542848028849143</v>
      </c>
      <c r="L1247">
        <v>0</v>
      </c>
      <c r="M1247">
        <v>6.4091009703845861E-3</v>
      </c>
      <c r="N1247">
        <v>0.11631015567777321</v>
      </c>
      <c r="O1247">
        <v>3.0067084273183341E-2</v>
      </c>
      <c r="P1247">
        <v>1.7381185840649582E-2</v>
      </c>
      <c r="Q1247">
        <v>0</v>
      </c>
      <c r="R1247">
        <v>6.4091009703845861E-3</v>
      </c>
      <c r="S1247">
        <v>0.16478191586774063</v>
      </c>
      <c r="T1247">
        <v>1.1371791462252354</v>
      </c>
      <c r="U1247">
        <v>0</v>
      </c>
      <c r="V1247">
        <v>1.5696225241105598E-2</v>
      </c>
      <c r="W1247">
        <v>6.177535845805314E-2</v>
      </c>
      <c r="X1247">
        <v>-1.5297805717424133E-2</v>
      </c>
      <c r="Y1247">
        <v>2.6391537018597373E-2</v>
      </c>
    </row>
    <row r="1248" spans="1:25" x14ac:dyDescent="0.25">
      <c r="A1248" s="879"/>
      <c r="B1248" s="1133">
        <v>998</v>
      </c>
      <c r="C1248" s="883">
        <v>1.0004566371897701</v>
      </c>
      <c r="D1248" s="883">
        <v>1.0100455278749549</v>
      </c>
      <c r="E1248" s="883">
        <v>1.0035354549804796</v>
      </c>
      <c r="F1248" s="883">
        <v>0.98171102670822363</v>
      </c>
      <c r="G1248" s="883">
        <v>1.0283176471177258</v>
      </c>
      <c r="H1248" s="883">
        <v>1.0160429488141758</v>
      </c>
      <c r="I1248" s="883">
        <v>1.0061055165541057</v>
      </c>
      <c r="K1248">
        <v>1.594841958022714</v>
      </c>
      <c r="L1248">
        <v>0</v>
      </c>
      <c r="M1248">
        <v>6.4611501292227529E-3</v>
      </c>
      <c r="N1248">
        <v>0.12109308528712287</v>
      </c>
      <c r="O1248">
        <v>3.0707544812476957E-2</v>
      </c>
      <c r="P1248">
        <v>1.8112721114969709E-2</v>
      </c>
      <c r="Q1248">
        <v>0</v>
      </c>
      <c r="R1248">
        <v>6.4611501292227529E-3</v>
      </c>
      <c r="S1248">
        <v>0.17048769992205887</v>
      </c>
      <c r="T1248">
        <v>1.1642001282443812</v>
      </c>
      <c r="U1248">
        <v>0</v>
      </c>
      <c r="V1248">
        <v>1.5851423350371163E-2</v>
      </c>
      <c r="W1248">
        <v>6.3623265415509972E-2</v>
      </c>
      <c r="X1248">
        <v>-1.5839776314465107E-2</v>
      </c>
      <c r="Y1248">
        <v>2.6605866190288034E-2</v>
      </c>
    </row>
    <row r="1249" spans="1:25" x14ac:dyDescent="0.25">
      <c r="A1249" s="879"/>
      <c r="B1249" s="1133">
        <v>999</v>
      </c>
      <c r="C1249" s="883">
        <v>0.9569135642749429</v>
      </c>
      <c r="D1249" s="883">
        <v>1.0027254142336122</v>
      </c>
      <c r="E1249" s="883">
        <v>0.98938403197013924</v>
      </c>
      <c r="F1249" s="883">
        <v>1.0085904228452258</v>
      </c>
      <c r="G1249" s="883">
        <v>0.97901259421843712</v>
      </c>
      <c r="H1249" s="883">
        <v>0.98301716018345575</v>
      </c>
      <c r="I1249" s="883">
        <v>1.0122818914102922</v>
      </c>
      <c r="K1249">
        <v>1.6382552442822877</v>
      </c>
      <c r="L1249">
        <v>0</v>
      </c>
      <c r="M1249">
        <v>6.6383428354240071E-3</v>
      </c>
      <c r="N1249">
        <v>0.12183211569419279</v>
      </c>
      <c r="O1249">
        <v>3.221081707753521E-2</v>
      </c>
      <c r="P1249">
        <v>1.8440155393666075E-2</v>
      </c>
      <c r="Q1249">
        <v>0</v>
      </c>
      <c r="R1249">
        <v>6.6383428354240071E-3</v>
      </c>
      <c r="S1249">
        <v>0.17738110969393983</v>
      </c>
      <c r="T1249">
        <v>1.1963415917289115</v>
      </c>
      <c r="U1249">
        <v>0</v>
      </c>
      <c r="V1249">
        <v>1.6099379072603549E-2</v>
      </c>
      <c r="W1249">
        <v>6.4463676973962783E-2</v>
      </c>
      <c r="X1249">
        <v>-1.5849115567822973E-2</v>
      </c>
      <c r="Y1249">
        <v>2.7335514215298822E-2</v>
      </c>
    </row>
    <row r="1250" spans="1:25" x14ac:dyDescent="0.25">
      <c r="A1250" s="879"/>
      <c r="B1250" s="1133">
        <v>1000</v>
      </c>
      <c r="C1250" s="883">
        <v>1.0238660798387564</v>
      </c>
      <c r="D1250" s="883">
        <v>1.0187752296613226</v>
      </c>
      <c r="E1250" s="883">
        <v>1.0087304828476118</v>
      </c>
      <c r="F1250" s="883">
        <v>1.0004304724194235</v>
      </c>
      <c r="G1250" s="883">
        <v>0.98697774195993904</v>
      </c>
      <c r="H1250" s="883">
        <v>1.0111688115251569</v>
      </c>
      <c r="I1250" s="883">
        <v>1.0243335606299449</v>
      </c>
      <c r="K1250">
        <v>1.6095767944051258</v>
      </c>
      <c r="L1250">
        <v>0</v>
      </c>
      <c r="M1250">
        <v>6.2307257501018455E-3</v>
      </c>
      <c r="N1250">
        <v>0.11767632780371852</v>
      </c>
      <c r="O1250">
        <v>2.9897967225980968E-2</v>
      </c>
      <c r="P1250">
        <v>1.846285321176349E-2</v>
      </c>
      <c r="Q1250">
        <v>0</v>
      </c>
      <c r="R1250">
        <v>6.2307257501018455E-3</v>
      </c>
      <c r="S1250">
        <v>0.16924435307512961</v>
      </c>
      <c r="T1250">
        <v>1.1863028571929266</v>
      </c>
      <c r="U1250">
        <v>0</v>
      </c>
      <c r="V1250">
        <v>1.5726835500821136E-2</v>
      </c>
      <c r="W1250">
        <v>6.166915965999565E-2</v>
      </c>
      <c r="X1250">
        <v>-1.5060578876289778E-2</v>
      </c>
      <c r="Y1250">
        <v>2.5657019611078694E-2</v>
      </c>
    </row>
    <row r="1251" spans="1:25" x14ac:dyDescent="0.25">
      <c r="A1251" s="879"/>
      <c r="B1251" s="1133">
        <v>1001</v>
      </c>
      <c r="C1251" s="883">
        <v>0.99259680090219082</v>
      </c>
      <c r="D1251" s="883">
        <v>1.0070793315153321</v>
      </c>
      <c r="E1251" s="883">
        <v>1.0303915877480907</v>
      </c>
      <c r="F1251" s="883">
        <v>0.97870339511905147</v>
      </c>
      <c r="G1251" s="883">
        <v>1.0087846808289702</v>
      </c>
      <c r="H1251" s="883">
        <v>0.98426626967781972</v>
      </c>
      <c r="I1251" s="883">
        <v>1.0190404835444102</v>
      </c>
      <c r="K1251">
        <v>1.5904093664655059</v>
      </c>
      <c r="L1251">
        <v>0</v>
      </c>
      <c r="M1251">
        <v>6.1701779098227117E-3</v>
      </c>
      <c r="N1251">
        <v>0.12032745596394742</v>
      </c>
      <c r="O1251">
        <v>3.0962840966212792E-2</v>
      </c>
      <c r="P1251">
        <v>1.8448518799911162E-2</v>
      </c>
      <c r="Q1251">
        <v>0</v>
      </c>
      <c r="R1251">
        <v>6.1701779098227117E-3</v>
      </c>
      <c r="S1251">
        <v>0.17222239717201365</v>
      </c>
      <c r="T1251">
        <v>1.1601468786173841</v>
      </c>
      <c r="U1251">
        <v>0</v>
      </c>
      <c r="V1251">
        <v>1.5894572118393908E-2</v>
      </c>
      <c r="W1251">
        <v>6.2389117035048555E-2</v>
      </c>
      <c r="X1251">
        <v>-1.5390108589327423E-2</v>
      </c>
      <c r="Y1251">
        <v>2.5407694381923033E-2</v>
      </c>
    </row>
    <row r="1252" spans="1:25" x14ac:dyDescent="0.25">
      <c r="A1252" s="879"/>
      <c r="B1252" s="1133">
        <v>1002</v>
      </c>
      <c r="C1252" s="883">
        <v>0.9887998888374212</v>
      </c>
      <c r="D1252" s="883">
        <v>0.9948420510307594</v>
      </c>
      <c r="E1252" s="883">
        <v>0.9903426329248648</v>
      </c>
      <c r="F1252" s="883">
        <v>0.97537659940286969</v>
      </c>
      <c r="G1252" s="883">
        <v>0.96814237869931907</v>
      </c>
      <c r="H1252" s="883">
        <v>0.97874998488415155</v>
      </c>
      <c r="I1252" s="883">
        <v>0.98502385653943592</v>
      </c>
      <c r="K1252">
        <v>1.5800550951295513</v>
      </c>
      <c r="L1252">
        <v>0</v>
      </c>
      <c r="M1252">
        <v>6.4135790708912278E-3</v>
      </c>
      <c r="N1252">
        <v>0.11787447959020675</v>
      </c>
      <c r="O1252">
        <v>3.1269872937377236E-2</v>
      </c>
      <c r="P1252">
        <v>1.7788238476324898E-2</v>
      </c>
      <c r="Q1252">
        <v>0</v>
      </c>
      <c r="R1252">
        <v>6.4135790708912278E-3</v>
      </c>
      <c r="S1252">
        <v>0.16686927923740399</v>
      </c>
      <c r="T1252">
        <v>1.1569275285399259</v>
      </c>
      <c r="U1252">
        <v>0</v>
      </c>
      <c r="V1252">
        <v>1.5915662056250932E-2</v>
      </c>
      <c r="W1252">
        <v>6.2339808196080294E-2</v>
      </c>
      <c r="X1252">
        <v>-1.5339750943430829E-2</v>
      </c>
      <c r="Y1252">
        <v>2.6409977039411548E-2</v>
      </c>
    </row>
    <row r="1253" spans="1:25" x14ac:dyDescent="0.25">
      <c r="A1253" s="879"/>
      <c r="B1253" s="1133">
        <v>1003</v>
      </c>
      <c r="C1253" s="883">
        <v>1.0056607172893162</v>
      </c>
      <c r="D1253" s="883">
        <v>0.9882553462760223</v>
      </c>
      <c r="E1253" s="883">
        <v>1.0306007542613054</v>
      </c>
      <c r="F1253" s="883">
        <v>0.99074270992821567</v>
      </c>
      <c r="G1253" s="883">
        <v>0.96206205659474753</v>
      </c>
      <c r="H1253" s="883">
        <v>1.01585969882377</v>
      </c>
      <c r="I1253" s="883">
        <v>1.006865519371231</v>
      </c>
      <c r="K1253">
        <v>1.6074433765608407</v>
      </c>
      <c r="L1253">
        <v>0</v>
      </c>
      <c r="M1253">
        <v>6.3374735368700386E-3</v>
      </c>
      <c r="N1253">
        <v>0.12362818154573224</v>
      </c>
      <c r="O1253">
        <v>3.079195259444327E-2</v>
      </c>
      <c r="P1253">
        <v>1.8614904387734665E-2</v>
      </c>
      <c r="Q1253">
        <v>0</v>
      </c>
      <c r="R1253">
        <v>6.3374735368700386E-3</v>
      </c>
      <c r="S1253">
        <v>0.16998361026158906</v>
      </c>
      <c r="T1253">
        <v>1.1744143589239271</v>
      </c>
      <c r="U1253">
        <v>0</v>
      </c>
      <c r="V1253">
        <v>1.5823225223677212E-2</v>
      </c>
      <c r="W1253">
        <v>6.4093948945310605E-2</v>
      </c>
      <c r="X1253">
        <v>-1.6003393318165117E-2</v>
      </c>
      <c r="Y1253">
        <v>2.6096587996592358E-2</v>
      </c>
    </row>
    <row r="1254" spans="1:25" x14ac:dyDescent="0.25">
      <c r="A1254" s="879"/>
      <c r="B1254" s="1133">
        <v>1004</v>
      </c>
      <c r="C1254" s="883">
        <v>1.0026313308199704</v>
      </c>
      <c r="D1254" s="883">
        <v>1.0230786925764954</v>
      </c>
      <c r="E1254" s="883">
        <v>0.99270810810762489</v>
      </c>
      <c r="F1254" s="883">
        <v>1.0028614750774385</v>
      </c>
      <c r="G1254" s="883">
        <v>1.0335761497079021</v>
      </c>
      <c r="H1254" s="883">
        <v>0.99330650741213877</v>
      </c>
      <c r="I1254" s="883">
        <v>1.0070816483839298</v>
      </c>
      <c r="K1254">
        <v>1.6123222705665887</v>
      </c>
      <c r="L1254">
        <v>0</v>
      </c>
      <c r="M1254">
        <v>6.3265022232366968E-3</v>
      </c>
      <c r="N1254">
        <v>0.11668254709833652</v>
      </c>
      <c r="O1254">
        <v>3.0493253527112078E-2</v>
      </c>
      <c r="P1254">
        <v>1.8278429194289326E-2</v>
      </c>
      <c r="Q1254">
        <v>0</v>
      </c>
      <c r="R1254">
        <v>6.3265022232366968E-3</v>
      </c>
      <c r="S1254">
        <v>0.16882841515624114</v>
      </c>
      <c r="T1254">
        <v>1.1894841024307885</v>
      </c>
      <c r="U1254">
        <v>0</v>
      </c>
      <c r="V1254">
        <v>1.5839604245611667E-2</v>
      </c>
      <c r="W1254">
        <v>6.1636732268282743E-2</v>
      </c>
      <c r="X1254">
        <v>-1.4972223433944026E-2</v>
      </c>
      <c r="Y1254">
        <v>2.6051410079871294E-2</v>
      </c>
    </row>
    <row r="1255" spans="1:25" x14ac:dyDescent="0.25">
      <c r="A1255" s="879"/>
      <c r="B1255" s="1133">
        <v>1005</v>
      </c>
      <c r="C1255" s="883">
        <v>0.97831464531706536</v>
      </c>
      <c r="D1255" s="883">
        <v>1.0002413922267934</v>
      </c>
      <c r="E1255" s="883">
        <v>0.9944628847738235</v>
      </c>
      <c r="F1255" s="883">
        <v>1.0165162163388786</v>
      </c>
      <c r="G1255" s="883">
        <v>0.99446723920631241</v>
      </c>
      <c r="H1255" s="883">
        <v>0.9749880187916643</v>
      </c>
      <c r="I1255" s="883">
        <v>0.99533977989258882</v>
      </c>
      <c r="K1255">
        <v>1.6344086764464112</v>
      </c>
      <c r="L1255">
        <v>0</v>
      </c>
      <c r="M1255">
        <v>6.4187033739756313E-3</v>
      </c>
      <c r="N1255">
        <v>0.11869135853278297</v>
      </c>
      <c r="O1255">
        <v>3.1533168628997098E-2</v>
      </c>
      <c r="P1255">
        <v>1.8537592267967969E-2</v>
      </c>
      <c r="Q1255">
        <v>0</v>
      </c>
      <c r="R1255">
        <v>6.4187033739756313E-3</v>
      </c>
      <c r="S1255">
        <v>0.17015344754796166</v>
      </c>
      <c r="T1255">
        <v>1.2056466546314875</v>
      </c>
      <c r="U1255">
        <v>0</v>
      </c>
      <c r="V1255">
        <v>1.5974752547236279E-2</v>
      </c>
      <c r="W1255">
        <v>6.2643113228541644E-2</v>
      </c>
      <c r="X1255">
        <v>-1.5202488945984895E-2</v>
      </c>
      <c r="Y1255">
        <v>2.6431078007421182E-2</v>
      </c>
    </row>
    <row r="1256" spans="1:25" x14ac:dyDescent="0.25">
      <c r="A1256" s="879"/>
      <c r="B1256" s="1133">
        <v>1006</v>
      </c>
      <c r="C1256" s="883">
        <v>1.0297214667098933</v>
      </c>
      <c r="D1256" s="883">
        <v>0.98999037124273648</v>
      </c>
      <c r="E1256" s="883">
        <v>1.0070965804640912</v>
      </c>
      <c r="F1256" s="883">
        <v>0.99745468757686095</v>
      </c>
      <c r="G1256" s="883">
        <v>0.96706250844845876</v>
      </c>
      <c r="H1256" s="883">
        <v>0.96562877775810863</v>
      </c>
      <c r="I1256" s="883">
        <v>1.0132011375572256</v>
      </c>
      <c r="K1256">
        <v>1.5939247525599014</v>
      </c>
      <c r="L1256">
        <v>0</v>
      </c>
      <c r="M1256">
        <v>6.0009451184358503E-3</v>
      </c>
      <c r="N1256">
        <v>0.1130627360113952</v>
      </c>
      <c r="O1256">
        <v>3.0072126369065737E-2</v>
      </c>
      <c r="P1256">
        <v>1.8323889974066129E-2</v>
      </c>
      <c r="Q1256">
        <v>0</v>
      </c>
      <c r="R1256">
        <v>6.0009451184358503E-3</v>
      </c>
      <c r="S1256">
        <v>0.16413410985470361</v>
      </c>
      <c r="T1256">
        <v>1.1828044266259132</v>
      </c>
      <c r="U1256">
        <v>0</v>
      </c>
      <c r="V1256">
        <v>1.56965580913891E-2</v>
      </c>
      <c r="W1256">
        <v>5.9299316170665028E-2</v>
      </c>
      <c r="X1256">
        <v>-1.4179234406603673E-2</v>
      </c>
      <c r="Y1256">
        <v>2.4710823869305888E-2</v>
      </c>
    </row>
    <row r="1257" spans="1:25" x14ac:dyDescent="0.25">
      <c r="A1257" s="879"/>
      <c r="B1257" s="1133">
        <v>1007</v>
      </c>
      <c r="C1257" s="883">
        <v>0.99540452841492366</v>
      </c>
      <c r="D1257" s="883">
        <v>0.99109319198099477</v>
      </c>
      <c r="E1257" s="883">
        <v>1.0180429117945253</v>
      </c>
      <c r="F1257" s="883">
        <v>0.98199910521298317</v>
      </c>
      <c r="G1257" s="883">
        <v>0.99267351063075093</v>
      </c>
      <c r="H1257" s="883">
        <v>1.0127982965416922</v>
      </c>
      <c r="I1257" s="883">
        <v>1.0012975656383982</v>
      </c>
      <c r="K1257">
        <v>1.5983497941620073</v>
      </c>
      <c r="L1257">
        <v>0</v>
      </c>
      <c r="M1257">
        <v>6.4458211360512293E-3</v>
      </c>
      <c r="N1257">
        <v>0.12342820015619328</v>
      </c>
      <c r="O1257">
        <v>3.108522590313335E-2</v>
      </c>
      <c r="P1257">
        <v>1.8313484087739886E-2</v>
      </c>
      <c r="Q1257">
        <v>0</v>
      </c>
      <c r="R1257">
        <v>6.4458211360512293E-3</v>
      </c>
      <c r="S1257">
        <v>0.17056129701020972</v>
      </c>
      <c r="T1257">
        <v>1.1642776623775688</v>
      </c>
      <c r="U1257">
        <v>0</v>
      </c>
      <c r="V1257">
        <v>1.5879080081758708E-2</v>
      </c>
      <c r="W1257">
        <v>6.4386633380978289E-2</v>
      </c>
      <c r="X1257">
        <v>-1.6124532960441713E-2</v>
      </c>
      <c r="Y1257">
        <v>2.6542744124866773E-2</v>
      </c>
    </row>
    <row r="1258" spans="1:25" x14ac:dyDescent="0.25">
      <c r="A1258" s="879"/>
      <c r="B1258" s="1133">
        <v>1008</v>
      </c>
      <c r="C1258" s="883">
        <v>0.99159829307504388</v>
      </c>
      <c r="D1258" s="883">
        <v>1.0434604613240923</v>
      </c>
      <c r="E1258" s="883">
        <v>0.97802792601943178</v>
      </c>
      <c r="F1258" s="883">
        <v>0.96770417533117781</v>
      </c>
      <c r="G1258" s="883">
        <v>1.0056890131010969</v>
      </c>
      <c r="H1258" s="883">
        <v>0.9799492104669949</v>
      </c>
      <c r="I1258" s="883">
        <v>0.98255022325840269</v>
      </c>
      <c r="K1258">
        <v>1.564073718786436</v>
      </c>
      <c r="L1258">
        <v>0</v>
      </c>
      <c r="M1258">
        <v>6.3363017064181999E-3</v>
      </c>
      <c r="N1258">
        <v>0.11434643182331897</v>
      </c>
      <c r="O1258">
        <v>3.0601976940381904E-2</v>
      </c>
      <c r="P1258">
        <v>1.7486968249109419E-2</v>
      </c>
      <c r="Q1258">
        <v>0</v>
      </c>
      <c r="R1258">
        <v>6.3363017064181999E-3</v>
      </c>
      <c r="S1258">
        <v>0.16559687243081939</v>
      </c>
      <c r="T1258">
        <v>1.1480493077331626</v>
      </c>
      <c r="U1258">
        <v>0</v>
      </c>
      <c r="V1258">
        <v>1.5900102675396925E-2</v>
      </c>
      <c r="W1258">
        <v>6.0847342738335669E-2</v>
      </c>
      <c r="X1258">
        <v>-1.4847046411459881E-2</v>
      </c>
      <c r="Y1258">
        <v>2.6091762607369746E-2</v>
      </c>
    </row>
    <row r="1259" spans="1:25" x14ac:dyDescent="0.25">
      <c r="A1259" s="879"/>
      <c r="B1259" s="1133">
        <v>1009</v>
      </c>
      <c r="C1259" s="883">
        <v>1.0164812990848118</v>
      </c>
      <c r="D1259" s="883">
        <v>0.95870842897146558</v>
      </c>
      <c r="E1259" s="883">
        <v>0.97600381111579548</v>
      </c>
      <c r="F1259" s="883">
        <v>1.0392170375026852</v>
      </c>
      <c r="G1259" s="883">
        <v>1.0190070553824073</v>
      </c>
      <c r="H1259" s="883">
        <v>1.0124513872223213</v>
      </c>
      <c r="I1259" s="883">
        <v>0.98172152915922384</v>
      </c>
      <c r="K1259">
        <v>1.6572293624318133</v>
      </c>
      <c r="L1259">
        <v>0</v>
      </c>
      <c r="M1259">
        <v>6.643827275094963E-3</v>
      </c>
      <c r="N1259">
        <v>0.11953650863233894</v>
      </c>
      <c r="O1259">
        <v>3.0883320914253415E-2</v>
      </c>
      <c r="P1259">
        <v>1.8551812716231887E-2</v>
      </c>
      <c r="Q1259">
        <v>0</v>
      </c>
      <c r="R1259">
        <v>6.643827275094963E-3</v>
      </c>
      <c r="S1259">
        <v>0.16404788298076264</v>
      </c>
      <c r="T1259">
        <v>1.2329288912883767</v>
      </c>
      <c r="U1259">
        <v>0</v>
      </c>
      <c r="V1259">
        <v>1.5765518585531494E-2</v>
      </c>
      <c r="W1259">
        <v>6.3673725266363584E-2</v>
      </c>
      <c r="X1259">
        <v>-1.5516396113716602E-2</v>
      </c>
      <c r="Y1259">
        <v>2.7358098161669956E-2</v>
      </c>
    </row>
    <row r="1260" spans="1:25" x14ac:dyDescent="0.25">
      <c r="A1260" s="879"/>
      <c r="B1260" s="1133">
        <v>1010</v>
      </c>
      <c r="C1260" s="883">
        <v>1.0085491101217672</v>
      </c>
      <c r="D1260" s="883">
        <v>0.97076183695643325</v>
      </c>
      <c r="E1260" s="883">
        <v>0.98741628472338361</v>
      </c>
      <c r="F1260" s="883">
        <v>0.99894797548650327</v>
      </c>
      <c r="G1260" s="883">
        <v>0.98458627064527637</v>
      </c>
      <c r="H1260" s="883">
        <v>1.0190607254096697</v>
      </c>
      <c r="I1260" s="883">
        <v>0.99241104132121261</v>
      </c>
      <c r="K1260">
        <v>1.6143260524260903</v>
      </c>
      <c r="L1260">
        <v>0</v>
      </c>
      <c r="M1260">
        <v>6.6359059860070079E-3</v>
      </c>
      <c r="N1260">
        <v>0.12143257295581053</v>
      </c>
      <c r="O1260">
        <v>3.0961912520308523E-2</v>
      </c>
      <c r="P1260">
        <v>1.8125013642195958E-2</v>
      </c>
      <c r="Q1260">
        <v>0</v>
      </c>
      <c r="R1260">
        <v>6.6359059860070079E-3</v>
      </c>
      <c r="S1260">
        <v>0.16739527556918851</v>
      </c>
      <c r="T1260">
        <v>1.1849408154162047</v>
      </c>
      <c r="U1260">
        <v>0</v>
      </c>
      <c r="V1260">
        <v>1.5807700146676085E-2</v>
      </c>
      <c r="W1260">
        <v>6.4315391206076711E-2</v>
      </c>
      <c r="X1260">
        <v>-1.5978108733514892E-2</v>
      </c>
      <c r="Y1260">
        <v>2.7325479703142648E-2</v>
      </c>
    </row>
    <row r="1261" spans="1:25" x14ac:dyDescent="0.25">
      <c r="A1261" s="879"/>
      <c r="B1261" s="1133">
        <v>1011</v>
      </c>
      <c r="C1261" s="883">
        <v>0.99502936724613367</v>
      </c>
      <c r="D1261" s="883">
        <v>1.0157965969964109</v>
      </c>
      <c r="E1261" s="883">
        <v>0.99770171449481548</v>
      </c>
      <c r="F1261" s="883">
        <v>0.98558061223410065</v>
      </c>
      <c r="G1261" s="883">
        <v>0.95804112636293925</v>
      </c>
      <c r="H1261" s="883">
        <v>1.0390262890533486</v>
      </c>
      <c r="I1261" s="883">
        <v>1.0073097325998854</v>
      </c>
      <c r="K1261">
        <v>1.6066051922442024</v>
      </c>
      <c r="L1261">
        <v>0</v>
      </c>
      <c r="M1261">
        <v>6.6604107502565638E-3</v>
      </c>
      <c r="N1261">
        <v>0.12375343806788609</v>
      </c>
      <c r="O1261">
        <v>3.0809964846108307E-2</v>
      </c>
      <c r="P1261">
        <v>1.8128162257525247E-2</v>
      </c>
      <c r="Q1261">
        <v>0</v>
      </c>
      <c r="R1261">
        <v>6.6604107502565638E-3</v>
      </c>
      <c r="S1261">
        <v>0.17289654103032662</v>
      </c>
      <c r="T1261">
        <v>1.1688958689349032</v>
      </c>
      <c r="U1261">
        <v>0</v>
      </c>
      <c r="V1261">
        <v>1.5881145026386368E-2</v>
      </c>
      <c r="W1261">
        <v>6.5209642349506006E-2</v>
      </c>
      <c r="X1261">
        <v>-1.6395956229076185E-2</v>
      </c>
      <c r="Y1261">
        <v>2.7426385960636884E-2</v>
      </c>
    </row>
    <row r="1262" spans="1:25" x14ac:dyDescent="0.25">
      <c r="A1262" s="879"/>
      <c r="B1262" s="1133">
        <v>1012</v>
      </c>
      <c r="C1262" s="883">
        <v>1.0114706241436553</v>
      </c>
      <c r="D1262" s="883">
        <v>0.98179575106703088</v>
      </c>
      <c r="E1262" s="883">
        <v>1.0021176755980887</v>
      </c>
      <c r="F1262" s="883">
        <v>0.96607059847113441</v>
      </c>
      <c r="G1262" s="883">
        <v>0.98853586652169834</v>
      </c>
      <c r="H1262" s="883">
        <v>1.0032200237668563</v>
      </c>
      <c r="I1262" s="883">
        <v>0.96310093037083511</v>
      </c>
      <c r="K1262">
        <v>1.5641378557511565</v>
      </c>
      <c r="L1262">
        <v>0</v>
      </c>
      <c r="M1262">
        <v>6.3984302926872903E-3</v>
      </c>
      <c r="N1262">
        <v>0.11966604783360778</v>
      </c>
      <c r="O1262">
        <v>3.0720987900231492E-2</v>
      </c>
      <c r="P1262">
        <v>1.7717069841353596E-2</v>
      </c>
      <c r="Q1262">
        <v>0</v>
      </c>
      <c r="R1262">
        <v>6.3984302926872903E-3</v>
      </c>
      <c r="S1262">
        <v>0.16099601668918445</v>
      </c>
      <c r="T1262">
        <v>1.1456777580500448</v>
      </c>
      <c r="U1262">
        <v>0</v>
      </c>
      <c r="V1262">
        <v>1.5792087242604759E-2</v>
      </c>
      <c r="W1262">
        <v>6.2917723403213513E-2</v>
      </c>
      <c r="X1262">
        <v>-1.5697432276234623E-2</v>
      </c>
      <c r="Y1262">
        <v>2.6347597067149741E-2</v>
      </c>
    </row>
    <row r="1263" spans="1:25" x14ac:dyDescent="0.25">
      <c r="A1263" s="879"/>
      <c r="B1263" s="1133">
        <v>1013</v>
      </c>
      <c r="C1263" s="883">
        <v>1.0108272199995543</v>
      </c>
      <c r="D1263" s="883">
        <v>1.0085759122237759</v>
      </c>
      <c r="E1263" s="883">
        <v>1.0329483418340335</v>
      </c>
      <c r="F1263" s="883">
        <v>1.011919944781303</v>
      </c>
      <c r="G1263" s="883">
        <v>1.0190783221125344</v>
      </c>
      <c r="H1263" s="883">
        <v>1.0025004504911479</v>
      </c>
      <c r="I1263" s="883">
        <v>1.0142626355702247</v>
      </c>
      <c r="K1263">
        <v>1.6269121672274869</v>
      </c>
      <c r="L1263">
        <v>0</v>
      </c>
      <c r="M1263">
        <v>6.1532529689829526E-3</v>
      </c>
      <c r="N1263">
        <v>0.12045171325251221</v>
      </c>
      <c r="O1263">
        <v>3.0383990840109409E-2</v>
      </c>
      <c r="P1263">
        <v>1.8981772521485668E-2</v>
      </c>
      <c r="Q1263">
        <v>0</v>
      </c>
      <c r="R1263">
        <v>6.1532529689829526E-3</v>
      </c>
      <c r="S1263">
        <v>0.16936880736537352</v>
      </c>
      <c r="T1263">
        <v>1.1994737785156147</v>
      </c>
      <c r="U1263">
        <v>0</v>
      </c>
      <c r="V1263">
        <v>1.5795517918509933E-2</v>
      </c>
      <c r="W1263">
        <v>6.2375310161971412E-2</v>
      </c>
      <c r="X1263">
        <v>-1.5256723836161078E-2</v>
      </c>
      <c r="Y1263">
        <v>2.5338000488072075E-2</v>
      </c>
    </row>
    <row r="1264" spans="1:25" x14ac:dyDescent="0.25">
      <c r="A1264" s="879"/>
      <c r="B1264" s="1133">
        <v>1014</v>
      </c>
      <c r="C1264" s="883">
        <v>0.99333913117357886</v>
      </c>
      <c r="D1264" s="883">
        <v>0.98572641250785187</v>
      </c>
      <c r="E1264" s="883">
        <v>1.0040016560263632</v>
      </c>
      <c r="F1264" s="883">
        <v>0.99684387644679906</v>
      </c>
      <c r="G1264" s="883">
        <v>1.0127289625995197</v>
      </c>
      <c r="H1264" s="883">
        <v>0.9847357536900756</v>
      </c>
      <c r="I1264" s="883">
        <v>0.98886902567468127</v>
      </c>
      <c r="K1264">
        <v>1.6079261936969744</v>
      </c>
      <c r="L1264">
        <v>0</v>
      </c>
      <c r="M1264">
        <v>6.3732797305132557E-3</v>
      </c>
      <c r="N1264">
        <v>0.11952874580433595</v>
      </c>
      <c r="O1264">
        <v>3.123014435474334E-2</v>
      </c>
      <c r="P1264">
        <v>1.8316125882623449E-2</v>
      </c>
      <c r="Q1264">
        <v>0</v>
      </c>
      <c r="R1264">
        <v>6.3732797305132557E-3</v>
      </c>
      <c r="S1264">
        <v>0.16720711802432608</v>
      </c>
      <c r="T1264">
        <v>1.1821373760968237</v>
      </c>
      <c r="U1264">
        <v>0</v>
      </c>
      <c r="V1264">
        <v>1.5890467688929856E-2</v>
      </c>
      <c r="W1264">
        <v>6.278683264721939E-2</v>
      </c>
      <c r="X1264">
        <v>-1.5414648330776824E-2</v>
      </c>
      <c r="Y1264">
        <v>2.624403152875026E-2</v>
      </c>
    </row>
    <row r="1265" spans="1:25" x14ac:dyDescent="0.25">
      <c r="A1265" s="879"/>
      <c r="B1265" s="1133">
        <v>1015</v>
      </c>
      <c r="C1265" s="883">
        <v>0.98394298201681174</v>
      </c>
      <c r="D1265" s="883">
        <v>1.0086269542371955</v>
      </c>
      <c r="E1265" s="883">
        <v>1.0065795511742532</v>
      </c>
      <c r="F1265" s="883">
        <v>0.95979434880197623</v>
      </c>
      <c r="G1265" s="883">
        <v>0.97869886457029021</v>
      </c>
      <c r="H1265" s="883">
        <v>0.98986935772049278</v>
      </c>
      <c r="I1265" s="883">
        <v>0.9557679812513219</v>
      </c>
      <c r="K1265">
        <v>1.5601518800326557</v>
      </c>
      <c r="L1265">
        <v>0</v>
      </c>
      <c r="M1265">
        <v>6.3873479392238131E-3</v>
      </c>
      <c r="N1265">
        <v>0.12025078556786634</v>
      </c>
      <c r="O1265">
        <v>3.1237801976511052E-2</v>
      </c>
      <c r="P1265">
        <v>1.7707796089050671E-2</v>
      </c>
      <c r="Q1265">
        <v>0</v>
      </c>
      <c r="R1265">
        <v>6.3873479392238131E-3</v>
      </c>
      <c r="S1265">
        <v>0.16322495892165068</v>
      </c>
      <c r="T1265">
        <v>1.138155149282823</v>
      </c>
      <c r="U1265">
        <v>0</v>
      </c>
      <c r="V1265">
        <v>1.5942877001895697E-2</v>
      </c>
      <c r="W1265">
        <v>6.3085466825125627E-2</v>
      </c>
      <c r="X1265">
        <v>-1.5754917540441504E-2</v>
      </c>
      <c r="Y1265">
        <v>2.6301961908172525E-2</v>
      </c>
    </row>
    <row r="1266" spans="1:25" x14ac:dyDescent="0.25">
      <c r="A1266" s="879"/>
      <c r="B1266" s="1133">
        <v>1016</v>
      </c>
      <c r="C1266" s="883">
        <v>1.0225726719808255</v>
      </c>
      <c r="D1266" s="883">
        <v>0.99844779842878828</v>
      </c>
      <c r="E1266" s="883">
        <v>0.98186353916595204</v>
      </c>
      <c r="F1266" s="883">
        <v>1.000178429617975</v>
      </c>
      <c r="G1266" s="883">
        <v>0.97473998786891147</v>
      </c>
      <c r="H1266" s="883">
        <v>0.97922125082882316</v>
      </c>
      <c r="I1266" s="883">
        <v>1.0209170861510879</v>
      </c>
      <c r="K1266">
        <v>1.6024055794788943</v>
      </c>
      <c r="L1266">
        <v>0</v>
      </c>
      <c r="M1266">
        <v>6.2407203821989573E-3</v>
      </c>
      <c r="N1266">
        <v>0.11326428689760541</v>
      </c>
      <c r="O1266">
        <v>3.0200113321486061E-2</v>
      </c>
      <c r="P1266">
        <v>1.8065194986812059E-2</v>
      </c>
      <c r="Q1266">
        <v>0</v>
      </c>
      <c r="R1266">
        <v>6.2407203821989573E-3</v>
      </c>
      <c r="S1266">
        <v>0.16722109998378279</v>
      </c>
      <c r="T1266">
        <v>1.1865039565850302</v>
      </c>
      <c r="U1266">
        <v>0</v>
      </c>
      <c r="V1266">
        <v>1.5733570292997337E-2</v>
      </c>
      <c r="W1266">
        <v>6.0155854614468637E-2</v>
      </c>
      <c r="X1266">
        <v>-1.4436672930365872E-2</v>
      </c>
      <c r="Y1266">
        <v>2.5698175727076392E-2</v>
      </c>
    </row>
    <row r="1267" spans="1:25" x14ac:dyDescent="0.25">
      <c r="A1267" s="879"/>
      <c r="B1267" s="1133">
        <v>1017</v>
      </c>
      <c r="C1267" s="883">
        <v>1.0039649945382065</v>
      </c>
      <c r="D1267" s="883">
        <v>1.0401587373552319</v>
      </c>
      <c r="E1267" s="883">
        <v>0.99324371343256812</v>
      </c>
      <c r="F1267" s="883">
        <v>0.97818080635274474</v>
      </c>
      <c r="G1267" s="883">
        <v>1.0170416090213261</v>
      </c>
      <c r="H1267" s="883">
        <v>0.97117008399217153</v>
      </c>
      <c r="I1267" s="883">
        <v>1.0163342067924701</v>
      </c>
      <c r="K1267">
        <v>1.5766078085093405</v>
      </c>
      <c r="L1267">
        <v>0</v>
      </c>
      <c r="M1267">
        <v>6.129057705571637E-3</v>
      </c>
      <c r="N1267">
        <v>0.11313076754489905</v>
      </c>
      <c r="O1267">
        <v>3.0251294557870838E-2</v>
      </c>
      <c r="P1267">
        <v>1.7894773567821726E-2</v>
      </c>
      <c r="Q1267">
        <v>0</v>
      </c>
      <c r="R1267">
        <v>6.129057705571637E-3</v>
      </c>
      <c r="S1267">
        <v>0.16871942685903868</v>
      </c>
      <c r="T1267">
        <v>1.1602008514547066</v>
      </c>
      <c r="U1267">
        <v>0</v>
      </c>
      <c r="V1267">
        <v>1.5832381330088734E-2</v>
      </c>
      <c r="W1267">
        <v>5.9744589930266281E-2</v>
      </c>
      <c r="X1267">
        <v>-1.4404645435291083E-2</v>
      </c>
      <c r="Y1267">
        <v>2.5238368699940623E-2</v>
      </c>
    </row>
    <row r="1268" spans="1:25" x14ac:dyDescent="0.25">
      <c r="A1268" s="879"/>
      <c r="B1268" s="1133">
        <v>1018</v>
      </c>
      <c r="C1268" s="883">
        <v>1.0078616330188057</v>
      </c>
      <c r="D1268" s="883">
        <v>0.99862472390139345</v>
      </c>
      <c r="E1268" s="883">
        <v>0.98325051084182391</v>
      </c>
      <c r="F1268" s="883">
        <v>1.0149416100375235</v>
      </c>
      <c r="G1268" s="883">
        <v>1.019158382534076</v>
      </c>
      <c r="H1268" s="883">
        <v>0.99240588647524897</v>
      </c>
      <c r="I1268" s="883">
        <v>0.99621781980242385</v>
      </c>
      <c r="K1268">
        <v>1.6248838389507299</v>
      </c>
      <c r="L1268">
        <v>0</v>
      </c>
      <c r="M1268">
        <v>6.4088038372485867E-3</v>
      </c>
      <c r="N1268">
        <v>0.11655442884810685</v>
      </c>
      <c r="O1268">
        <v>3.0637649614314137E-2</v>
      </c>
      <c r="P1268">
        <v>1.8304375374338322E-2</v>
      </c>
      <c r="Q1268">
        <v>0</v>
      </c>
      <c r="R1268">
        <v>6.4088038372485867E-3</v>
      </c>
      <c r="S1268">
        <v>0.16631297000117995</v>
      </c>
      <c r="T1268">
        <v>1.2039911340239406</v>
      </c>
      <c r="U1268">
        <v>0</v>
      </c>
      <c r="V1268">
        <v>1.5811387258555132E-2</v>
      </c>
      <c r="W1268">
        <v>6.1860353432535799E-2</v>
      </c>
      <c r="X1268">
        <v>-1.4978773079473331E-2</v>
      </c>
      <c r="Y1268">
        <v>2.6390313477231055E-2</v>
      </c>
    </row>
    <row r="1269" spans="1:25" x14ac:dyDescent="0.25">
      <c r="A1269" s="879"/>
      <c r="B1269" s="1133">
        <v>1019</v>
      </c>
      <c r="C1269" s="883">
        <v>1.0318574452625342</v>
      </c>
      <c r="D1269" s="883">
        <v>1.0248260072447959</v>
      </c>
      <c r="E1269" s="883">
        <v>1.0421968819133476</v>
      </c>
      <c r="F1269" s="883">
        <v>0.9694818307907721</v>
      </c>
      <c r="G1269" s="883">
        <v>0.99837043993114627</v>
      </c>
      <c r="H1269" s="883">
        <v>1.0084156562515849</v>
      </c>
      <c r="I1269" s="883">
        <v>0.99992404968162063</v>
      </c>
      <c r="K1269">
        <v>1.5654415529062258</v>
      </c>
      <c r="L1269">
        <v>0</v>
      </c>
      <c r="M1269">
        <v>5.9717382235578084E-3</v>
      </c>
      <c r="N1269">
        <v>0.11850671565276517</v>
      </c>
      <c r="O1269">
        <v>2.9566528692907323E-2</v>
      </c>
      <c r="P1269">
        <v>1.8335454639384109E-2</v>
      </c>
      <c r="Q1269">
        <v>0</v>
      </c>
      <c r="R1269">
        <v>5.9717382235578084E-3</v>
      </c>
      <c r="S1269">
        <v>0.16375618728622701</v>
      </c>
      <c r="T1269">
        <v>1.149004841692794</v>
      </c>
      <c r="U1269">
        <v>0</v>
      </c>
      <c r="V1269">
        <v>1.5685598775127749E-2</v>
      </c>
      <c r="W1269">
        <v>6.109114914875273E-2</v>
      </c>
      <c r="X1269">
        <v>-1.5095478056564251E-2</v>
      </c>
      <c r="Y1269">
        <v>2.4590555074831606E-2</v>
      </c>
    </row>
    <row r="1270" spans="1:25" x14ac:dyDescent="0.25">
      <c r="A1270" s="879"/>
      <c r="B1270" s="1133">
        <v>1020</v>
      </c>
      <c r="C1270" s="883">
        <v>0.99609478867273504</v>
      </c>
      <c r="D1270" s="883">
        <v>1.0415832959565423</v>
      </c>
      <c r="E1270" s="883">
        <v>1.0334019193848101</v>
      </c>
      <c r="F1270" s="883">
        <v>0.97487141537138411</v>
      </c>
      <c r="G1270" s="883">
        <v>0.99954008431487329</v>
      </c>
      <c r="H1270" s="883">
        <v>0.99788044549333099</v>
      </c>
      <c r="I1270" s="883">
        <v>1.0021195613943374</v>
      </c>
      <c r="K1270">
        <v>1.5814256839166962</v>
      </c>
      <c r="L1270">
        <v>0</v>
      </c>
      <c r="M1270">
        <v>6.1245325922080138E-3</v>
      </c>
      <c r="N1270">
        <v>0.11996989475061617</v>
      </c>
      <c r="O1270">
        <v>3.0438331750628034E-2</v>
      </c>
      <c r="P1270">
        <v>1.8385184608815781E-2</v>
      </c>
      <c r="Q1270">
        <v>0</v>
      </c>
      <c r="R1270">
        <v>6.1245325922080138E-3</v>
      </c>
      <c r="S1270">
        <v>0.16923537343423034</v>
      </c>
      <c r="T1270">
        <v>1.1555503533888134</v>
      </c>
      <c r="U1270">
        <v>0</v>
      </c>
      <c r="V1270">
        <v>1.5875284847128357E-2</v>
      </c>
      <c r="W1270">
        <v>6.2111998161841583E-2</v>
      </c>
      <c r="X1270">
        <v>-1.5360472113927964E-2</v>
      </c>
      <c r="Y1270">
        <v>2.5219735088549366E-2</v>
      </c>
    </row>
    <row r="1271" spans="1:25" x14ac:dyDescent="0.25">
      <c r="A1271" s="879"/>
      <c r="B1271" s="1133">
        <v>1021</v>
      </c>
      <c r="C1271" s="883">
        <v>1.0111660877066169</v>
      </c>
      <c r="D1271" s="883">
        <v>0.97314635906826241</v>
      </c>
      <c r="E1271" s="883">
        <v>0.98346046042446933</v>
      </c>
      <c r="F1271" s="883">
        <v>1.0302496161744539</v>
      </c>
      <c r="G1271" s="883">
        <v>0.96398794170729651</v>
      </c>
      <c r="H1271" s="883">
        <v>1.0248085541619709</v>
      </c>
      <c r="I1271" s="883">
        <v>0.99462598350578091</v>
      </c>
      <c r="K1271">
        <v>1.6524096384929121</v>
      </c>
      <c r="L1271">
        <v>0</v>
      </c>
      <c r="M1271">
        <v>6.6717509462589347E-3</v>
      </c>
      <c r="N1271">
        <v>0.12137433845660461</v>
      </c>
      <c r="O1271">
        <v>3.085468815716268E-2</v>
      </c>
      <c r="P1271">
        <v>1.8564319820277279E-2</v>
      </c>
      <c r="Q1271">
        <v>0</v>
      </c>
      <c r="R1271">
        <v>6.6717509462589347E-3</v>
      </c>
      <c r="S1271">
        <v>0.16763521987272165</v>
      </c>
      <c r="T1271">
        <v>1.2221464716893427</v>
      </c>
      <c r="U1271">
        <v>0</v>
      </c>
      <c r="V1271">
        <v>1.57937105080104E-2</v>
      </c>
      <c r="W1271">
        <v>6.4411720558980187E-2</v>
      </c>
      <c r="X1271">
        <v>-1.5843913439483333E-2</v>
      </c>
      <c r="Y1271">
        <v>2.7473082869295003E-2</v>
      </c>
    </row>
    <row r="1272" spans="1:25" x14ac:dyDescent="0.25">
      <c r="A1272" s="879"/>
      <c r="B1272" s="1133">
        <v>1022</v>
      </c>
      <c r="C1272" s="883">
        <v>1.0277529840363269</v>
      </c>
      <c r="D1272" s="883">
        <v>0.99240201373352011</v>
      </c>
      <c r="E1272" s="883">
        <v>0.99601922855613301</v>
      </c>
      <c r="F1272" s="883">
        <v>1.0100142779185086</v>
      </c>
      <c r="G1272" s="883">
        <v>1.0183420678862378</v>
      </c>
      <c r="H1272" s="883">
        <v>1.026052271969367</v>
      </c>
      <c r="I1272" s="883">
        <v>0.99067659168496225</v>
      </c>
      <c r="K1272">
        <v>1.6196897727649358</v>
      </c>
      <c r="L1272">
        <v>0</v>
      </c>
      <c r="M1272">
        <v>6.4437947328040771E-3</v>
      </c>
      <c r="N1272">
        <v>0.11943048490166791</v>
      </c>
      <c r="O1272">
        <v>3.0109667140817732E-2</v>
      </c>
      <c r="P1272">
        <v>1.8372555938229236E-2</v>
      </c>
      <c r="Q1272">
        <v>0</v>
      </c>
      <c r="R1272">
        <v>6.4437947328040771E-3</v>
      </c>
      <c r="S1272">
        <v>0.16414737601507609</v>
      </c>
      <c r="T1272">
        <v>1.1979057345132114</v>
      </c>
      <c r="U1272">
        <v>0</v>
      </c>
      <c r="V1272">
        <v>1.5706698352179967E-2</v>
      </c>
      <c r="W1272">
        <v>6.2984414136734695E-2</v>
      </c>
      <c r="X1272">
        <v>-1.5501557989963036E-2</v>
      </c>
      <c r="Y1272">
        <v>2.6534399756981339E-2</v>
      </c>
    </row>
    <row r="1273" spans="1:25" x14ac:dyDescent="0.25">
      <c r="A1273" s="879"/>
      <c r="B1273" s="1133">
        <v>1023</v>
      </c>
      <c r="C1273" s="883">
        <v>1.0249049798437464</v>
      </c>
      <c r="D1273" s="883">
        <v>1.0145125436943638</v>
      </c>
      <c r="E1273" s="883">
        <v>1.0249482648095434</v>
      </c>
      <c r="F1273" s="883">
        <v>0.97450456907464877</v>
      </c>
      <c r="G1273" s="883">
        <v>0.97204011931134804</v>
      </c>
      <c r="H1273" s="883">
        <v>1.0016696628460326</v>
      </c>
      <c r="I1273" s="883">
        <v>0.97710361134105472</v>
      </c>
      <c r="K1273">
        <v>1.5689040477386065</v>
      </c>
      <c r="L1273">
        <v>0</v>
      </c>
      <c r="M1273">
        <v>6.0904095230449812E-3</v>
      </c>
      <c r="N1273">
        <v>0.1178198533066365</v>
      </c>
      <c r="O1273">
        <v>2.9903635771679475E-2</v>
      </c>
      <c r="P1273">
        <v>1.8149793412076488E-2</v>
      </c>
      <c r="Q1273">
        <v>0</v>
      </c>
      <c r="R1273">
        <v>6.0904095230449812E-3</v>
      </c>
      <c r="S1273">
        <v>0.16081266668347544</v>
      </c>
      <c r="T1273">
        <v>1.155267563372691</v>
      </c>
      <c r="U1273">
        <v>0</v>
      </c>
      <c r="V1273">
        <v>1.5721438244659953E-2</v>
      </c>
      <c r="W1273">
        <v>6.1252445787175119E-2</v>
      </c>
      <c r="X1273">
        <v>-1.5102571203203326E-2</v>
      </c>
      <c r="Y1273">
        <v>2.5079222363415896E-2</v>
      </c>
    </row>
    <row r="1274" spans="1:25" x14ac:dyDescent="0.25">
      <c r="A1274" s="879"/>
      <c r="B1274" s="1133">
        <v>1024</v>
      </c>
      <c r="C1274" s="883">
        <v>0.99676315450305819</v>
      </c>
      <c r="D1274" s="883">
        <v>1.0019523101410126</v>
      </c>
      <c r="E1274" s="883">
        <v>0.97509997967328321</v>
      </c>
      <c r="F1274" s="883">
        <v>1.0105710611736429</v>
      </c>
      <c r="G1274" s="883">
        <v>0.97313263026677954</v>
      </c>
      <c r="H1274" s="883">
        <v>1.0423781043854201</v>
      </c>
      <c r="I1274" s="883">
        <v>0.9940924895510872</v>
      </c>
      <c r="K1274">
        <v>1.6349814692243785</v>
      </c>
      <c r="L1274">
        <v>0</v>
      </c>
      <c r="M1274">
        <v>6.8448288374986632E-3</v>
      </c>
      <c r="N1274">
        <v>0.12298786058742843</v>
      </c>
      <c r="O1274">
        <v>3.0944046516362844E-2</v>
      </c>
      <c r="P1274">
        <v>1.8181374052722531E-2</v>
      </c>
      <c r="Q1274">
        <v>0</v>
      </c>
      <c r="R1274">
        <v>6.8448288374986632E-3</v>
      </c>
      <c r="S1274">
        <v>0.17065082012403809</v>
      </c>
      <c r="T1274">
        <v>1.1989603282947525</v>
      </c>
      <c r="U1274">
        <v>0</v>
      </c>
      <c r="V1274">
        <v>1.587161500285288E-2</v>
      </c>
      <c r="W1274">
        <v>6.5541871777535801E-2</v>
      </c>
      <c r="X1274">
        <v>-1.6342233950020296E-2</v>
      </c>
      <c r="Y1274">
        <v>2.8185786818703991E-2</v>
      </c>
    </row>
    <row r="1275" spans="1:25" x14ac:dyDescent="0.25">
      <c r="A1275" s="879"/>
      <c r="B1275" s="1133">
        <v>1025</v>
      </c>
      <c r="C1275" s="883">
        <v>0.97931296554466163</v>
      </c>
      <c r="D1275" s="883">
        <v>0.95769108627324517</v>
      </c>
      <c r="E1275" s="883">
        <v>1.0010230199520207</v>
      </c>
      <c r="F1275" s="883">
        <v>0.99242510836900977</v>
      </c>
      <c r="G1275" s="883">
        <v>1.0345767244387527</v>
      </c>
      <c r="H1275" s="883">
        <v>0.96317329890662506</v>
      </c>
      <c r="I1275" s="883">
        <v>0.99430432616871656</v>
      </c>
      <c r="K1275">
        <v>1.6066991618878108</v>
      </c>
      <c r="L1275">
        <v>0</v>
      </c>
      <c r="M1275">
        <v>6.4217394685842141E-3</v>
      </c>
      <c r="N1275">
        <v>0.11990739515241697</v>
      </c>
      <c r="O1275">
        <v>3.2047815150454823E-2</v>
      </c>
      <c r="P1275">
        <v>1.8237844238326226E-2</v>
      </c>
      <c r="Q1275">
        <v>0</v>
      </c>
      <c r="R1275">
        <v>6.4217394685842141E-3</v>
      </c>
      <c r="S1275">
        <v>0.16953878523982219</v>
      </c>
      <c r="T1275">
        <v>1.1769521534383782</v>
      </c>
      <c r="U1275">
        <v>0</v>
      </c>
      <c r="V1275">
        <v>1.5969071925746335E-2</v>
      </c>
      <c r="W1275">
        <v>6.3078879496839851E-2</v>
      </c>
      <c r="X1275">
        <v>-1.5476362858788261E-2</v>
      </c>
      <c r="Y1275">
        <v>2.6443580104614627E-2</v>
      </c>
    </row>
    <row r="1276" spans="1:25" x14ac:dyDescent="0.25">
      <c r="A1276" s="879"/>
      <c r="B1276" s="1133">
        <v>1026</v>
      </c>
      <c r="C1276" s="883">
        <v>0.96077991550236619</v>
      </c>
      <c r="D1276" s="883">
        <v>0.978456189723101</v>
      </c>
      <c r="E1276" s="883">
        <v>0.98756885054376586</v>
      </c>
      <c r="F1276" s="883">
        <v>1.0007944822446</v>
      </c>
      <c r="G1276" s="883">
        <v>0.97495196560157871</v>
      </c>
      <c r="H1276" s="883">
        <v>1.0101411198697545</v>
      </c>
      <c r="I1276" s="883">
        <v>1.0096004994848355</v>
      </c>
      <c r="K1276">
        <v>1.6362463776053791</v>
      </c>
      <c r="L1276">
        <v>0</v>
      </c>
      <c r="M1276">
        <v>6.8796437208763642E-3</v>
      </c>
      <c r="N1276">
        <v>0.12592129231055832</v>
      </c>
      <c r="O1276">
        <v>3.2398707560388158E-2</v>
      </c>
      <c r="P1276">
        <v>1.8302017685351162E-2</v>
      </c>
      <c r="Q1276">
        <v>0</v>
      </c>
      <c r="R1276">
        <v>6.8796437208763642E-3</v>
      </c>
      <c r="S1276">
        <v>0.17812066074111438</v>
      </c>
      <c r="T1276">
        <v>1.1871282748169747</v>
      </c>
      <c r="U1276">
        <v>0</v>
      </c>
      <c r="V1276">
        <v>1.6076452944324419E-2</v>
      </c>
      <c r="W1276">
        <v>6.6687711761609342E-2</v>
      </c>
      <c r="X1276">
        <v>-1.6717888526575943E-2</v>
      </c>
      <c r="Y1276">
        <v>2.8329148311635136E-2</v>
      </c>
    </row>
    <row r="1277" spans="1:25" x14ac:dyDescent="0.25">
      <c r="A1277" s="879"/>
      <c r="B1277" s="1133">
        <v>1027</v>
      </c>
      <c r="C1277" s="883">
        <v>1.010608202656228</v>
      </c>
      <c r="D1277" s="883">
        <v>1.0132341963775926</v>
      </c>
      <c r="E1277" s="883">
        <v>0.95936654707859714</v>
      </c>
      <c r="F1277" s="883">
        <v>1.0018967388037234</v>
      </c>
      <c r="G1277" s="883">
        <v>1.0289364276613231</v>
      </c>
      <c r="H1277" s="883">
        <v>0.97040306677284105</v>
      </c>
      <c r="I1277" s="883">
        <v>1.0005006901131621</v>
      </c>
      <c r="K1277">
        <v>1.6009880699774228</v>
      </c>
      <c r="L1277">
        <v>0</v>
      </c>
      <c r="M1277">
        <v>6.3398366507652374E-3</v>
      </c>
      <c r="N1277">
        <v>0.11128335571583729</v>
      </c>
      <c r="O1277">
        <v>3.0395423233236091E-2</v>
      </c>
      <c r="P1277">
        <v>1.7757601952776703E-2</v>
      </c>
      <c r="Q1277">
        <v>0</v>
      </c>
      <c r="R1277">
        <v>6.3398366507652374E-3</v>
      </c>
      <c r="S1277">
        <v>0.16515192551211799</v>
      </c>
      <c r="T1277">
        <v>1.1889641626314063</v>
      </c>
      <c r="U1277">
        <v>0</v>
      </c>
      <c r="V1277">
        <v>1.5796686730883299E-2</v>
      </c>
      <c r="W1277">
        <v>5.9775888598838776E-2</v>
      </c>
      <c r="X1277">
        <v>-1.4243293276668359E-2</v>
      </c>
      <c r="Y1277">
        <v>2.6106318878994197E-2</v>
      </c>
    </row>
    <row r="1278" spans="1:25" x14ac:dyDescent="0.25">
      <c r="A1278" s="879"/>
      <c r="B1278" s="1133">
        <v>1028</v>
      </c>
      <c r="C1278" s="883">
        <v>0.98446739452904897</v>
      </c>
      <c r="D1278" s="883">
        <v>0.97081691540974524</v>
      </c>
      <c r="E1278" s="883">
        <v>0.98782408501781493</v>
      </c>
      <c r="F1278" s="883">
        <v>0.97797342064861403</v>
      </c>
      <c r="G1278" s="883">
        <v>0.98706336268339534</v>
      </c>
      <c r="H1278" s="883">
        <v>0.97163294489787266</v>
      </c>
      <c r="I1278" s="883">
        <v>0.9849340997719227</v>
      </c>
      <c r="K1278">
        <v>1.5855982163066986</v>
      </c>
      <c r="L1278">
        <v>0</v>
      </c>
      <c r="M1278">
        <v>6.4793671968886206E-3</v>
      </c>
      <c r="N1278">
        <v>0.11863973955659131</v>
      </c>
      <c r="O1278">
        <v>3.171823111008152E-2</v>
      </c>
      <c r="P1278">
        <v>1.7802911424286309E-2</v>
      </c>
      <c r="Q1278">
        <v>0</v>
      </c>
      <c r="R1278">
        <v>6.4793671968886206E-3</v>
      </c>
      <c r="S1278">
        <v>0.16741038493994254</v>
      </c>
      <c r="T1278">
        <v>1.1600536014439915</v>
      </c>
      <c r="U1278">
        <v>0</v>
      </c>
      <c r="V1278">
        <v>1.593992560363627E-2</v>
      </c>
      <c r="W1278">
        <v>6.2823409233797312E-2</v>
      </c>
      <c r="X1278">
        <v>-1.5470867838046815E-2</v>
      </c>
      <c r="Y1278">
        <v>2.6680880832418909E-2</v>
      </c>
    </row>
    <row r="1279" spans="1:25" x14ac:dyDescent="0.25">
      <c r="A1279" s="879"/>
      <c r="B1279" s="1133">
        <v>1029</v>
      </c>
      <c r="C1279" s="883">
        <v>1.0324653199238456</v>
      </c>
      <c r="D1279" s="883">
        <v>0.98846716017357972</v>
      </c>
      <c r="E1279" s="883">
        <v>0.99711374081661541</v>
      </c>
      <c r="F1279" s="883">
        <v>0.98639738189459547</v>
      </c>
      <c r="G1279" s="883">
        <v>0.98759862980668689</v>
      </c>
      <c r="H1279" s="883">
        <v>0.98882334509640313</v>
      </c>
      <c r="I1279" s="883">
        <v>1.0258651170416677</v>
      </c>
      <c r="K1279">
        <v>1.5868930306331437</v>
      </c>
      <c r="L1279">
        <v>0</v>
      </c>
      <c r="M1279">
        <v>6.1867009927889125E-3</v>
      </c>
      <c r="N1279">
        <v>0.1148515901204795</v>
      </c>
      <c r="O1279">
        <v>3.0019014115292467E-2</v>
      </c>
      <c r="P1279">
        <v>1.8052870033958373E-2</v>
      </c>
      <c r="Q1279">
        <v>0</v>
      </c>
      <c r="R1279">
        <v>6.1867009927889125E-3</v>
      </c>
      <c r="S1279">
        <v>0.16709099007880959</v>
      </c>
      <c r="T1279">
        <v>1.1698753410636427</v>
      </c>
      <c r="U1279">
        <v>0</v>
      </c>
      <c r="V1279">
        <v>1.5682488169834693E-2</v>
      </c>
      <c r="W1279">
        <v>6.053666742865247E-2</v>
      </c>
      <c r="X1279">
        <v>-1.4691663874105917E-2</v>
      </c>
      <c r="Y1279">
        <v>2.5475733496578706E-2</v>
      </c>
    </row>
    <row r="1280" spans="1:25" x14ac:dyDescent="0.25">
      <c r="A1280" s="879"/>
      <c r="B1280" s="1133">
        <v>1030</v>
      </c>
      <c r="C1280" s="883">
        <v>1.0129068005409454</v>
      </c>
      <c r="D1280" s="883">
        <v>1.0254186895171911</v>
      </c>
      <c r="E1280" s="883">
        <v>0.96568652182457426</v>
      </c>
      <c r="F1280" s="883">
        <v>1.0004619584920253</v>
      </c>
      <c r="G1280" s="883">
        <v>1.0382692005492844</v>
      </c>
      <c r="H1280" s="883">
        <v>1.0340160268418879</v>
      </c>
      <c r="I1280" s="883">
        <v>1.0312575838821545</v>
      </c>
      <c r="K1280">
        <v>1.6177845297852484</v>
      </c>
      <c r="L1280">
        <v>0</v>
      </c>
      <c r="M1280">
        <v>6.6675405199667498E-3</v>
      </c>
      <c r="N1280">
        <v>0.118139572300147</v>
      </c>
      <c r="O1280">
        <v>3.0177211986696931E-2</v>
      </c>
      <c r="P1280">
        <v>1.7930194809443828E-2</v>
      </c>
      <c r="Q1280">
        <v>0</v>
      </c>
      <c r="R1280">
        <v>6.6675405199667498E-3</v>
      </c>
      <c r="S1280">
        <v>0.17345168682741965</v>
      </c>
      <c r="T1280">
        <v>1.187142947234447</v>
      </c>
      <c r="U1280">
        <v>0</v>
      </c>
      <c r="V1280">
        <v>1.5784445171663414E-2</v>
      </c>
      <c r="W1280">
        <v>6.3256775983313723E-2</v>
      </c>
      <c r="X1280">
        <v>-1.5554049611134763E-2</v>
      </c>
      <c r="Y1280">
        <v>2.7455745083251729E-2</v>
      </c>
    </row>
    <row r="1281" spans="1:25" x14ac:dyDescent="0.25">
      <c r="A1281" s="879"/>
      <c r="B1281" s="1133">
        <v>1031</v>
      </c>
      <c r="C1281" s="883">
        <v>1.0110686114274805</v>
      </c>
      <c r="D1281" s="883">
        <v>0.99600764718729262</v>
      </c>
      <c r="E1281" s="883">
        <v>0.97146216889504833</v>
      </c>
      <c r="F1281" s="883">
        <v>0.97566275399722169</v>
      </c>
      <c r="G1281" s="883">
        <v>0.96187197339098796</v>
      </c>
      <c r="H1281" s="883">
        <v>0.99174576702622252</v>
      </c>
      <c r="I1281" s="883">
        <v>0.95498167304901072</v>
      </c>
      <c r="K1281">
        <v>1.5688186234838362</v>
      </c>
      <c r="L1281">
        <v>0</v>
      </c>
      <c r="M1281">
        <v>6.4577004800197039E-3</v>
      </c>
      <c r="N1281">
        <v>0.11540705157891788</v>
      </c>
      <c r="O1281">
        <v>3.0581709274390991E-2</v>
      </c>
      <c r="P1281">
        <v>1.7434121570724964E-2</v>
      </c>
      <c r="Q1281">
        <v>0</v>
      </c>
      <c r="R1281">
        <v>6.4577004800197039E-3</v>
      </c>
      <c r="S1281">
        <v>0.15889986606827181</v>
      </c>
      <c r="T1281">
        <v>1.1576108400240059</v>
      </c>
      <c r="U1281">
        <v>0</v>
      </c>
      <c r="V1281">
        <v>1.5794230290757515E-2</v>
      </c>
      <c r="W1281">
        <v>6.1614393399614491E-2</v>
      </c>
      <c r="X1281">
        <v>-1.5115249871732385E-2</v>
      </c>
      <c r="Y1281">
        <v>2.6591661148884553E-2</v>
      </c>
    </row>
    <row r="1282" spans="1:25" x14ac:dyDescent="0.25">
      <c r="A1282" s="879"/>
      <c r="B1282" s="1133">
        <v>1032</v>
      </c>
      <c r="C1282" s="883">
        <v>1.017804829027344</v>
      </c>
      <c r="D1282" s="883">
        <v>1.044385518383401</v>
      </c>
      <c r="E1282" s="883">
        <v>0.9940389248679703</v>
      </c>
      <c r="F1282" s="883">
        <v>0.96510079063856757</v>
      </c>
      <c r="G1282" s="883">
        <v>0.96893886100115945</v>
      </c>
      <c r="H1282" s="883">
        <v>0.99657690522602049</v>
      </c>
      <c r="I1282" s="883">
        <v>0.98001498512481011</v>
      </c>
      <c r="K1282">
        <v>1.5550970547893883</v>
      </c>
      <c r="L1282">
        <v>0</v>
      </c>
      <c r="M1282">
        <v>6.1883957811058113E-3</v>
      </c>
      <c r="N1282">
        <v>0.11436074720258968</v>
      </c>
      <c r="O1282">
        <v>2.9790940771248855E-2</v>
      </c>
      <c r="P1282">
        <v>1.7606123449071524E-2</v>
      </c>
      <c r="Q1282">
        <v>0</v>
      </c>
      <c r="R1282">
        <v>6.1883957811058113E-3</v>
      </c>
      <c r="S1282">
        <v>0.16183601714990725</v>
      </c>
      <c r="T1282">
        <v>1.1446726194788541</v>
      </c>
      <c r="U1282">
        <v>0</v>
      </c>
      <c r="V1282">
        <v>1.5758544361214585E-2</v>
      </c>
      <c r="W1282">
        <v>6.0370235994788392E-2</v>
      </c>
      <c r="X1282">
        <v>-1.4780885951493588E-2</v>
      </c>
      <c r="Y1282">
        <v>2.548271233320663E-2</v>
      </c>
    </row>
    <row r="1283" spans="1:25" x14ac:dyDescent="0.25">
      <c r="A1283" s="879"/>
      <c r="B1283" s="1133">
        <v>1033</v>
      </c>
      <c r="C1283" s="883">
        <v>1.0084573283383849</v>
      </c>
      <c r="D1283" s="883">
        <v>0.99644005418443593</v>
      </c>
      <c r="E1283" s="883">
        <v>0.96431012771343605</v>
      </c>
      <c r="F1283" s="883">
        <v>0.99024260431679489</v>
      </c>
      <c r="G1283" s="883">
        <v>1.0118535032332903</v>
      </c>
      <c r="H1283" s="883">
        <v>0.98983611371645541</v>
      </c>
      <c r="I1283" s="883">
        <v>1.0263481783890787</v>
      </c>
      <c r="K1283">
        <v>1.5986899180581993</v>
      </c>
      <c r="L1283">
        <v>0</v>
      </c>
      <c r="M1283">
        <v>6.5010518438045582E-3</v>
      </c>
      <c r="N1283">
        <v>0.11495437037631877</v>
      </c>
      <c r="O1283">
        <v>3.0660948839620252E-2</v>
      </c>
      <c r="P1283">
        <v>1.7723031018817306E-2</v>
      </c>
      <c r="Q1283">
        <v>0</v>
      </c>
      <c r="R1283">
        <v>6.5010518438045582E-3</v>
      </c>
      <c r="S1283">
        <v>0.17109175613373323</v>
      </c>
      <c r="T1283">
        <v>1.1750422533519245</v>
      </c>
      <c r="U1283">
        <v>0</v>
      </c>
      <c r="V1283">
        <v>1.5808192104595616E-2</v>
      </c>
      <c r="W1283">
        <v>6.1593983498660479E-2</v>
      </c>
      <c r="X1283">
        <v>-1.4954791614165547E-2</v>
      </c>
      <c r="Y1283">
        <v>2.6770174348695476E-2</v>
      </c>
    </row>
    <row r="1284" spans="1:25" x14ac:dyDescent="0.25">
      <c r="A1284" s="879"/>
      <c r="B1284" s="1133">
        <v>1034</v>
      </c>
      <c r="C1284" s="883">
        <v>1.0060278119927533</v>
      </c>
      <c r="D1284" s="883">
        <v>0.99868687819854962</v>
      </c>
      <c r="E1284" s="883">
        <v>0.99530981129861784</v>
      </c>
      <c r="F1284" s="883">
        <v>1.032189597025714</v>
      </c>
      <c r="G1284" s="883">
        <v>0.97115433932935435</v>
      </c>
      <c r="H1284" s="883">
        <v>0.98420097106821702</v>
      </c>
      <c r="I1284" s="883">
        <v>0.98920160784911981</v>
      </c>
      <c r="K1284">
        <v>1.6437932579364447</v>
      </c>
      <c r="L1284">
        <v>0</v>
      </c>
      <c r="M1284">
        <v>6.3005803164957299E-3</v>
      </c>
      <c r="N1284">
        <v>0.11665341710861797</v>
      </c>
      <c r="O1284">
        <v>3.0682899887042779E-2</v>
      </c>
      <c r="P1284">
        <v>1.8726003557309037E-2</v>
      </c>
      <c r="Q1284">
        <v>0</v>
      </c>
      <c r="R1284">
        <v>6.3005803164957299E-3</v>
      </c>
      <c r="S1284">
        <v>0.16498674919846931</v>
      </c>
      <c r="T1284">
        <v>1.2242199183242508</v>
      </c>
      <c r="U1284">
        <v>0</v>
      </c>
      <c r="V1284">
        <v>1.5821247148987229E-2</v>
      </c>
      <c r="W1284">
        <v>6.1541580516938602E-2</v>
      </c>
      <c r="X1284">
        <v>-1.4783226087010196E-2</v>
      </c>
      <c r="Y1284">
        <v>2.5944668281839389E-2</v>
      </c>
    </row>
    <row r="1285" spans="1:25" x14ac:dyDescent="0.25">
      <c r="A1285" s="879"/>
      <c r="B1285" s="1133">
        <v>1035</v>
      </c>
      <c r="C1285" s="883">
        <v>0.98313681295274236</v>
      </c>
      <c r="D1285" s="883">
        <v>0.97980404704618196</v>
      </c>
      <c r="E1285" s="883">
        <v>1.0019856509043839</v>
      </c>
      <c r="F1285" s="883">
        <v>0.96499085554175568</v>
      </c>
      <c r="G1285" s="883">
        <v>1.0197645285350605</v>
      </c>
      <c r="H1285" s="883">
        <v>1.0096966462009871</v>
      </c>
      <c r="I1285" s="883">
        <v>1.0205381330250358</v>
      </c>
      <c r="K1285">
        <v>1.5858959921728331</v>
      </c>
      <c r="L1285">
        <v>0</v>
      </c>
      <c r="M1285">
        <v>6.6321049332276902E-3</v>
      </c>
      <c r="N1285">
        <v>0.12401207160677503</v>
      </c>
      <c r="O1285">
        <v>3.1632160460726054E-2</v>
      </c>
      <c r="P1285">
        <v>1.7900645832121861E-2</v>
      </c>
      <c r="Q1285">
        <v>0</v>
      </c>
      <c r="R1285">
        <v>6.6321049332276902E-3</v>
      </c>
      <c r="S1285">
        <v>0.17592962063816672</v>
      </c>
      <c r="T1285">
        <v>1.1443996412141699</v>
      </c>
      <c r="U1285">
        <v>0</v>
      </c>
      <c r="V1285">
        <v>1.5947420269088689E-2</v>
      </c>
      <c r="W1285">
        <v>6.5207036973614491E-2</v>
      </c>
      <c r="X1285">
        <v>-1.6442432466189941E-2</v>
      </c>
      <c r="Y1285">
        <v>2.7309827644359599E-2</v>
      </c>
    </row>
    <row r="1286" spans="1:25" x14ac:dyDescent="0.25">
      <c r="A1286" s="879"/>
      <c r="B1286" s="1133">
        <v>1036</v>
      </c>
      <c r="C1286" s="883">
        <v>0.981910409161174</v>
      </c>
      <c r="D1286" s="883">
        <v>0.97532801115260725</v>
      </c>
      <c r="E1286" s="883">
        <v>1.0027372364910545</v>
      </c>
      <c r="F1286" s="883">
        <v>1.0350771628445159</v>
      </c>
      <c r="G1286" s="883">
        <v>0.99711160919898978</v>
      </c>
      <c r="H1286" s="883">
        <v>1.0026826919406209</v>
      </c>
      <c r="I1286" s="883">
        <v>0.99851130595042026</v>
      </c>
      <c r="K1286">
        <v>1.6659356233352265</v>
      </c>
      <c r="L1286">
        <v>0</v>
      </c>
      <c r="M1286">
        <v>6.603421138168114E-3</v>
      </c>
      <c r="N1286">
        <v>0.12361325828662319</v>
      </c>
      <c r="O1286">
        <v>3.1729065651999365E-2</v>
      </c>
      <c r="P1286">
        <v>1.8971456766458308E-2</v>
      </c>
      <c r="Q1286">
        <v>0</v>
      </c>
      <c r="R1286">
        <v>6.603421138168114E-3</v>
      </c>
      <c r="S1286">
        <v>0.17198057456302693</v>
      </c>
      <c r="T1286">
        <v>1.2275017763842633</v>
      </c>
      <c r="U1286">
        <v>0</v>
      </c>
      <c r="V1286">
        <v>1.5954346129005908E-2</v>
      </c>
      <c r="W1286">
        <v>6.4973102965994858E-2</v>
      </c>
      <c r="X1286">
        <v>-1.5979670293974908E-2</v>
      </c>
      <c r="Y1286">
        <v>2.719171288182945E-2</v>
      </c>
    </row>
    <row r="1287" spans="1:25" x14ac:dyDescent="0.25">
      <c r="A1287" s="879"/>
      <c r="B1287" s="1133">
        <v>1037</v>
      </c>
      <c r="C1287" s="883">
        <v>0.99743449907794146</v>
      </c>
      <c r="D1287" s="883">
        <v>0.99064119958063179</v>
      </c>
      <c r="E1287" s="883">
        <v>0.98732910301808885</v>
      </c>
      <c r="F1287" s="883">
        <v>0.96579313843900794</v>
      </c>
      <c r="G1287" s="883">
        <v>1.0279666688564058</v>
      </c>
      <c r="H1287" s="883">
        <v>0.97236971061958555</v>
      </c>
      <c r="I1287" s="883">
        <v>0.96274623996206099</v>
      </c>
      <c r="K1287">
        <v>1.5600355216387707</v>
      </c>
      <c r="L1287">
        <v>0</v>
      </c>
      <c r="M1287">
        <v>6.3452110688658721E-3</v>
      </c>
      <c r="N1287">
        <v>0.11609804337975888</v>
      </c>
      <c r="O1287">
        <v>3.105417239401901E-2</v>
      </c>
      <c r="P1287">
        <v>1.7523717125587722E-2</v>
      </c>
      <c r="Q1287">
        <v>0</v>
      </c>
      <c r="R1287">
        <v>6.3452110688658721E-3</v>
      </c>
      <c r="S1287">
        <v>0.1613616179720242</v>
      </c>
      <c r="T1287">
        <v>1.1456144913800137</v>
      </c>
      <c r="U1287">
        <v>0</v>
      </c>
      <c r="V1287">
        <v>1.5867933754113165E-2</v>
      </c>
      <c r="W1287">
        <v>6.1492694035512836E-2</v>
      </c>
      <c r="X1287">
        <v>-1.5105598178382277E-2</v>
      </c>
      <c r="Y1287">
        <v>2.6128449776121859E-2</v>
      </c>
    </row>
    <row r="1288" spans="1:25" x14ac:dyDescent="0.25">
      <c r="A1288" s="879"/>
      <c r="B1288" s="1133">
        <v>1038</v>
      </c>
      <c r="C1288" s="883">
        <v>0.96046264098317047</v>
      </c>
      <c r="D1288" s="883">
        <v>1.0040087750790585</v>
      </c>
      <c r="E1288" s="883">
        <v>0.9630079634525579</v>
      </c>
      <c r="F1288" s="883">
        <v>0.97988769630981332</v>
      </c>
      <c r="G1288" s="883">
        <v>0.98805151159527049</v>
      </c>
      <c r="H1288" s="883">
        <v>1.0200302242213906</v>
      </c>
      <c r="I1288" s="883">
        <v>1.0056544450397034</v>
      </c>
      <c r="K1288">
        <v>1.6088387699453897</v>
      </c>
      <c r="L1288">
        <v>0</v>
      </c>
      <c r="M1288">
        <v>7.0183763459335351E-3</v>
      </c>
      <c r="N1288">
        <v>0.12386209957450124</v>
      </c>
      <c r="O1288">
        <v>3.2096799911219172E-2</v>
      </c>
      <c r="P1288">
        <v>1.7636056375529667E-2</v>
      </c>
      <c r="Q1288">
        <v>0</v>
      </c>
      <c r="R1288">
        <v>7.0183763459335351E-3</v>
      </c>
      <c r="S1288">
        <v>0.17776866719294832</v>
      </c>
      <c r="T1288">
        <v>1.162778822348423</v>
      </c>
      <c r="U1288">
        <v>0</v>
      </c>
      <c r="V1288">
        <v>1.607832732087763E-2</v>
      </c>
      <c r="W1288">
        <v>6.6410431777755588E-2</v>
      </c>
      <c r="X1288">
        <v>-1.6692859123998548E-2</v>
      </c>
      <c r="Y1288">
        <v>2.8900424568133836E-2</v>
      </c>
    </row>
    <row r="1289" spans="1:25" x14ac:dyDescent="0.25">
      <c r="A1289" s="879"/>
      <c r="B1289" s="1133">
        <v>1039</v>
      </c>
      <c r="C1289" s="883">
        <v>1.0099206526646236</v>
      </c>
      <c r="D1289" s="883">
        <v>0.98834747855616167</v>
      </c>
      <c r="E1289" s="883">
        <v>1.0271333628865926</v>
      </c>
      <c r="F1289" s="883">
        <v>0.97506583632669941</v>
      </c>
      <c r="G1289" s="883">
        <v>1.0040946905026347</v>
      </c>
      <c r="H1289" s="883">
        <v>0.99696550176236309</v>
      </c>
      <c r="I1289" s="883">
        <v>1.0226280897186277</v>
      </c>
      <c r="K1289">
        <v>1.5847082072399541</v>
      </c>
      <c r="L1289">
        <v>0</v>
      </c>
      <c r="M1289">
        <v>6.2119549149288796E-3</v>
      </c>
      <c r="N1289">
        <v>0.12056006143902985</v>
      </c>
      <c r="O1289">
        <v>3.0664150165469545E-2</v>
      </c>
      <c r="P1289">
        <v>1.8325321094208494E-2</v>
      </c>
      <c r="Q1289">
        <v>0</v>
      </c>
      <c r="R1289">
        <v>6.2119549149288796E-3</v>
      </c>
      <c r="S1289">
        <v>0.17079642937488632</v>
      </c>
      <c r="T1289">
        <v>1.1558935881660417</v>
      </c>
      <c r="U1289">
        <v>0</v>
      </c>
      <c r="V1289">
        <v>1.5800359217735739E-2</v>
      </c>
      <c r="W1289">
        <v>6.2609770215834748E-2</v>
      </c>
      <c r="X1289">
        <v>-1.5521197086172771E-2</v>
      </c>
      <c r="Y1289">
        <v>2.5579724652920535E-2</v>
      </c>
    </row>
    <row r="1290" spans="1:25" x14ac:dyDescent="0.25">
      <c r="A1290" s="879"/>
      <c r="B1290" s="1133">
        <v>1040</v>
      </c>
      <c r="C1290" s="883">
        <v>1.0018183320931726</v>
      </c>
      <c r="D1290" s="883">
        <v>0.95677287551044687</v>
      </c>
      <c r="E1290" s="883">
        <v>1.0034353537097913</v>
      </c>
      <c r="F1290" s="883">
        <v>1.0033946014393984</v>
      </c>
      <c r="G1290" s="883">
        <v>0.99414487051854483</v>
      </c>
      <c r="H1290" s="883">
        <v>1.0046707725096156</v>
      </c>
      <c r="I1290" s="883">
        <v>0.97614374160703599</v>
      </c>
      <c r="K1290">
        <v>1.618382070997163</v>
      </c>
      <c r="L1290">
        <v>0</v>
      </c>
      <c r="M1290">
        <v>6.5369536600739528E-3</v>
      </c>
      <c r="N1290">
        <v>0.12249561152295679</v>
      </c>
      <c r="O1290">
        <v>3.1337796903424642E-2</v>
      </c>
      <c r="P1290">
        <v>1.838373790802967E-2</v>
      </c>
      <c r="Q1290">
        <v>0</v>
      </c>
      <c r="R1290">
        <v>6.5369536600739528E-3</v>
      </c>
      <c r="S1290">
        <v>0.16510607003623984</v>
      </c>
      <c r="T1290">
        <v>1.1899163022187069</v>
      </c>
      <c r="U1290">
        <v>0</v>
      </c>
      <c r="V1290">
        <v>1.5844016755182325E-2</v>
      </c>
      <c r="W1290">
        <v>6.4363358906796758E-2</v>
      </c>
      <c r="X1290">
        <v>-1.5982834891981938E-2</v>
      </c>
      <c r="Y1290">
        <v>2.6918011637807771E-2</v>
      </c>
    </row>
    <row r="1291" spans="1:25" x14ac:dyDescent="0.25">
      <c r="A1291" s="879"/>
      <c r="B1291" s="1133">
        <v>1041</v>
      </c>
      <c r="C1291" s="883">
        <v>1.0235657472061526</v>
      </c>
      <c r="D1291" s="883">
        <v>0.99961676210007011</v>
      </c>
      <c r="E1291" s="883">
        <v>0.99229664527887007</v>
      </c>
      <c r="F1291" s="883">
        <v>0.98696309773779356</v>
      </c>
      <c r="G1291" s="883">
        <v>0.98200485499734746</v>
      </c>
      <c r="H1291" s="883">
        <v>1.0396551994259946</v>
      </c>
      <c r="I1291" s="883">
        <v>0.97214568115459599</v>
      </c>
      <c r="K1291">
        <v>1.5925836071227919</v>
      </c>
      <c r="L1291">
        <v>0</v>
      </c>
      <c r="M1291">
        <v>6.5560524603981481E-3</v>
      </c>
      <c r="N1291">
        <v>0.12084252019304874</v>
      </c>
      <c r="O1291">
        <v>3.0148402687002716E-2</v>
      </c>
      <c r="P1291">
        <v>1.793508506709534E-2</v>
      </c>
      <c r="Q1291">
        <v>0</v>
      </c>
      <c r="R1291">
        <v>6.5560524603981481E-3</v>
      </c>
      <c r="S1291">
        <v>0.16240611593004167</v>
      </c>
      <c r="T1291">
        <v>1.1706347546785183</v>
      </c>
      <c r="U1291">
        <v>0</v>
      </c>
      <c r="V1291">
        <v>1.5728397819641658E-2</v>
      </c>
      <c r="W1291">
        <v>6.3847294358974002E-2</v>
      </c>
      <c r="X1291">
        <v>-1.5955620709614149E-2</v>
      </c>
      <c r="Y1291">
        <v>2.6996657098083073E-2</v>
      </c>
    </row>
    <row r="1292" spans="1:25" x14ac:dyDescent="0.25">
      <c r="A1292" s="879"/>
      <c r="B1292" s="1133">
        <v>1042</v>
      </c>
      <c r="C1292" s="883">
        <v>1.0050711230364875</v>
      </c>
      <c r="D1292" s="883">
        <v>1.0158255993277987</v>
      </c>
      <c r="E1292" s="883">
        <v>1.0277834363964202</v>
      </c>
      <c r="F1292" s="883">
        <v>0.96601655275646336</v>
      </c>
      <c r="G1292" s="883">
        <v>1.0037795676959274</v>
      </c>
      <c r="H1292" s="883">
        <v>0.99909591385346153</v>
      </c>
      <c r="I1292" s="883">
        <v>1.0047912405072454</v>
      </c>
      <c r="K1292">
        <v>1.5703021155568306</v>
      </c>
      <c r="L1292">
        <v>0</v>
      </c>
      <c r="M1292">
        <v>6.1757106718232447E-3</v>
      </c>
      <c r="N1292">
        <v>0.11997189390058885</v>
      </c>
      <c r="O1292">
        <v>3.0475375079227925E-2</v>
      </c>
      <c r="P1292">
        <v>1.8156114121382249E-2</v>
      </c>
      <c r="Q1292">
        <v>0</v>
      </c>
      <c r="R1292">
        <v>6.1757106718232447E-3</v>
      </c>
      <c r="S1292">
        <v>0.16847494892376319</v>
      </c>
      <c r="T1292">
        <v>1.1451545032431467</v>
      </c>
      <c r="U1292">
        <v>0</v>
      </c>
      <c r="V1292">
        <v>1.582640525209458E-2</v>
      </c>
      <c r="W1292">
        <v>6.2284433150896934E-2</v>
      </c>
      <c r="X1292">
        <v>-1.5472035425316766E-2</v>
      </c>
      <c r="Y1292">
        <v>2.54304773110463E-2</v>
      </c>
    </row>
    <row r="1293" spans="1:25" x14ac:dyDescent="0.25">
      <c r="A1293" s="879"/>
      <c r="B1293" s="1133">
        <v>1043</v>
      </c>
      <c r="C1293" s="883">
        <v>0.98108534322642471</v>
      </c>
      <c r="D1293" s="883">
        <v>1.0083598955553572</v>
      </c>
      <c r="E1293" s="883">
        <v>0.99847886272061037</v>
      </c>
      <c r="F1293" s="883">
        <v>1.0238300705191428</v>
      </c>
      <c r="G1293" s="883">
        <v>1.0189886934100059</v>
      </c>
      <c r="H1293" s="883">
        <v>0.98248437306434988</v>
      </c>
      <c r="I1293" s="883">
        <v>1.010989131308601</v>
      </c>
      <c r="K1293">
        <v>1.6460354327413056</v>
      </c>
      <c r="L1293">
        <v>0</v>
      </c>
      <c r="M1293">
        <v>6.4040820162525941E-3</v>
      </c>
      <c r="N1293">
        <v>0.11912783047640742</v>
      </c>
      <c r="O1293">
        <v>3.1339173595255787E-2</v>
      </c>
      <c r="P1293">
        <v>1.8743153787018119E-2</v>
      </c>
      <c r="Q1293">
        <v>0</v>
      </c>
      <c r="R1293">
        <v>6.4040820162525941E-3</v>
      </c>
      <c r="S1293">
        <v>0.17271261315988631</v>
      </c>
      <c r="T1293">
        <v>1.2142448258941347</v>
      </c>
      <c r="U1293">
        <v>0</v>
      </c>
      <c r="V1293">
        <v>1.5959015259863697E-2</v>
      </c>
      <c r="W1293">
        <v>6.2748020159247075E-2</v>
      </c>
      <c r="X1293">
        <v>-1.521006944933077E-2</v>
      </c>
      <c r="Y1293">
        <v>2.6370869858822373E-2</v>
      </c>
    </row>
    <row r="1294" spans="1:25" x14ac:dyDescent="0.25">
      <c r="A1294" s="879"/>
      <c r="B1294" s="1133">
        <v>1044</v>
      </c>
      <c r="C1294" s="883">
        <v>0.98190908453982317</v>
      </c>
      <c r="D1294" s="883">
        <v>1.0154253933539092</v>
      </c>
      <c r="E1294" s="883">
        <v>1.0183768290811546</v>
      </c>
      <c r="F1294" s="883">
        <v>1.0089879800024959</v>
      </c>
      <c r="G1294" s="883">
        <v>0.98511650862606359</v>
      </c>
      <c r="H1294" s="883">
        <v>0.97917254683549892</v>
      </c>
      <c r="I1294" s="883">
        <v>1.0228714688553509</v>
      </c>
      <c r="K1294">
        <v>1.6292396331220156</v>
      </c>
      <c r="L1294">
        <v>0</v>
      </c>
      <c r="M1294">
        <v>6.2476745672899485E-3</v>
      </c>
      <c r="N1294">
        <v>0.11969309535325448</v>
      </c>
      <c r="O1294">
        <v>3.1207910384239378E-2</v>
      </c>
      <c r="P1294">
        <v>1.8804296425526546E-2</v>
      </c>
      <c r="Q1294">
        <v>0</v>
      </c>
      <c r="R1294">
        <v>6.2476745672899485E-3</v>
      </c>
      <c r="S1294">
        <v>0.17435036371379034</v>
      </c>
      <c r="T1294">
        <v>1.1962699742098326</v>
      </c>
      <c r="U1294">
        <v>0</v>
      </c>
      <c r="V1294">
        <v>1.5954353618882301E-2</v>
      </c>
      <c r="W1294">
        <v>6.2427929658194999E-2</v>
      </c>
      <c r="X1294">
        <v>-1.5195102065187824E-2</v>
      </c>
      <c r="Y1294">
        <v>2.5726811823482295E-2</v>
      </c>
    </row>
    <row r="1295" spans="1:25" x14ac:dyDescent="0.25">
      <c r="A1295" s="879"/>
      <c r="B1295" s="1133">
        <v>1045</v>
      </c>
      <c r="C1295" s="883">
        <v>1.0127535519444781</v>
      </c>
      <c r="D1295" s="883">
        <v>0.99587095366371248</v>
      </c>
      <c r="E1295" s="883">
        <v>1.0187123631554444</v>
      </c>
      <c r="F1295" s="883">
        <v>1.018961605773232</v>
      </c>
      <c r="G1295" s="883">
        <v>1.0188412308877755</v>
      </c>
      <c r="H1295" s="883">
        <v>1.0019193212926329</v>
      </c>
      <c r="I1295" s="883">
        <v>1.0050044304906101</v>
      </c>
      <c r="K1295">
        <v>1.6335965964606025</v>
      </c>
      <c r="L1295">
        <v>0</v>
      </c>
      <c r="M1295">
        <v>6.2502509790486058E-3</v>
      </c>
      <c r="N1295">
        <v>0.11980190989279854</v>
      </c>
      <c r="O1295">
        <v>3.049340379112106E-2</v>
      </c>
      <c r="P1295">
        <v>1.8875032383125243E-2</v>
      </c>
      <c r="Q1295">
        <v>0</v>
      </c>
      <c r="R1295">
        <v>6.2502509790486058E-3</v>
      </c>
      <c r="S1295">
        <v>0.16758300539514601</v>
      </c>
      <c r="T1295">
        <v>1.2080885152864898</v>
      </c>
      <c r="U1295">
        <v>0</v>
      </c>
      <c r="V1295">
        <v>1.5785259593265814E-2</v>
      </c>
      <c r="W1295">
        <v>6.2474350828593712E-2</v>
      </c>
      <c r="X1295">
        <v>-1.5242301738458376E-2</v>
      </c>
      <c r="Y1295">
        <v>2.5737421028520245E-2</v>
      </c>
    </row>
    <row r="1296" spans="1:25" x14ac:dyDescent="0.25">
      <c r="A1296" s="879"/>
      <c r="B1296" s="1133">
        <v>1046</v>
      </c>
      <c r="C1296" s="883">
        <v>1.016655384788413</v>
      </c>
      <c r="D1296" s="883">
        <v>0.98049025516599431</v>
      </c>
      <c r="E1296" s="883">
        <v>0.97438632138319525</v>
      </c>
      <c r="F1296" s="883">
        <v>0.97083664551305227</v>
      </c>
      <c r="G1296" s="883">
        <v>1.003569637739284</v>
      </c>
      <c r="H1296" s="883">
        <v>0.99546487235238246</v>
      </c>
      <c r="I1296" s="883">
        <v>0.95709276949364563</v>
      </c>
      <c r="K1296">
        <v>1.5638958189694079</v>
      </c>
      <c r="L1296">
        <v>0</v>
      </c>
      <c r="M1296">
        <v>6.4751234166315098E-3</v>
      </c>
      <c r="N1296">
        <v>0.11622182131040371</v>
      </c>
      <c r="O1296">
        <v>3.0603044496661427E-2</v>
      </c>
      <c r="P1296">
        <v>1.7395398437559939E-2</v>
      </c>
      <c r="Q1296">
        <v>0</v>
      </c>
      <c r="R1296">
        <v>6.4751234166315098E-3</v>
      </c>
      <c r="S1296">
        <v>0.15873401379109589</v>
      </c>
      <c r="T1296">
        <v>1.1518316305285994</v>
      </c>
      <c r="U1296">
        <v>0</v>
      </c>
      <c r="V1296">
        <v>1.5764600219123296E-2</v>
      </c>
      <c r="W1296">
        <v>6.1958342769641295E-2</v>
      </c>
      <c r="X1296">
        <v>-1.5276438284362485E-2</v>
      </c>
      <c r="Y1296">
        <v>2.6663405700684858E-2</v>
      </c>
    </row>
    <row r="1297" spans="1:25" x14ac:dyDescent="0.25">
      <c r="A1297" s="879"/>
      <c r="B1297" s="1133">
        <v>1047</v>
      </c>
      <c r="C1297" s="883">
        <v>0.96982765412458116</v>
      </c>
      <c r="D1297" s="883">
        <v>1.0325845303312171</v>
      </c>
      <c r="E1297" s="883">
        <v>1.0208112613899376</v>
      </c>
      <c r="F1297" s="883">
        <v>0.99422328673307625</v>
      </c>
      <c r="G1297" s="883">
        <v>0.97244439587254317</v>
      </c>
      <c r="H1297" s="883">
        <v>0.99224117371812537</v>
      </c>
      <c r="I1297" s="883">
        <v>0.99360736029022612</v>
      </c>
      <c r="K1297">
        <v>1.6128555038371883</v>
      </c>
      <c r="L1297">
        <v>0</v>
      </c>
      <c r="M1297">
        <v>6.348715399761091E-3</v>
      </c>
      <c r="N1297">
        <v>0.12206765439475964</v>
      </c>
      <c r="O1297">
        <v>3.1383344382526678E-2</v>
      </c>
      <c r="P1297">
        <v>1.857012629449396E-2</v>
      </c>
      <c r="Q1297">
        <v>0</v>
      </c>
      <c r="R1297">
        <v>6.348715399761091E-3</v>
      </c>
      <c r="S1297">
        <v>0.17208227498247203</v>
      </c>
      <c r="T1297">
        <v>1.1787199773847616</v>
      </c>
      <c r="U1297">
        <v>0</v>
      </c>
      <c r="V1297">
        <v>1.6023517372671742E-2</v>
      </c>
      <c r="W1297">
        <v>6.3590105824358742E-2</v>
      </c>
      <c r="X1297">
        <v>-1.5724376785857572E-2</v>
      </c>
      <c r="Y1297">
        <v>2.6142879987000728E-2</v>
      </c>
    </row>
    <row r="1298" spans="1:25" x14ac:dyDescent="0.25">
      <c r="A1298" s="879"/>
      <c r="B1298" s="1133">
        <v>1048</v>
      </c>
      <c r="C1298" s="883">
        <v>0.99754301556691283</v>
      </c>
      <c r="D1298" s="883">
        <v>1.0137014787847134</v>
      </c>
      <c r="E1298" s="883">
        <v>1.0333843267881884</v>
      </c>
      <c r="F1298" s="883">
        <v>0.98872029509518966</v>
      </c>
      <c r="G1298" s="883">
        <v>1.0276596821839317</v>
      </c>
      <c r="H1298" s="883">
        <v>0.98860376534761063</v>
      </c>
      <c r="I1298" s="883">
        <v>0.98218888245160485</v>
      </c>
      <c r="K1298">
        <v>1.5947326099307062</v>
      </c>
      <c r="L1298">
        <v>0</v>
      </c>
      <c r="M1298">
        <v>6.132540453192014E-3</v>
      </c>
      <c r="N1298">
        <v>0.12012363295567326</v>
      </c>
      <c r="O1298">
        <v>3.0725835216830654E-2</v>
      </c>
      <c r="P1298">
        <v>1.8556649844949952E-2</v>
      </c>
      <c r="Q1298">
        <v>0</v>
      </c>
      <c r="R1298">
        <v>6.132540453192014E-3</v>
      </c>
      <c r="S1298">
        <v>0.16535883312245811</v>
      </c>
      <c r="T1298">
        <v>1.1719662521985887</v>
      </c>
      <c r="U1298">
        <v>0</v>
      </c>
      <c r="V1298">
        <v>1.5867339180328024E-2</v>
      </c>
      <c r="W1298">
        <v>6.2192129038481245E-2</v>
      </c>
      <c r="X1298">
        <v>-1.5310771661339472E-2</v>
      </c>
      <c r="Y1298">
        <v>2.5252710034735365E-2</v>
      </c>
    </row>
    <row r="1299" spans="1:25" x14ac:dyDescent="0.25">
      <c r="A1299" s="879"/>
      <c r="B1299" s="1133">
        <v>1049</v>
      </c>
      <c r="C1299" s="883">
        <v>1.01569807282891</v>
      </c>
      <c r="D1299" s="883">
        <v>0.97353555006022496</v>
      </c>
      <c r="E1299" s="883">
        <v>0.9988711843113115</v>
      </c>
      <c r="F1299" s="883">
        <v>0.98465045350456337</v>
      </c>
      <c r="G1299" s="883">
        <v>0.99878238652367313</v>
      </c>
      <c r="H1299" s="883">
        <v>0.99808635223735431</v>
      </c>
      <c r="I1299" s="883">
        <v>0.97652846115032121</v>
      </c>
      <c r="K1299">
        <v>1.5867344331993063</v>
      </c>
      <c r="L1299">
        <v>0</v>
      </c>
      <c r="M1299">
        <v>6.3812321379264859E-3</v>
      </c>
      <c r="N1299">
        <v>0.11877179918607804</v>
      </c>
      <c r="O1299">
        <v>3.069944554556045E-2</v>
      </c>
      <c r="P1299">
        <v>1.7986628589340456E-2</v>
      </c>
      <c r="Q1299">
        <v>0</v>
      </c>
      <c r="R1299">
        <v>6.3812321379264859E-3</v>
      </c>
      <c r="S1299">
        <v>0.16235492022967379</v>
      </c>
      <c r="T1299">
        <v>1.1677712933538376</v>
      </c>
      <c r="U1299">
        <v>0</v>
      </c>
      <c r="V1299">
        <v>1.576965428771631E-2</v>
      </c>
      <c r="W1299">
        <v>6.2548293634134333E-2</v>
      </c>
      <c r="X1299">
        <v>-1.5444379754038015E-2</v>
      </c>
      <c r="Y1299">
        <v>2.6276778127002177E-2</v>
      </c>
    </row>
    <row r="1300" spans="1:25" x14ac:dyDescent="0.25">
      <c r="A1300" s="879"/>
      <c r="B1300" s="1133">
        <v>1050</v>
      </c>
      <c r="C1300" s="883">
        <v>1.0015556458871564</v>
      </c>
      <c r="D1300" s="883">
        <v>1.0266130931991517</v>
      </c>
      <c r="E1300" s="883">
        <v>0.9891380615263049</v>
      </c>
      <c r="F1300" s="883">
        <v>1.0070473615363542</v>
      </c>
      <c r="G1300" s="883">
        <v>0.99707981762435505</v>
      </c>
      <c r="H1300" s="883">
        <v>0.95582055216220707</v>
      </c>
      <c r="I1300" s="883">
        <v>1.0447793540286296</v>
      </c>
      <c r="K1300">
        <v>1.6146144799584552</v>
      </c>
      <c r="L1300">
        <v>0</v>
      </c>
      <c r="M1300">
        <v>6.1039207631457823E-3</v>
      </c>
      <c r="N1300">
        <v>0.11198313267180626</v>
      </c>
      <c r="O1300">
        <v>3.0486831322951376E-2</v>
      </c>
      <c r="P1300">
        <v>1.8351647592816187E-2</v>
      </c>
      <c r="Q1300">
        <v>0</v>
      </c>
      <c r="R1300">
        <v>6.1039207631457823E-3</v>
      </c>
      <c r="S1300">
        <v>0.17305735137483247</v>
      </c>
      <c r="T1300">
        <v>1.194515901679043</v>
      </c>
      <c r="U1300">
        <v>0</v>
      </c>
      <c r="V1300">
        <v>1.5845444002551206E-2</v>
      </c>
      <c r="W1300">
        <v>5.9259664142829814E-2</v>
      </c>
      <c r="X1300">
        <v>-1.402035207361424E-2</v>
      </c>
      <c r="Y1300">
        <v>2.5134859245239904E-2</v>
      </c>
    </row>
    <row r="1301" spans="1:25" x14ac:dyDescent="0.25">
      <c r="A1301" s="879"/>
      <c r="B1301" s="1133">
        <v>1051</v>
      </c>
      <c r="C1301" s="883">
        <v>1.0232589261600904</v>
      </c>
      <c r="D1301" s="883">
        <v>0.96923931061752455</v>
      </c>
      <c r="E1301" s="883">
        <v>0.96447321332288538</v>
      </c>
      <c r="F1301" s="883">
        <v>0.99199293565020952</v>
      </c>
      <c r="G1301" s="883">
        <v>0.99061184704962613</v>
      </c>
      <c r="H1301" s="883">
        <v>0.97130651269103219</v>
      </c>
      <c r="I1301" s="883">
        <v>0.99947082390608533</v>
      </c>
      <c r="K1301">
        <v>1.5890420410397867</v>
      </c>
      <c r="L1301">
        <v>0</v>
      </c>
      <c r="M1301">
        <v>6.3643465312741869E-3</v>
      </c>
      <c r="N1301">
        <v>0.11256435386226375</v>
      </c>
      <c r="O1301">
        <v>3.0553708833688867E-2</v>
      </c>
      <c r="P1301">
        <v>1.765116400754253E-2</v>
      </c>
      <c r="Q1301">
        <v>0</v>
      </c>
      <c r="R1301">
        <v>6.3643465312741869E-3</v>
      </c>
      <c r="S1301">
        <v>0.16341396264340952</v>
      </c>
      <c r="T1301">
        <v>1.1771162007625016</v>
      </c>
      <c r="U1301">
        <v>0</v>
      </c>
      <c r="V1301">
        <v>1.5729994837973386E-2</v>
      </c>
      <c r="W1301">
        <v>6.030842644625329E-2</v>
      </c>
      <c r="X1301">
        <v>-1.4503016558180841E-2</v>
      </c>
      <c r="Y1301">
        <v>2.6207246204333953E-2</v>
      </c>
    </row>
    <row r="1302" spans="1:25" x14ac:dyDescent="0.25">
      <c r="A1302" s="879"/>
      <c r="B1302" s="1133">
        <v>1052</v>
      </c>
      <c r="C1302" s="883">
        <v>1.0010438605208596</v>
      </c>
      <c r="D1302" s="883">
        <v>1.0154811648492783</v>
      </c>
      <c r="E1302" s="883">
        <v>1.0043775235993868</v>
      </c>
      <c r="F1302" s="883">
        <v>0.99933804938120274</v>
      </c>
      <c r="G1302" s="883">
        <v>1.0401941828733436</v>
      </c>
      <c r="H1302" s="883">
        <v>1.0261361738077719</v>
      </c>
      <c r="I1302" s="883">
        <v>0.98541449944839599</v>
      </c>
      <c r="K1302">
        <v>1.6142243398810616</v>
      </c>
      <c r="L1302">
        <v>0</v>
      </c>
      <c r="M1302">
        <v>6.5011380705057558E-3</v>
      </c>
      <c r="N1302">
        <v>0.12199457812051347</v>
      </c>
      <c r="O1302">
        <v>3.062299459110283E-2</v>
      </c>
      <c r="P1302">
        <v>1.8362966160228936E-2</v>
      </c>
      <c r="Q1302">
        <v>0</v>
      </c>
      <c r="R1302">
        <v>6.5011380705057558E-3</v>
      </c>
      <c r="S1302">
        <v>0.16740198980963078</v>
      </c>
      <c r="T1302">
        <v>1.1850881922403389</v>
      </c>
      <c r="U1302">
        <v>0</v>
      </c>
      <c r="V1302">
        <v>1.5848226826388881E-2</v>
      </c>
      <c r="W1302">
        <v>6.407016045234655E-2</v>
      </c>
      <c r="X1302">
        <v>-1.5935297734391566E-2</v>
      </c>
      <c r="Y1302">
        <v>2.6770529414903224E-2</v>
      </c>
    </row>
    <row r="1303" spans="1:25" x14ac:dyDescent="0.25">
      <c r="A1303" s="879"/>
      <c r="B1303" s="1133">
        <v>1053</v>
      </c>
      <c r="C1303" s="883">
        <v>0.99025404100026626</v>
      </c>
      <c r="D1303" s="883">
        <v>0.97956907247222058</v>
      </c>
      <c r="E1303" s="883">
        <v>0.99680245485209518</v>
      </c>
      <c r="F1303" s="883">
        <v>1.0230479666229906</v>
      </c>
      <c r="G1303" s="883">
        <v>1.015853906077506</v>
      </c>
      <c r="H1303" s="883">
        <v>1.0024099229033372</v>
      </c>
      <c r="I1303" s="883">
        <v>1.0239554438587237</v>
      </c>
      <c r="K1303">
        <v>1.651587239272222</v>
      </c>
      <c r="L1303">
        <v>0</v>
      </c>
      <c r="M1303">
        <v>6.5672867438086834E-3</v>
      </c>
      <c r="N1303">
        <v>0.12186066348268808</v>
      </c>
      <c r="O1303">
        <v>3.1412307578376659E-2</v>
      </c>
      <c r="P1303">
        <v>1.8734651561687493E-2</v>
      </c>
      <c r="Q1303">
        <v>0</v>
      </c>
      <c r="R1303">
        <v>6.5672867438086834E-3</v>
      </c>
      <c r="S1303">
        <v>0.17480605765926385</v>
      </c>
      <c r="T1303">
        <v>1.2133491564251504</v>
      </c>
      <c r="U1303">
        <v>0</v>
      </c>
      <c r="V1303">
        <v>1.5907565863067658E-2</v>
      </c>
      <c r="W1303">
        <v>6.4240994931813511E-2</v>
      </c>
      <c r="X1303">
        <v>-1.5767076107367616E-2</v>
      </c>
      <c r="Y1303">
        <v>2.7042917877539756E-2</v>
      </c>
    </row>
    <row r="1304" spans="1:25" x14ac:dyDescent="0.25">
      <c r="A1304" s="879"/>
      <c r="B1304" s="1133">
        <v>1054</v>
      </c>
      <c r="C1304" s="883">
        <v>1.009234635635166</v>
      </c>
      <c r="D1304" s="883">
        <v>0.97501333581052729</v>
      </c>
      <c r="E1304" s="883">
        <v>1.0254965233086188</v>
      </c>
      <c r="F1304" s="883">
        <v>0.96734864632422213</v>
      </c>
      <c r="G1304" s="883">
        <v>0.98376317731896157</v>
      </c>
      <c r="H1304" s="883">
        <v>1.0064842613363914</v>
      </c>
      <c r="I1304" s="883">
        <v>0.99834923013865839</v>
      </c>
      <c r="K1304">
        <v>1.575231400882007</v>
      </c>
      <c r="L1304">
        <v>0</v>
      </c>
      <c r="M1304">
        <v>6.3227651151958261E-3</v>
      </c>
      <c r="N1304">
        <v>0.12241400913330025</v>
      </c>
      <c r="O1304">
        <v>3.0853687232149034E-2</v>
      </c>
      <c r="P1304">
        <v>1.8134479229012838E-2</v>
      </c>
      <c r="Q1304">
        <v>0</v>
      </c>
      <c r="R1304">
        <v>6.3227651151958261E-3</v>
      </c>
      <c r="S1304">
        <v>0.16754543672943845</v>
      </c>
      <c r="T1304">
        <v>1.1467744749859927</v>
      </c>
      <c r="U1304">
        <v>0</v>
      </c>
      <c r="V1304">
        <v>1.5804028503513565E-2</v>
      </c>
      <c r="W1304">
        <v>6.3623717205634284E-2</v>
      </c>
      <c r="X1304">
        <v>-1.5954453471175897E-2</v>
      </c>
      <c r="Y1304">
        <v>2.6036021334139424E-2</v>
      </c>
    </row>
    <row r="1305" spans="1:25" x14ac:dyDescent="0.25">
      <c r="A1305" s="879"/>
      <c r="B1305" s="1133">
        <v>1055</v>
      </c>
      <c r="C1305" s="883">
        <v>1.0100803967832332</v>
      </c>
      <c r="D1305" s="883">
        <v>0.98165213435818721</v>
      </c>
      <c r="E1305" s="883">
        <v>0.98242865889047359</v>
      </c>
      <c r="F1305" s="883">
        <v>1.0434679842955705</v>
      </c>
      <c r="G1305" s="883">
        <v>1.0176313714952674</v>
      </c>
      <c r="H1305" s="883">
        <v>1.0288036082095187</v>
      </c>
      <c r="I1305" s="883">
        <v>0.99337584944971014</v>
      </c>
      <c r="K1305">
        <v>1.668554156731739</v>
      </c>
      <c r="L1305">
        <v>0</v>
      </c>
      <c r="M1305">
        <v>6.6849602972101907E-3</v>
      </c>
      <c r="N1305">
        <v>0.12142865431139817</v>
      </c>
      <c r="O1305">
        <v>3.0781343011937579E-2</v>
      </c>
      <c r="P1305">
        <v>1.8758158525320714E-2</v>
      </c>
      <c r="Q1305">
        <v>0</v>
      </c>
      <c r="R1305">
        <v>6.6849602972101907E-3</v>
      </c>
      <c r="S1305">
        <v>0.16773683115689833</v>
      </c>
      <c r="T1305">
        <v>1.2378470159886439</v>
      </c>
      <c r="U1305">
        <v>0</v>
      </c>
      <c r="V1305">
        <v>1.5799505512937562E-2</v>
      </c>
      <c r="W1305">
        <v>6.4473805906044471E-2</v>
      </c>
      <c r="X1305">
        <v>-1.57986343067772E-2</v>
      </c>
      <c r="Y1305">
        <v>2.7527476625335456E-2</v>
      </c>
    </row>
    <row r="1306" spans="1:25" x14ac:dyDescent="0.25">
      <c r="A1306" s="879"/>
      <c r="B1306" s="1133">
        <v>1056</v>
      </c>
      <c r="C1306" s="883">
        <v>1.0121339631171011</v>
      </c>
      <c r="D1306" s="883">
        <v>0.98149617936250977</v>
      </c>
      <c r="E1306" s="883">
        <v>0.98394709064808461</v>
      </c>
      <c r="F1306" s="883">
        <v>1.0270454760637036</v>
      </c>
      <c r="G1306" s="883">
        <v>1.0194060513379639</v>
      </c>
      <c r="H1306" s="883">
        <v>1.0085150179197255</v>
      </c>
      <c r="I1306" s="883">
        <v>1.0170854549629291</v>
      </c>
      <c r="K1306">
        <v>1.6471419080427814</v>
      </c>
      <c r="L1306">
        <v>0</v>
      </c>
      <c r="M1306">
        <v>6.5316434378777316E-3</v>
      </c>
      <c r="N1306">
        <v>0.11891126368653762</v>
      </c>
      <c r="O1306">
        <v>3.0719629463106135E-2</v>
      </c>
      <c r="P1306">
        <v>1.8554859126221516E-2</v>
      </c>
      <c r="Q1306">
        <v>0</v>
      </c>
      <c r="R1306">
        <v>6.5316434378777316E-3</v>
      </c>
      <c r="S1306">
        <v>0.17020352040418896</v>
      </c>
      <c r="T1306">
        <v>1.2183361961400205</v>
      </c>
      <c r="U1306">
        <v>0</v>
      </c>
      <c r="V1306">
        <v>1.5788554839296174E-2</v>
      </c>
      <c r="W1306">
        <v>6.3089249104837819E-2</v>
      </c>
      <c r="X1306">
        <v>-1.5357509809416534E-2</v>
      </c>
      <c r="Y1306">
        <v>2.6896145087988054E-2</v>
      </c>
    </row>
    <row r="1307" spans="1:25" x14ac:dyDescent="0.25">
      <c r="A1307" s="879"/>
      <c r="B1307" s="1133">
        <v>1057</v>
      </c>
      <c r="C1307" s="883">
        <v>1.0078822349116032</v>
      </c>
      <c r="D1307" s="883">
        <v>1.0239544070734323</v>
      </c>
      <c r="E1307" s="883">
        <v>1.0012766158224542</v>
      </c>
      <c r="F1307" s="883">
        <v>0.99055566223341174</v>
      </c>
      <c r="G1307" s="883">
        <v>1.0212497468495603</v>
      </c>
      <c r="H1307" s="883">
        <v>1.0356769854193355</v>
      </c>
      <c r="I1307" s="883">
        <v>0.98262891086813242</v>
      </c>
      <c r="K1307">
        <v>1.6016879659575918</v>
      </c>
      <c r="L1307">
        <v>0</v>
      </c>
      <c r="M1307">
        <v>6.5105994381057962E-3</v>
      </c>
      <c r="N1307">
        <v>0.12161227482132132</v>
      </c>
      <c r="O1307">
        <v>3.0316914276095806E-2</v>
      </c>
      <c r="P1307">
        <v>1.8165276713258544E-2</v>
      </c>
      <c r="Q1307">
        <v>0</v>
      </c>
      <c r="R1307">
        <v>6.5105994381057962E-3</v>
      </c>
      <c r="S1307">
        <v>0.16624173691374861</v>
      </c>
      <c r="T1307">
        <v>1.1747304435657242</v>
      </c>
      <c r="U1307">
        <v>0</v>
      </c>
      <c r="V1307">
        <v>1.5811276692335539E-2</v>
      </c>
      <c r="W1307">
        <v>6.3967701025664139E-2</v>
      </c>
      <c r="X1307">
        <v>-1.5967147693176427E-2</v>
      </c>
      <c r="Y1307">
        <v>2.6809489642619543E-2</v>
      </c>
    </row>
    <row r="1308" spans="1:25" x14ac:dyDescent="0.25">
      <c r="A1308" s="879"/>
      <c r="B1308" s="1133">
        <v>1058</v>
      </c>
      <c r="C1308" s="883">
        <v>0.99014093265159631</v>
      </c>
      <c r="D1308" s="883">
        <v>0.98349151092882514</v>
      </c>
      <c r="E1308" s="883">
        <v>0.99337787578112524</v>
      </c>
      <c r="F1308" s="883">
        <v>1.0416033375621492</v>
      </c>
      <c r="G1308" s="883">
        <v>0.99870124900339197</v>
      </c>
      <c r="H1308" s="883">
        <v>1.0363468888682192</v>
      </c>
      <c r="I1308" s="883">
        <v>1.0282616318076827</v>
      </c>
      <c r="K1308">
        <v>1.6826493114508616</v>
      </c>
      <c r="L1308">
        <v>0</v>
      </c>
      <c r="M1308">
        <v>6.7985917422423792E-3</v>
      </c>
      <c r="N1308">
        <v>0.12551405150505743</v>
      </c>
      <c r="O1308">
        <v>3.1368631467597691E-2</v>
      </c>
      <c r="P1308">
        <v>1.9016447870754072E-2</v>
      </c>
      <c r="Q1308">
        <v>0</v>
      </c>
      <c r="R1308">
        <v>6.7985917422423792E-3</v>
      </c>
      <c r="S1308">
        <v>0.17757200538236673</v>
      </c>
      <c r="T1308">
        <v>1.2354224564188774</v>
      </c>
      <c r="U1308">
        <v>0</v>
      </c>
      <c r="V1308">
        <v>1.590819475650802E-2</v>
      </c>
      <c r="W1308">
        <v>6.6279799110452148E-2</v>
      </c>
      <c r="X1308">
        <v>-1.6427665751087117E-2</v>
      </c>
      <c r="Y1308">
        <v>2.7995390690334777E-2</v>
      </c>
    </row>
    <row r="1309" spans="1:25" x14ac:dyDescent="0.25">
      <c r="A1309" s="879"/>
      <c r="B1309" s="1133">
        <v>1059</v>
      </c>
      <c r="C1309" s="883">
        <v>0.99798418515481957</v>
      </c>
      <c r="D1309" s="883">
        <v>0.98296266705947988</v>
      </c>
      <c r="E1309" s="883">
        <v>0.95685073314722313</v>
      </c>
      <c r="F1309" s="883">
        <v>1.0009876753002225</v>
      </c>
      <c r="G1309" s="883">
        <v>0.98401921720298824</v>
      </c>
      <c r="H1309" s="883">
        <v>1.0152312165887378</v>
      </c>
      <c r="I1309" s="883">
        <v>0.97989266159118338</v>
      </c>
      <c r="K1309">
        <v>1.615077475248782</v>
      </c>
      <c r="L1309">
        <v>0</v>
      </c>
      <c r="M1309">
        <v>6.8230155359019929E-3</v>
      </c>
      <c r="N1309">
        <v>0.11931767822223553</v>
      </c>
      <c r="O1309">
        <v>3.1157473731247273E-2</v>
      </c>
      <c r="P1309">
        <v>1.7729382435120879E-2</v>
      </c>
      <c r="Q1309">
        <v>0</v>
      </c>
      <c r="R1309">
        <v>6.8230155359019929E-3</v>
      </c>
      <c r="S1309">
        <v>0.16664536742787048</v>
      </c>
      <c r="T1309">
        <v>1.1879326262092942</v>
      </c>
      <c r="U1309">
        <v>0</v>
      </c>
      <c r="V1309">
        <v>1.5864923295000138E-2</v>
      </c>
      <c r="W1309">
        <v>6.417304081664274E-2</v>
      </c>
      <c r="X1309">
        <v>-1.5838980413980481E-2</v>
      </c>
      <c r="Y1309">
        <v>2.8095963525351854E-2</v>
      </c>
    </row>
    <row r="1310" spans="1:25" x14ac:dyDescent="0.25">
      <c r="A1310" s="879"/>
      <c r="B1310" s="1133">
        <v>1060</v>
      </c>
      <c r="C1310" s="883">
        <v>0.97659497904556103</v>
      </c>
      <c r="D1310" s="883">
        <v>1.0101270710492083</v>
      </c>
      <c r="E1310" s="883">
        <v>0.99659266504232202</v>
      </c>
      <c r="F1310" s="883">
        <v>0.99946858180567877</v>
      </c>
      <c r="G1310" s="883">
        <v>0.98751422503386421</v>
      </c>
      <c r="H1310" s="883">
        <v>1.0096415403246397</v>
      </c>
      <c r="I1310" s="883">
        <v>0.99785607597401849</v>
      </c>
      <c r="K1310">
        <v>1.6226311572285832</v>
      </c>
      <c r="L1310">
        <v>0</v>
      </c>
      <c r="M1310">
        <v>6.6170914509747518E-3</v>
      </c>
      <c r="N1310">
        <v>0.12274666025490426</v>
      </c>
      <c r="O1310">
        <v>3.1462851003151458E-2</v>
      </c>
      <c r="P1310">
        <v>1.8333416385766688E-2</v>
      </c>
      <c r="Q1310">
        <v>0</v>
      </c>
      <c r="R1310">
        <v>6.6170914509747518E-3</v>
      </c>
      <c r="S1310">
        <v>0.17283524334463202</v>
      </c>
      <c r="T1310">
        <v>1.1853875771378111</v>
      </c>
      <c r="U1310">
        <v>0</v>
      </c>
      <c r="V1310">
        <v>1.5984564990808466E-2</v>
      </c>
      <c r="W1310">
        <v>6.4714815039397383E-2</v>
      </c>
      <c r="X1310">
        <v>-1.6081975724629282E-2</v>
      </c>
      <c r="Y1310">
        <v>2.7248004796742217E-2</v>
      </c>
    </row>
    <row r="1311" spans="1:25" x14ac:dyDescent="0.25">
      <c r="A1311" s="879"/>
      <c r="B1311" s="1133">
        <v>1061</v>
      </c>
      <c r="C1311" s="883">
        <v>0.99626990360148282</v>
      </c>
      <c r="D1311" s="883">
        <v>1.0234058277379516</v>
      </c>
      <c r="E1311" s="883">
        <v>1.0192068089998174</v>
      </c>
      <c r="F1311" s="883">
        <v>1.0057616730914727</v>
      </c>
      <c r="G1311" s="883">
        <v>0.99594355870462681</v>
      </c>
      <c r="H1311" s="883">
        <v>0.97400110079302427</v>
      </c>
      <c r="I1311" s="883">
        <v>0.99315596604216905</v>
      </c>
      <c r="K1311">
        <v>1.6124639357649229</v>
      </c>
      <c r="L1311">
        <v>0</v>
      </c>
      <c r="M1311">
        <v>6.0993358500382976E-3</v>
      </c>
      <c r="N1311">
        <v>0.1169947873886583</v>
      </c>
      <c r="O1311">
        <v>3.0661148564028122E-2</v>
      </c>
      <c r="P1311">
        <v>1.8655736509665073E-2</v>
      </c>
      <c r="Q1311">
        <v>0</v>
      </c>
      <c r="R1311">
        <v>6.0993358500382976E-3</v>
      </c>
      <c r="S1311">
        <v>0.16647779172622706</v>
      </c>
      <c r="T1311">
        <v>1.1924293753836237</v>
      </c>
      <c r="U1311">
        <v>0</v>
      </c>
      <c r="V1311">
        <v>1.5874322854965608E-2</v>
      </c>
      <c r="W1311">
        <v>6.0995627133331322E-2</v>
      </c>
      <c r="X1311">
        <v>-1.4740833184724019E-2</v>
      </c>
      <c r="Y1311">
        <v>2.5115979389147391E-2</v>
      </c>
    </row>
    <row r="1312" spans="1:25" x14ac:dyDescent="0.25">
      <c r="A1312" s="879"/>
      <c r="B1312" s="1133">
        <v>1062</v>
      </c>
      <c r="C1312" s="883">
        <v>1.0168075192983792</v>
      </c>
      <c r="D1312" s="883">
        <v>0.98280417636238881</v>
      </c>
      <c r="E1312" s="883">
        <v>1.0321613937551997</v>
      </c>
      <c r="F1312" s="883">
        <v>1.0012830187570063</v>
      </c>
      <c r="G1312" s="883">
        <v>0.97227839819235951</v>
      </c>
      <c r="H1312" s="883">
        <v>1.0444137290448019</v>
      </c>
      <c r="I1312" s="883">
        <v>1.0430382707999064</v>
      </c>
      <c r="K1312">
        <v>1.6296163913959476</v>
      </c>
      <c r="L1312">
        <v>0</v>
      </c>
      <c r="M1312">
        <v>6.4512817997420301E-3</v>
      </c>
      <c r="N1312">
        <v>0.12613892362823492</v>
      </c>
      <c r="O1312">
        <v>3.0520393360177245E-2</v>
      </c>
      <c r="P1312">
        <v>1.8887943483016291E-2</v>
      </c>
      <c r="Q1312">
        <v>0</v>
      </c>
      <c r="R1312">
        <v>6.4512817997420301E-3</v>
      </c>
      <c r="S1312">
        <v>0.17593510950863309</v>
      </c>
      <c r="T1312">
        <v>1.1868798873879185</v>
      </c>
      <c r="U1312">
        <v>0</v>
      </c>
      <c r="V1312">
        <v>1.576379791085759E-2</v>
      </c>
      <c r="W1312">
        <v>6.5345599829177495E-2</v>
      </c>
      <c r="X1312">
        <v>-1.6420493878051723E-2</v>
      </c>
      <c r="Y1312">
        <v>2.6565230165983587E-2</v>
      </c>
    </row>
    <row r="1313" spans="1:25" x14ac:dyDescent="0.25">
      <c r="A1313" s="879"/>
      <c r="B1313" s="1133">
        <v>1063</v>
      </c>
      <c r="C1313" s="883">
        <v>0.97402485143248407</v>
      </c>
      <c r="D1313" s="883">
        <v>1.0206827149687787</v>
      </c>
      <c r="E1313" s="883">
        <v>1.0070243830860344</v>
      </c>
      <c r="F1313" s="883">
        <v>1.005159591950948</v>
      </c>
      <c r="G1313" s="883">
        <v>1.0030545326018194</v>
      </c>
      <c r="H1313" s="883">
        <v>1.0121002388722975</v>
      </c>
      <c r="I1313" s="883">
        <v>0.98068011652193332</v>
      </c>
      <c r="K1313">
        <v>1.6275261336305087</v>
      </c>
      <c r="L1313">
        <v>0</v>
      </c>
      <c r="M1313">
        <v>6.5599040216935958E-3</v>
      </c>
      <c r="N1313">
        <v>0.12358076907052945</v>
      </c>
      <c r="O1313">
        <v>3.1405869812453031E-2</v>
      </c>
      <c r="P1313">
        <v>1.8533618137355847E-2</v>
      </c>
      <c r="Q1313">
        <v>0</v>
      </c>
      <c r="R1313">
        <v>6.5599040216935958E-3</v>
      </c>
      <c r="S1313">
        <v>0.170356023546168</v>
      </c>
      <c r="T1313">
        <v>1.1919424237343506</v>
      </c>
      <c r="U1313">
        <v>0</v>
      </c>
      <c r="V1313">
        <v>1.5999294768890362E-2</v>
      </c>
      <c r="W1313">
        <v>6.4818147548151628E-2</v>
      </c>
      <c r="X1313">
        <v>-1.6122530129336721E-2</v>
      </c>
      <c r="Y1313">
        <v>2.7012517141945372E-2</v>
      </c>
    </row>
    <row r="1314" spans="1:25" x14ac:dyDescent="0.25">
      <c r="A1314" s="879"/>
      <c r="B1314" s="1133">
        <v>1064</v>
      </c>
      <c r="C1314" s="883">
        <v>1.0348496435905812</v>
      </c>
      <c r="D1314" s="883">
        <v>1.0117669366610633</v>
      </c>
      <c r="E1314" s="883">
        <v>0.96588207458183162</v>
      </c>
      <c r="F1314" s="883">
        <v>1.0027305100368167</v>
      </c>
      <c r="G1314" s="883">
        <v>1.0232911642510072</v>
      </c>
      <c r="H1314" s="883">
        <v>0.98803507191757978</v>
      </c>
      <c r="I1314" s="883">
        <v>0.98449610616662664</v>
      </c>
      <c r="K1314">
        <v>1.5949606885498415</v>
      </c>
      <c r="L1314">
        <v>0</v>
      </c>
      <c r="M1314">
        <v>6.2722396050907299E-3</v>
      </c>
      <c r="N1314">
        <v>0.11116767152811408</v>
      </c>
      <c r="O1314">
        <v>2.9695974719723971E-2</v>
      </c>
      <c r="P1314">
        <v>1.7786850728286605E-2</v>
      </c>
      <c r="Q1314">
        <v>0</v>
      </c>
      <c r="R1314">
        <v>6.2722396050907299E-3</v>
      </c>
      <c r="S1314">
        <v>0.15968967981005577</v>
      </c>
      <c r="T1314">
        <v>1.1898311251680966</v>
      </c>
      <c r="U1314">
        <v>0</v>
      </c>
      <c r="V1314">
        <v>1.5670322430040476E-2</v>
      </c>
      <c r="W1314">
        <v>5.9517872186459986E-2</v>
      </c>
      <c r="X1314">
        <v>-1.4226774297668558E-2</v>
      </c>
      <c r="Y1314">
        <v>2.5827966276732176E-2</v>
      </c>
    </row>
    <row r="1315" spans="1:25" x14ac:dyDescent="0.25">
      <c r="A1315" s="879"/>
      <c r="B1315" s="1133">
        <v>1065</v>
      </c>
      <c r="C1315" s="883">
        <v>1.003394226539069</v>
      </c>
      <c r="D1315" s="883">
        <v>0.99123229145159975</v>
      </c>
      <c r="E1315" s="883">
        <v>1.0106536290040613</v>
      </c>
      <c r="F1315" s="883">
        <v>1.0000768235585162</v>
      </c>
      <c r="G1315" s="883">
        <v>0.977417623673136</v>
      </c>
      <c r="H1315" s="883">
        <v>0.96437614480540923</v>
      </c>
      <c r="I1315" s="883">
        <v>0.96685068880752278</v>
      </c>
      <c r="K1315">
        <v>1.5989254115474172</v>
      </c>
      <c r="L1315">
        <v>0</v>
      </c>
      <c r="M1315">
        <v>6.1278807429725416E-3</v>
      </c>
      <c r="N1315">
        <v>0.11606392126725446</v>
      </c>
      <c r="O1315">
        <v>3.0842571961245152E-2</v>
      </c>
      <c r="P1315">
        <v>1.8368907928728667E-2</v>
      </c>
      <c r="Q1315">
        <v>0</v>
      </c>
      <c r="R1315">
        <v>6.1278807429725416E-3</v>
      </c>
      <c r="S1315">
        <v>0.16065708520140315</v>
      </c>
      <c r="T1315">
        <v>1.1858478401282893</v>
      </c>
      <c r="U1315">
        <v>0</v>
      </c>
      <c r="V1315">
        <v>1.5835470170628509E-2</v>
      </c>
      <c r="W1315">
        <v>6.0766329906926715E-2</v>
      </c>
      <c r="X1315">
        <v>-1.4690237194507334E-2</v>
      </c>
      <c r="Y1315">
        <v>2.5233522177449078E-2</v>
      </c>
    </row>
    <row r="1316" spans="1:25" x14ac:dyDescent="0.25">
      <c r="A1316" s="879"/>
      <c r="B1316" s="1133">
        <v>1066</v>
      </c>
      <c r="C1316" s="883">
        <v>1.0035737837955716</v>
      </c>
      <c r="D1316" s="883">
        <v>0.99941053402565505</v>
      </c>
      <c r="E1316" s="883">
        <v>0.97482239954442285</v>
      </c>
      <c r="F1316" s="883">
        <v>1.0171883927420333</v>
      </c>
      <c r="G1316" s="883">
        <v>0.99495813466476957</v>
      </c>
      <c r="H1316" s="883">
        <v>1.0122120309832043</v>
      </c>
      <c r="I1316" s="883">
        <v>0.99994299805729059</v>
      </c>
      <c r="K1316">
        <v>1.634213051860641</v>
      </c>
      <c r="L1316">
        <v>0</v>
      </c>
      <c r="M1316">
        <v>6.6107162299791286E-3</v>
      </c>
      <c r="N1316">
        <v>0.1187323989661926</v>
      </c>
      <c r="O1316">
        <v>3.0765506035003318E-2</v>
      </c>
      <c r="P1316">
        <v>1.8255377688641421E-2</v>
      </c>
      <c r="Q1316">
        <v>0</v>
      </c>
      <c r="R1316">
        <v>6.6107162299791286E-3</v>
      </c>
      <c r="S1316">
        <v>0.16877558760081546</v>
      </c>
      <c r="T1316">
        <v>1.2068165321063242</v>
      </c>
      <c r="U1316">
        <v>0</v>
      </c>
      <c r="V1316">
        <v>1.5834498077000214E-2</v>
      </c>
      <c r="W1316">
        <v>6.32828925350747E-2</v>
      </c>
      <c r="X1316">
        <v>-1.5471493919840545E-2</v>
      </c>
      <c r="Y1316">
        <v>2.7221752771429276E-2</v>
      </c>
    </row>
    <row r="1317" spans="1:25" x14ac:dyDescent="0.25">
      <c r="A1317" s="879"/>
      <c r="B1317" s="1133">
        <v>1067</v>
      </c>
      <c r="C1317" s="883">
        <v>1.0150420430959444</v>
      </c>
      <c r="D1317" s="883">
        <v>0.99415118284371617</v>
      </c>
      <c r="E1317" s="883">
        <v>0.96498463238839804</v>
      </c>
      <c r="F1317" s="883">
        <v>1.0098361740278872</v>
      </c>
      <c r="G1317" s="883">
        <v>0.96471079797423775</v>
      </c>
      <c r="H1317" s="883">
        <v>0.99371589261697557</v>
      </c>
      <c r="I1317" s="883">
        <v>0.99409327866234376</v>
      </c>
      <c r="K1317">
        <v>1.6155590376974516</v>
      </c>
      <c r="L1317">
        <v>0</v>
      </c>
      <c r="M1317">
        <v>6.4870428084604932E-3</v>
      </c>
      <c r="N1317">
        <v>0.11482163766492078</v>
      </c>
      <c r="O1317">
        <v>3.0489583746446652E-2</v>
      </c>
      <c r="P1317">
        <v>1.7953431360483735E-2</v>
      </c>
      <c r="Q1317">
        <v>0</v>
      </c>
      <c r="R1317">
        <v>6.4870428084604932E-3</v>
      </c>
      <c r="S1317">
        <v>0.16488388217255751</v>
      </c>
      <c r="T1317">
        <v>1.1982796225291983</v>
      </c>
      <c r="U1317">
        <v>0</v>
      </c>
      <c r="V1317">
        <v>1.5773123260596454E-2</v>
      </c>
      <c r="W1317">
        <v>6.1501958176589822E-2</v>
      </c>
      <c r="X1317">
        <v>-1.4856688848006281E-2</v>
      </c>
      <c r="Y1317">
        <v>2.6712487634663953E-2</v>
      </c>
    </row>
    <row r="1318" spans="1:25" x14ac:dyDescent="0.25">
      <c r="A1318" s="879"/>
      <c r="B1318" s="1133">
        <v>1068</v>
      </c>
      <c r="C1318" s="883">
        <v>1.0028159185333612</v>
      </c>
      <c r="D1318" s="883">
        <v>0.99528250668476237</v>
      </c>
      <c r="E1318" s="883">
        <v>1.017605647466185</v>
      </c>
      <c r="F1318" s="883">
        <v>1.0423667405163666</v>
      </c>
      <c r="G1318" s="883">
        <v>0.97786701470543635</v>
      </c>
      <c r="H1318" s="883">
        <v>1.0320646887325211</v>
      </c>
      <c r="I1318" s="883">
        <v>1.0300237141291675</v>
      </c>
      <c r="K1318">
        <v>1.6774687392815542</v>
      </c>
      <c r="L1318">
        <v>0</v>
      </c>
      <c r="M1318">
        <v>6.5101261173734822E-3</v>
      </c>
      <c r="N1318">
        <v>0.12457892625428342</v>
      </c>
      <c r="O1318">
        <v>3.0803866265139344E-2</v>
      </c>
      <c r="P1318">
        <v>1.9340725146305398E-2</v>
      </c>
      <c r="Q1318">
        <v>0</v>
      </c>
      <c r="R1318">
        <v>6.5101261173734822E-3</v>
      </c>
      <c r="S1318">
        <v>0.17526116201240224</v>
      </c>
      <c r="T1318">
        <v>1.235859166149726</v>
      </c>
      <c r="U1318">
        <v>0</v>
      </c>
      <c r="V1318">
        <v>1.5838603401726541E-2</v>
      </c>
      <c r="W1318">
        <v>6.5000924273506872E-2</v>
      </c>
      <c r="X1318">
        <v>-1.6022174813626982E-2</v>
      </c>
      <c r="Y1318">
        <v>2.6807540592091825E-2</v>
      </c>
    </row>
    <row r="1319" spans="1:25" x14ac:dyDescent="0.25">
      <c r="A1319" s="879"/>
      <c r="B1319" s="1133">
        <v>1069</v>
      </c>
      <c r="C1319" s="883">
        <v>0.99651292229013988</v>
      </c>
      <c r="D1319" s="883">
        <v>1.0057761629502395</v>
      </c>
      <c r="E1319" s="883">
        <v>1.0419982563459009</v>
      </c>
      <c r="F1319" s="883">
        <v>0.98369605656639902</v>
      </c>
      <c r="G1319" s="883">
        <v>0.99809562169767396</v>
      </c>
      <c r="H1319" s="883">
        <v>0.99728453526321881</v>
      </c>
      <c r="I1319" s="883">
        <v>0.97925904378853657</v>
      </c>
      <c r="K1319">
        <v>1.591940359124173</v>
      </c>
      <c r="L1319">
        <v>0</v>
      </c>
      <c r="M1319">
        <v>6.1677147979970421E-3</v>
      </c>
      <c r="N1319">
        <v>0.12235989207577846</v>
      </c>
      <c r="O1319">
        <v>3.0846035572076554E-2</v>
      </c>
      <c r="P1319">
        <v>1.8593527182157021E-2</v>
      </c>
      <c r="Q1319">
        <v>0</v>
      </c>
      <c r="R1319">
        <v>6.1677147979970421E-3</v>
      </c>
      <c r="S1319">
        <v>0.16561328211330287</v>
      </c>
      <c r="T1319">
        <v>1.1658547700789368</v>
      </c>
      <c r="U1319">
        <v>0</v>
      </c>
      <c r="V1319">
        <v>1.5872988394326791E-2</v>
      </c>
      <c r="W1319">
        <v>6.3083608551469592E-2</v>
      </c>
      <c r="X1319">
        <v>-1.5681296569717996E-2</v>
      </c>
      <c r="Y1319">
        <v>2.5397551725842484E-2</v>
      </c>
    </row>
    <row r="1320" spans="1:25" x14ac:dyDescent="0.25">
      <c r="A1320" s="879"/>
      <c r="B1320" s="1133">
        <v>1070</v>
      </c>
      <c r="C1320" s="883">
        <v>0.98732221899269434</v>
      </c>
      <c r="D1320" s="883">
        <v>1.0086822093749057</v>
      </c>
      <c r="E1320" s="883">
        <v>1.0009036330981984</v>
      </c>
      <c r="F1320" s="883">
        <v>1.0076445666412397</v>
      </c>
      <c r="G1320" s="883">
        <v>0.96572755580969571</v>
      </c>
      <c r="H1320" s="883">
        <v>0.95706239518485792</v>
      </c>
      <c r="I1320" s="883">
        <v>0.97973871076363772</v>
      </c>
      <c r="K1320">
        <v>1.6124282746047256</v>
      </c>
      <c r="L1320">
        <v>0</v>
      </c>
      <c r="M1320">
        <v>6.1849699584971352E-3</v>
      </c>
      <c r="N1320">
        <v>0.11546598719341669</v>
      </c>
      <c r="O1320">
        <v>3.1135143442564954E-2</v>
      </c>
      <c r="P1320">
        <v>1.8414404509080631E-2</v>
      </c>
      <c r="Q1320">
        <v>0</v>
      </c>
      <c r="R1320">
        <v>6.1849699584971352E-3</v>
      </c>
      <c r="S1320">
        <v>0.1648592251928554</v>
      </c>
      <c r="T1320">
        <v>1.195003684371738</v>
      </c>
      <c r="U1320">
        <v>0</v>
      </c>
      <c r="V1320">
        <v>1.5923913617583964E-2</v>
      </c>
      <c r="W1320">
        <v>6.0746017988758422E-2</v>
      </c>
      <c r="X1320">
        <v>-1.458870711675158E-2</v>
      </c>
      <c r="Y1320">
        <v>2.5468605405477782E-2</v>
      </c>
    </row>
    <row r="1321" spans="1:25" x14ac:dyDescent="0.25">
      <c r="A1321" s="879"/>
      <c r="B1321" s="1133">
        <v>1071</v>
      </c>
      <c r="C1321" s="883">
        <v>1.0085618749664012</v>
      </c>
      <c r="D1321" s="883">
        <v>1.0120037196326142</v>
      </c>
      <c r="E1321" s="883">
        <v>0.95733860933496684</v>
      </c>
      <c r="F1321" s="883">
        <v>1.0339749131815839</v>
      </c>
      <c r="G1321" s="883">
        <v>0.9984630586780715</v>
      </c>
      <c r="H1321" s="883">
        <v>0.99424577323056829</v>
      </c>
      <c r="I1321" s="883">
        <v>1.006339755753608</v>
      </c>
      <c r="K1321">
        <v>1.64720420245806</v>
      </c>
      <c r="L1321">
        <v>0</v>
      </c>
      <c r="M1321">
        <v>6.5238052269659128E-3</v>
      </c>
      <c r="N1321">
        <v>0.11416798080491852</v>
      </c>
      <c r="O1321">
        <v>3.0473359352227759E-2</v>
      </c>
      <c r="P1321">
        <v>1.825725154109592E-2</v>
      </c>
      <c r="Q1321">
        <v>0</v>
      </c>
      <c r="R1321">
        <v>6.5238052269659128E-3</v>
      </c>
      <c r="S1321">
        <v>0.16783339382370033</v>
      </c>
      <c r="T1321">
        <v>1.2270711075503931</v>
      </c>
      <c r="U1321">
        <v>0</v>
      </c>
      <c r="V1321">
        <v>1.5807631733149731E-2</v>
      </c>
      <c r="W1321">
        <v>6.1388222011283848E-2</v>
      </c>
      <c r="X1321">
        <v>-1.4658613089312249E-2</v>
      </c>
      <c r="Y1321">
        <v>2.6863868730602702E-2</v>
      </c>
    </row>
    <row r="1322" spans="1:25" x14ac:dyDescent="0.25">
      <c r="A1322" s="879"/>
      <c r="B1322" s="1133">
        <v>1072</v>
      </c>
      <c r="C1322" s="883">
        <v>1.0031004275974849</v>
      </c>
      <c r="D1322" s="883">
        <v>0.9806143839354875</v>
      </c>
      <c r="E1322" s="883">
        <v>1.0147930966424346</v>
      </c>
      <c r="F1322" s="883">
        <v>0.98742271535976578</v>
      </c>
      <c r="G1322" s="883">
        <v>1.006350430637863</v>
      </c>
      <c r="H1322" s="883">
        <v>0.98475179385526723</v>
      </c>
      <c r="I1322" s="883">
        <v>1.0135487351362087</v>
      </c>
      <c r="K1322">
        <v>1.5979939887237846</v>
      </c>
      <c r="L1322">
        <v>0</v>
      </c>
      <c r="M1322">
        <v>6.2666161962042725E-3</v>
      </c>
      <c r="N1322">
        <v>0.11942104136002403</v>
      </c>
      <c r="O1322">
        <v>3.0981102328588892E-2</v>
      </c>
      <c r="P1322">
        <v>1.834565394429875E-2</v>
      </c>
      <c r="Q1322">
        <v>0</v>
      </c>
      <c r="R1322">
        <v>6.2666161962042725E-3</v>
      </c>
      <c r="S1322">
        <v>0.16977807878177817</v>
      </c>
      <c r="T1322">
        <v>1.1707674093665184</v>
      </c>
      <c r="U1322">
        <v>0</v>
      </c>
      <c r="V1322">
        <v>1.5837061500644345E-2</v>
      </c>
      <c r="W1322">
        <v>6.239624112892754E-2</v>
      </c>
      <c r="X1322">
        <v>-1.533740976686411E-2</v>
      </c>
      <c r="Y1322">
        <v>2.5804810079867225E-2</v>
      </c>
    </row>
    <row r="1323" spans="1:25" x14ac:dyDescent="0.25">
      <c r="A1323" s="879"/>
      <c r="B1323" s="1133">
        <v>1073</v>
      </c>
      <c r="C1323" s="883">
        <v>1.0151741115081041</v>
      </c>
      <c r="D1323" s="883">
        <v>0.97000496282775828</v>
      </c>
      <c r="E1323" s="883">
        <v>1.0009091060219453</v>
      </c>
      <c r="F1323" s="883">
        <v>1.0008359007688936</v>
      </c>
      <c r="G1323" s="883">
        <v>0.99580204437129349</v>
      </c>
      <c r="H1323" s="883">
        <v>1.0399513259522652</v>
      </c>
      <c r="I1323" s="883">
        <v>1.0397120573895056</v>
      </c>
      <c r="K1323">
        <v>1.6279505539807331</v>
      </c>
      <c r="L1323">
        <v>0</v>
      </c>
      <c r="M1323">
        <v>6.6512815950574167E-3</v>
      </c>
      <c r="N1323">
        <v>0.12417247410746683</v>
      </c>
      <c r="O1323">
        <v>3.0758231254721421E-2</v>
      </c>
      <c r="P1323">
        <v>1.844720371845332E-2</v>
      </c>
      <c r="Q1323">
        <v>0</v>
      </c>
      <c r="R1323">
        <v>6.6512815950574167E-3</v>
      </c>
      <c r="S1323">
        <v>0.17551067736917914</v>
      </c>
      <c r="T1323">
        <v>1.1869289290171385</v>
      </c>
      <c r="U1323">
        <v>0</v>
      </c>
      <c r="V1323">
        <v>1.5772424545008525E-2</v>
      </c>
      <c r="W1323">
        <v>6.5326275162768024E-2</v>
      </c>
      <c r="X1323">
        <v>-1.6354454918459986E-2</v>
      </c>
      <c r="Y1323">
        <v>2.7388793724455848E-2</v>
      </c>
    </row>
    <row r="1324" spans="1:25" x14ac:dyDescent="0.25">
      <c r="A1324" s="879"/>
      <c r="B1324" s="1133">
        <v>1074</v>
      </c>
      <c r="C1324" s="883">
        <v>0.97140522359204284</v>
      </c>
      <c r="D1324" s="883">
        <v>0.99493455901129169</v>
      </c>
      <c r="E1324" s="883">
        <v>0.97346184059061769</v>
      </c>
      <c r="F1324" s="883">
        <v>1.0324030840475897</v>
      </c>
      <c r="G1324" s="883">
        <v>0.99168071620731701</v>
      </c>
      <c r="H1324" s="883">
        <v>1.0027859834027275</v>
      </c>
      <c r="I1324" s="883">
        <v>0.9839257073969403</v>
      </c>
      <c r="K1324">
        <v>1.6609154081167907</v>
      </c>
      <c r="L1324">
        <v>0</v>
      </c>
      <c r="M1324">
        <v>6.7876354828748089E-3</v>
      </c>
      <c r="N1324">
        <v>0.12166402396288058</v>
      </c>
      <c r="O1324">
        <v>3.1842528106135089E-2</v>
      </c>
      <c r="P1324">
        <v>1.850538438715299E-2</v>
      </c>
      <c r="Q1324">
        <v>0</v>
      </c>
      <c r="R1324">
        <v>6.7876354828748089E-3</v>
      </c>
      <c r="S1324">
        <v>0.17106335806458653</v>
      </c>
      <c r="T1324">
        <v>1.2248938682081654</v>
      </c>
      <c r="U1324">
        <v>0</v>
      </c>
      <c r="V1324">
        <v>1.6014388449856816E-2</v>
      </c>
      <c r="W1324">
        <v>6.4889708893067069E-2</v>
      </c>
      <c r="X1324">
        <v>-1.5908126719454799E-2</v>
      </c>
      <c r="Y1324">
        <v>2.7950274764400575E-2</v>
      </c>
    </row>
    <row r="1325" spans="1:25" x14ac:dyDescent="0.25">
      <c r="A1325" s="879"/>
      <c r="B1325" s="1133">
        <v>1075</v>
      </c>
      <c r="C1325" s="883">
        <v>1.0089592282204658</v>
      </c>
      <c r="D1325" s="883">
        <v>0.97031603159273516</v>
      </c>
      <c r="E1325" s="883">
        <v>1.0141782656600882</v>
      </c>
      <c r="F1325" s="883">
        <v>1.0238300473710151</v>
      </c>
      <c r="G1325" s="883">
        <v>0.98202455765711316</v>
      </c>
      <c r="H1325" s="883">
        <v>0.99542706376473289</v>
      </c>
      <c r="I1325" s="883">
        <v>0.99971346871329769</v>
      </c>
      <c r="K1325">
        <v>1.6410100581755338</v>
      </c>
      <c r="L1325">
        <v>0</v>
      </c>
      <c r="M1325">
        <v>6.3309403598747413E-3</v>
      </c>
      <c r="N1325">
        <v>0.12053712306081067</v>
      </c>
      <c r="O1325">
        <v>3.0932101389607034E-2</v>
      </c>
      <c r="P1325">
        <v>1.8885693310298279E-2</v>
      </c>
      <c r="Q1325">
        <v>0</v>
      </c>
      <c r="R1325">
        <v>6.3309403598747413E-3</v>
      </c>
      <c r="S1325">
        <v>0.1672161440793683</v>
      </c>
      <c r="T1325">
        <v>1.2139465153671667</v>
      </c>
      <c r="U1325">
        <v>0</v>
      </c>
      <c r="V1325">
        <v>1.5805502973395905E-2</v>
      </c>
      <c r="W1325">
        <v>6.2998502045306826E-2</v>
      </c>
      <c r="X1325">
        <v>-1.5381209587009149E-2</v>
      </c>
      <c r="Y1325">
        <v>2.6069685536587884E-2</v>
      </c>
    </row>
    <row r="1326" spans="1:25" x14ac:dyDescent="0.25">
      <c r="A1326" s="879"/>
      <c r="B1326" s="1133">
        <v>1076</v>
      </c>
      <c r="C1326" s="883">
        <v>0.9875967585469384</v>
      </c>
      <c r="D1326" s="883">
        <v>0.96926431094506049</v>
      </c>
      <c r="E1326" s="883">
        <v>1.0275675156025772</v>
      </c>
      <c r="F1326" s="883">
        <v>0.98231582396169181</v>
      </c>
      <c r="G1326" s="883">
        <v>1.0065608541287263</v>
      </c>
      <c r="H1326" s="883">
        <v>1.0271336911576039</v>
      </c>
      <c r="I1326" s="883">
        <v>1.0228362186118294</v>
      </c>
      <c r="K1326">
        <v>1.6122575343841317</v>
      </c>
      <c r="L1326">
        <v>0</v>
      </c>
      <c r="M1326">
        <v>6.5993173541360767E-3</v>
      </c>
      <c r="N1326">
        <v>0.12816013256243403</v>
      </c>
      <c r="O1326">
        <v>3.1602382236496904E-2</v>
      </c>
      <c r="P1326">
        <v>1.8531414180744308E-2</v>
      </c>
      <c r="Q1326">
        <v>0</v>
      </c>
      <c r="R1326">
        <v>6.5993173541360767E-3</v>
      </c>
      <c r="S1326">
        <v>0.17674221975043369</v>
      </c>
      <c r="T1326">
        <v>1.1644802246793842</v>
      </c>
      <c r="U1326">
        <v>0</v>
      </c>
      <c r="V1326">
        <v>1.5922378674067494E-2</v>
      </c>
      <c r="W1326">
        <v>6.654248218564747E-2</v>
      </c>
      <c r="X1326">
        <v>-1.689851411470784E-2</v>
      </c>
      <c r="Y1326">
        <v>2.7174814229631847E-2</v>
      </c>
    </row>
    <row r="1327" spans="1:25" x14ac:dyDescent="0.25">
      <c r="A1327" s="879"/>
      <c r="B1327" s="1133">
        <v>1077</v>
      </c>
      <c r="C1327" s="883">
        <v>1.0166159951651457</v>
      </c>
      <c r="D1327" s="883">
        <v>0.99433576070058416</v>
      </c>
      <c r="E1327" s="883">
        <v>1.0020897286028843</v>
      </c>
      <c r="F1327" s="883">
        <v>0.99848338500736633</v>
      </c>
      <c r="G1327" s="883">
        <v>0.98541389134848967</v>
      </c>
      <c r="H1327" s="883">
        <v>1.0126991480377421</v>
      </c>
      <c r="I1327" s="883">
        <v>1.0299634219378966</v>
      </c>
      <c r="K1327">
        <v>1.6135847110851909</v>
      </c>
      <c r="L1327">
        <v>0</v>
      </c>
      <c r="M1327">
        <v>6.3900522715212311E-3</v>
      </c>
      <c r="N1327">
        <v>0.11950441150409101</v>
      </c>
      <c r="O1327">
        <v>3.0410746531571185E-2</v>
      </c>
      <c r="P1327">
        <v>1.8375133985896398E-2</v>
      </c>
      <c r="Q1327">
        <v>0</v>
      </c>
      <c r="R1327">
        <v>6.3900522715212311E-3</v>
      </c>
      <c r="S1327">
        <v>0.17172514026260521</v>
      </c>
      <c r="T1327">
        <v>1.1841170909917023</v>
      </c>
      <c r="U1327">
        <v>0</v>
      </c>
      <c r="V1327">
        <v>1.5764807986408145E-2</v>
      </c>
      <c r="W1327">
        <v>6.283360998615467E-2</v>
      </c>
      <c r="X1327">
        <v>-1.5459328030459827E-2</v>
      </c>
      <c r="Y1327">
        <v>2.6313097867220088E-2</v>
      </c>
    </row>
    <row r="1328" spans="1:25" x14ac:dyDescent="0.25">
      <c r="A1328" s="879"/>
      <c r="B1328" s="1133">
        <v>1078</v>
      </c>
      <c r="C1328" s="883">
        <v>1.0023619140749476</v>
      </c>
      <c r="D1328" s="883">
        <v>1.0001860633804276</v>
      </c>
      <c r="E1328" s="883">
        <v>1.0138802282471888</v>
      </c>
      <c r="F1328" s="883">
        <v>0.96066426901490443</v>
      </c>
      <c r="G1328" s="883">
        <v>0.99784622917941801</v>
      </c>
      <c r="H1328" s="883">
        <v>1.0181197806505522</v>
      </c>
      <c r="I1328" s="883">
        <v>0.99673082511418487</v>
      </c>
      <c r="K1328">
        <v>1.5691226584002005</v>
      </c>
      <c r="L1328">
        <v>0</v>
      </c>
      <c r="M1328">
        <v>6.4319348518868417E-3</v>
      </c>
      <c r="N1328">
        <v>0.12240599211066129</v>
      </c>
      <c r="O1328">
        <v>3.0760626847042675E-2</v>
      </c>
      <c r="P1328">
        <v>1.789159156745905E-2</v>
      </c>
      <c r="Q1328">
        <v>0</v>
      </c>
      <c r="R1328">
        <v>6.4319348518868417E-3</v>
      </c>
      <c r="S1328">
        <v>0.1688111873070621</v>
      </c>
      <c r="T1328">
        <v>1.139056696687835</v>
      </c>
      <c r="U1328">
        <v>0</v>
      </c>
      <c r="V1328">
        <v>1.5841065698424618E-2</v>
      </c>
      <c r="W1328">
        <v>6.3984678868517927E-2</v>
      </c>
      <c r="X1328">
        <v>-1.6114743565147041E-2</v>
      </c>
      <c r="Y1328">
        <v>2.6485562878344273E-2</v>
      </c>
    </row>
    <row r="1329" spans="1:25" x14ac:dyDescent="0.25">
      <c r="A1329" s="879"/>
      <c r="B1329" s="1133">
        <v>1079</v>
      </c>
      <c r="C1329" s="883">
        <v>1.0339016613554146</v>
      </c>
      <c r="D1329" s="883">
        <v>1.0163451147911005</v>
      </c>
      <c r="E1329" s="883">
        <v>0.98014946340295461</v>
      </c>
      <c r="F1329" s="883">
        <v>1.0138631957653499</v>
      </c>
      <c r="G1329" s="883">
        <v>0.99405486234702367</v>
      </c>
      <c r="H1329" s="883">
        <v>0.96435632316036235</v>
      </c>
      <c r="I1329" s="883">
        <v>0.98802061180044698</v>
      </c>
      <c r="K1329">
        <v>1.603995830841273</v>
      </c>
      <c r="L1329">
        <v>0</v>
      </c>
      <c r="M1329">
        <v>6.0396974817384288E-3</v>
      </c>
      <c r="N1329">
        <v>0.1093374819965838</v>
      </c>
      <c r="O1329">
        <v>2.9658990682317161E-2</v>
      </c>
      <c r="P1329">
        <v>1.8147372721759331E-2</v>
      </c>
      <c r="Q1329">
        <v>0</v>
      </c>
      <c r="R1329">
        <v>6.0396974817384288E-3</v>
      </c>
      <c r="S1329">
        <v>0.1590791423961698</v>
      </c>
      <c r="T1329">
        <v>1.2027705313997568</v>
      </c>
      <c r="U1329">
        <v>0</v>
      </c>
      <c r="V1329">
        <v>1.5675152681632012E-2</v>
      </c>
      <c r="W1329">
        <v>5.8120127180351172E-2</v>
      </c>
      <c r="X1329">
        <v>-1.3663367421020735E-2</v>
      </c>
      <c r="Y1329">
        <v>2.4870399203722374E-2</v>
      </c>
    </row>
    <row r="1330" spans="1:25" x14ac:dyDescent="0.25">
      <c r="A1330" s="879"/>
      <c r="B1330" s="1133">
        <v>1080</v>
      </c>
      <c r="C1330" s="883">
        <v>0.97977076857319267</v>
      </c>
      <c r="D1330" s="883">
        <v>1.0084070414908581</v>
      </c>
      <c r="E1330" s="883">
        <v>0.99907832255418583</v>
      </c>
      <c r="F1330" s="883">
        <v>0.96514104283105762</v>
      </c>
      <c r="G1330" s="883">
        <v>1.0047001290387534</v>
      </c>
      <c r="H1330" s="883">
        <v>0.9993304901886505</v>
      </c>
      <c r="I1330" s="883">
        <v>0.9947880529438643</v>
      </c>
      <c r="K1330">
        <v>1.5770878079027602</v>
      </c>
      <c r="L1330">
        <v>0</v>
      </c>
      <c r="M1330">
        <v>6.5190788411521551E-3</v>
      </c>
      <c r="N1330">
        <v>0.12137473861620897</v>
      </c>
      <c r="O1330">
        <v>3.1380118114513848E-2</v>
      </c>
      <c r="P1330">
        <v>1.7800756367478441E-2</v>
      </c>
      <c r="Q1330">
        <v>0</v>
      </c>
      <c r="R1330">
        <v>6.5190788411521551E-3</v>
      </c>
      <c r="S1330">
        <v>0.17116107227787145</v>
      </c>
      <c r="T1330">
        <v>1.1446298942668613</v>
      </c>
      <c r="U1330">
        <v>0</v>
      </c>
      <c r="V1330">
        <v>1.5966470815739712E-2</v>
      </c>
      <c r="W1330">
        <v>6.3912490801600635E-2</v>
      </c>
      <c r="X1330">
        <v>-1.5982139672601196E-2</v>
      </c>
      <c r="Y1330">
        <v>2.6844406315086972E-2</v>
      </c>
    </row>
    <row r="1331" spans="1:25" x14ac:dyDescent="0.25">
      <c r="A1331" s="879"/>
      <c r="B1331" s="1133">
        <v>1081</v>
      </c>
      <c r="C1331" s="883">
        <v>0.99195290408426418</v>
      </c>
      <c r="D1331" s="883">
        <v>1.0060033886957054</v>
      </c>
      <c r="E1331" s="883">
        <v>1.0047617898967482</v>
      </c>
      <c r="F1331" s="883">
        <v>1.0044559023058752</v>
      </c>
      <c r="G1331" s="883">
        <v>1.0095321994309778</v>
      </c>
      <c r="H1331" s="883">
        <v>0.97269781149067136</v>
      </c>
      <c r="I1331" s="883">
        <v>0.98966788870894162</v>
      </c>
      <c r="K1331">
        <v>1.6127472941099184</v>
      </c>
      <c r="L1331">
        <v>0</v>
      </c>
      <c r="M1331">
        <v>6.2430079062462864E-3</v>
      </c>
      <c r="N1331">
        <v>0.11721742528904122</v>
      </c>
      <c r="O1331">
        <v>3.1019443928711418E-2</v>
      </c>
      <c r="P1331">
        <v>1.8440641494388926E-2</v>
      </c>
      <c r="Q1331">
        <v>0</v>
      </c>
      <c r="R1331">
        <v>6.2430079062462864E-3</v>
      </c>
      <c r="S1331">
        <v>0.16668235707909967</v>
      </c>
      <c r="T1331">
        <v>1.1911501510120224</v>
      </c>
      <c r="U1331">
        <v>0</v>
      </c>
      <c r="V1331">
        <v>1.5898137273224276E-2</v>
      </c>
      <c r="W1331">
        <v>6.1549528996285033E-2</v>
      </c>
      <c r="X1331">
        <v>-1.4917986306794952E-2</v>
      </c>
      <c r="Y1331">
        <v>2.5707595343939196E-2</v>
      </c>
    </row>
    <row r="1332" spans="1:25" x14ac:dyDescent="0.25">
      <c r="A1332" s="879"/>
      <c r="B1332" s="1133">
        <v>1082</v>
      </c>
      <c r="C1332" s="883">
        <v>0.98787752430539189</v>
      </c>
      <c r="D1332" s="883">
        <v>1.0166601590810327</v>
      </c>
      <c r="E1332" s="883">
        <v>1.0015785431158761</v>
      </c>
      <c r="F1332" s="883">
        <v>1.0154116692621891</v>
      </c>
      <c r="G1332" s="883">
        <v>0.99580461601617565</v>
      </c>
      <c r="H1332" s="883">
        <v>0.99403086209892877</v>
      </c>
      <c r="I1332" s="883">
        <v>1.0023916020198158</v>
      </c>
      <c r="K1332">
        <v>1.6337612110283071</v>
      </c>
      <c r="L1332">
        <v>0</v>
      </c>
      <c r="M1332">
        <v>6.393989620777786E-3</v>
      </c>
      <c r="N1332">
        <v>0.11948753506886671</v>
      </c>
      <c r="O1332">
        <v>3.1019155770914904E-2</v>
      </c>
      <c r="P1332">
        <v>1.8624806202104237E-2</v>
      </c>
      <c r="Q1332">
        <v>0</v>
      </c>
      <c r="R1332">
        <v>6.393989620777786E-3</v>
      </c>
      <c r="S1332">
        <v>0.17066524730975705</v>
      </c>
      <c r="T1332">
        <v>1.2042022512767141</v>
      </c>
      <c r="U1332">
        <v>0</v>
      </c>
      <c r="V1332">
        <v>1.5920809802394523E-2</v>
      </c>
      <c r="W1332">
        <v>6.2840676126796599E-2</v>
      </c>
      <c r="X1332">
        <v>-1.5328581699876062E-2</v>
      </c>
      <c r="Y1332">
        <v>2.6329311170636537E-2</v>
      </c>
    </row>
    <row r="1333" spans="1:25" x14ac:dyDescent="0.25">
      <c r="A1333" s="879"/>
      <c r="B1333" s="1133">
        <v>1083</v>
      </c>
      <c r="C1333" s="883">
        <v>0.99615540616984644</v>
      </c>
      <c r="D1333" s="883">
        <v>1.0081058223271744</v>
      </c>
      <c r="E1333" s="883">
        <v>1.0178909516266135</v>
      </c>
      <c r="F1333" s="883">
        <v>1.0131002670441387</v>
      </c>
      <c r="G1333" s="883">
        <v>0.96465796448271124</v>
      </c>
      <c r="H1333" s="883">
        <v>0.99532097112666407</v>
      </c>
      <c r="I1333" s="883">
        <v>1.0128953490099555</v>
      </c>
      <c r="K1333">
        <v>1.6314618425842162</v>
      </c>
      <c r="L1333">
        <v>0</v>
      </c>
      <c r="M1333">
        <v>6.2827775047452116E-3</v>
      </c>
      <c r="N1333">
        <v>0.12027910418776484</v>
      </c>
      <c r="O1333">
        <v>3.0851182802423365E-2</v>
      </c>
      <c r="P1333">
        <v>1.8819804495334411E-2</v>
      </c>
      <c r="Q1333">
        <v>0</v>
      </c>
      <c r="R1333">
        <v>6.2827775047452116E-3</v>
      </c>
      <c r="S1333">
        <v>0.17119814937831748</v>
      </c>
      <c r="T1333">
        <v>1.2011546672013866</v>
      </c>
      <c r="U1333">
        <v>0</v>
      </c>
      <c r="V1333">
        <v>1.5874951807220875E-2</v>
      </c>
      <c r="W1333">
        <v>6.2748600232451726E-2</v>
      </c>
      <c r="X1333">
        <v>-1.533597699251627E-2</v>
      </c>
      <c r="Y1333">
        <v>2.5871359471833135E-2</v>
      </c>
    </row>
    <row r="1334" spans="1:25" x14ac:dyDescent="0.25">
      <c r="A1334" s="879"/>
      <c r="B1334" s="1133">
        <v>1084</v>
      </c>
      <c r="C1334" s="883">
        <v>1.0020708707360337</v>
      </c>
      <c r="D1334" s="883">
        <v>1.0143221649189107</v>
      </c>
      <c r="E1334" s="883">
        <v>0.98253199027696869</v>
      </c>
      <c r="F1334" s="883">
        <v>0.99663312539559723</v>
      </c>
      <c r="G1334" s="883">
        <v>1.0403377495796247</v>
      </c>
      <c r="H1334" s="883">
        <v>1.0241062320234233</v>
      </c>
      <c r="I1334" s="883">
        <v>0.98198306976078942</v>
      </c>
      <c r="K1334">
        <v>1.6085432113176374</v>
      </c>
      <c r="L1334">
        <v>0</v>
      </c>
      <c r="M1334">
        <v>6.6097803797795915E-3</v>
      </c>
      <c r="N1334">
        <v>0.12008145712421726</v>
      </c>
      <c r="O1334">
        <v>3.0623623311874942E-2</v>
      </c>
      <c r="P1334">
        <v>1.8011037010853572E-2</v>
      </c>
      <c r="Q1334">
        <v>0</v>
      </c>
      <c r="R1334">
        <v>6.6097803797795915E-3</v>
      </c>
      <c r="S1334">
        <v>0.16652215357774489</v>
      </c>
      <c r="T1334">
        <v>1.1822857562280078</v>
      </c>
      <c r="U1334">
        <v>0</v>
      </c>
      <c r="V1334">
        <v>1.58426453478379E-2</v>
      </c>
      <c r="W1334">
        <v>6.3755202183738896E-2</v>
      </c>
      <c r="X1334">
        <v>-1.5796562573521716E-2</v>
      </c>
      <c r="Y1334">
        <v>2.7217899106882708E-2</v>
      </c>
    </row>
    <row r="1335" spans="1:25" x14ac:dyDescent="0.25">
      <c r="A1335" s="879"/>
      <c r="B1335" s="1133">
        <v>1085</v>
      </c>
      <c r="C1335" s="883">
        <v>0.97381586188784386</v>
      </c>
      <c r="D1335" s="883">
        <v>0.98745093348592028</v>
      </c>
      <c r="E1335" s="883">
        <v>1.0168604483253334</v>
      </c>
      <c r="F1335" s="883">
        <v>0.99771356156100777</v>
      </c>
      <c r="G1335" s="883">
        <v>1.0111342551992226</v>
      </c>
      <c r="H1335" s="883">
        <v>1.0095182719071738</v>
      </c>
      <c r="I1335" s="883">
        <v>1.0367210755838523</v>
      </c>
      <c r="K1335">
        <v>1.6320343741876886</v>
      </c>
      <c r="L1335">
        <v>0</v>
      </c>
      <c r="M1335">
        <v>6.5849933484130119E-3</v>
      </c>
      <c r="N1335">
        <v>0.12587273612839314</v>
      </c>
      <c r="O1335">
        <v>3.1822288239837453E-2</v>
      </c>
      <c r="P1335">
        <v>1.8684376281201925E-2</v>
      </c>
      <c r="Q1335">
        <v>0</v>
      </c>
      <c r="R1335">
        <v>6.5849933484130119E-3</v>
      </c>
      <c r="S1335">
        <v>0.1803472714097383</v>
      </c>
      <c r="T1335">
        <v>1.1829308696902279</v>
      </c>
      <c r="U1335">
        <v>0</v>
      </c>
      <c r="V1335">
        <v>1.6000495936793663E-2</v>
      </c>
      <c r="W1335">
        <v>6.5700129027308055E-2</v>
      </c>
      <c r="X1335">
        <v>-1.6439623049454271E-2</v>
      </c>
      <c r="Y1335">
        <v>2.7115830523642248E-2</v>
      </c>
    </row>
    <row r="1336" spans="1:25" x14ac:dyDescent="0.25">
      <c r="A1336" s="879"/>
      <c r="B1336" s="1133">
        <v>1086</v>
      </c>
      <c r="C1336" s="883">
        <v>0.99963692410002369</v>
      </c>
      <c r="D1336" s="883">
        <v>1.0242223397051393</v>
      </c>
      <c r="E1336" s="883">
        <v>1.0065824611928187</v>
      </c>
      <c r="F1336" s="883">
        <v>1.0029740089322241</v>
      </c>
      <c r="G1336" s="883">
        <v>1.0285706896437992</v>
      </c>
      <c r="H1336" s="883">
        <v>0.97473046465708457</v>
      </c>
      <c r="I1336" s="883">
        <v>0.98997384101814945</v>
      </c>
      <c r="K1336">
        <v>1.6067577957908519</v>
      </c>
      <c r="L1336">
        <v>0</v>
      </c>
      <c r="M1336">
        <v>6.1487135605098131E-3</v>
      </c>
      <c r="N1336">
        <v>0.11575865742320265</v>
      </c>
      <c r="O1336">
        <v>3.055924354132817E-2</v>
      </c>
      <c r="P1336">
        <v>1.8424155384940036E-2</v>
      </c>
      <c r="Q1336">
        <v>0</v>
      </c>
      <c r="R1336">
        <v>6.1487135605098131E-3</v>
      </c>
      <c r="S1336">
        <v>0.16540640463551093</v>
      </c>
      <c r="T1336">
        <v>1.189358931218546</v>
      </c>
      <c r="U1336">
        <v>0</v>
      </c>
      <c r="V1336">
        <v>1.5855891702104861E-2</v>
      </c>
      <c r="W1336">
        <v>6.0728737716819602E-2</v>
      </c>
      <c r="X1336">
        <v>-1.4653533843565131E-2</v>
      </c>
      <c r="Y1336">
        <v>2.5319308011964275E-2</v>
      </c>
    </row>
    <row r="1337" spans="1:25" x14ac:dyDescent="0.25">
      <c r="A1337" s="879"/>
      <c r="B1337" s="1133">
        <v>1087</v>
      </c>
      <c r="C1337" s="883">
        <v>1.0321798249055618</v>
      </c>
      <c r="D1337" s="883">
        <v>1.0115267566784651</v>
      </c>
      <c r="E1337" s="883">
        <v>0.99219341190269039</v>
      </c>
      <c r="F1337" s="883">
        <v>0.98895182028095407</v>
      </c>
      <c r="G1337" s="883">
        <v>0.98651802170660829</v>
      </c>
      <c r="H1337" s="883">
        <v>0.99929156314563217</v>
      </c>
      <c r="I1337" s="883">
        <v>0.95187337568666375</v>
      </c>
      <c r="K1337">
        <v>1.5776890887008665</v>
      </c>
      <c r="L1337">
        <v>0</v>
      </c>
      <c r="M1337">
        <v>6.2165751566893111E-3</v>
      </c>
      <c r="N1337">
        <v>0.11456767084354505</v>
      </c>
      <c r="O1337">
        <v>2.9755575009536545E-2</v>
      </c>
      <c r="P1337">
        <v>1.7871471919911116E-2</v>
      </c>
      <c r="Q1337">
        <v>0</v>
      </c>
      <c r="R1337">
        <v>6.2165751566893111E-3</v>
      </c>
      <c r="S1337">
        <v>0.15542420275187699</v>
      </c>
      <c r="T1337">
        <v>1.1729954749899458</v>
      </c>
      <c r="U1337">
        <v>0</v>
      </c>
      <c r="V1337">
        <v>1.5683948643521038E-2</v>
      </c>
      <c r="W1337">
        <v>6.0535083332510606E-2</v>
      </c>
      <c r="X1337">
        <v>-1.4743088776098741E-2</v>
      </c>
      <c r="Y1337">
        <v>2.5598749986117612E-2</v>
      </c>
    </row>
    <row r="1338" spans="1:25" x14ac:dyDescent="0.25">
      <c r="A1338" s="879"/>
      <c r="B1338" s="1133">
        <v>1088</v>
      </c>
      <c r="C1338" s="883">
        <v>0.99682504926131277</v>
      </c>
      <c r="D1338" s="883">
        <v>1.0014048760216079</v>
      </c>
      <c r="E1338" s="883">
        <v>0.96604023336251743</v>
      </c>
      <c r="F1338" s="883">
        <v>1.0273175562431613</v>
      </c>
      <c r="G1338" s="883">
        <v>0.97656691479427216</v>
      </c>
      <c r="H1338" s="883">
        <v>1.0247963085749459</v>
      </c>
      <c r="I1338" s="883">
        <v>0.96114304032046238</v>
      </c>
      <c r="K1338">
        <v>1.6448152409309107</v>
      </c>
      <c r="L1338">
        <v>0</v>
      </c>
      <c r="M1338">
        <v>6.783905110011746E-3</v>
      </c>
      <c r="N1338">
        <v>0.12026455532618774</v>
      </c>
      <c r="O1338">
        <v>3.0955836330927182E-2</v>
      </c>
      <c r="P1338">
        <v>1.822794176476334E-2</v>
      </c>
      <c r="Q1338">
        <v>0</v>
      </c>
      <c r="R1338">
        <v>6.783905110011746E-3</v>
      </c>
      <c r="S1338">
        <v>0.16399872060118456</v>
      </c>
      <c r="T1338">
        <v>1.2190028522352359</v>
      </c>
      <c r="U1338">
        <v>0</v>
      </c>
      <c r="V1338">
        <v>1.5871275401827145E-2</v>
      </c>
      <c r="W1338">
        <v>6.4383109300765629E-2</v>
      </c>
      <c r="X1338">
        <v>-1.5823963782914348E-2</v>
      </c>
      <c r="Y1338">
        <v>2.7934913752932129E-2</v>
      </c>
    </row>
    <row r="1339" spans="1:25" x14ac:dyDescent="0.25">
      <c r="A1339" s="879"/>
      <c r="B1339" s="1133">
        <v>1089</v>
      </c>
      <c r="C1339" s="883">
        <v>1.0425051510301191</v>
      </c>
      <c r="D1339" s="883">
        <v>1.0097038535666671</v>
      </c>
      <c r="E1339" s="883">
        <v>1.0267413982287732</v>
      </c>
      <c r="F1339" s="883">
        <v>1.004699174110347</v>
      </c>
      <c r="G1339" s="883">
        <v>0.95539123877406795</v>
      </c>
      <c r="H1339" s="883">
        <v>0.97019030327890221</v>
      </c>
      <c r="I1339" s="883">
        <v>0.98144745423975799</v>
      </c>
      <c r="K1339">
        <v>1.5928549427007244</v>
      </c>
      <c r="L1339">
        <v>0</v>
      </c>
      <c r="M1339">
        <v>5.8025894107767801E-3</v>
      </c>
      <c r="N1339">
        <v>0.11254995330395733</v>
      </c>
      <c r="O1339">
        <v>2.9453123506905862E-2</v>
      </c>
      <c r="P1339">
        <v>1.8610334603271959E-2</v>
      </c>
      <c r="Q1339">
        <v>0</v>
      </c>
      <c r="R1339">
        <v>5.8025894107767801E-3</v>
      </c>
      <c r="S1339">
        <v>0.15713594548420254</v>
      </c>
      <c r="T1339">
        <v>1.1910297550879245</v>
      </c>
      <c r="U1339">
        <v>0</v>
      </c>
      <c r="V1339">
        <v>1.5631637255564559E-2</v>
      </c>
      <c r="W1339">
        <v>5.8461180993922328E-2</v>
      </c>
      <c r="X1339">
        <v>-1.391101790618998E-2</v>
      </c>
      <c r="Y1339">
        <v>2.3894030371165654E-2</v>
      </c>
    </row>
    <row r="1340" spans="1:25" x14ac:dyDescent="0.25">
      <c r="A1340" s="879"/>
      <c r="B1340" s="1133">
        <v>1090</v>
      </c>
      <c r="C1340" s="883">
        <v>0.99017417819276188</v>
      </c>
      <c r="D1340" s="883">
        <v>1.0002390598846684</v>
      </c>
      <c r="E1340" s="883">
        <v>0.98590792232635349</v>
      </c>
      <c r="F1340" s="883">
        <v>0.99306524082585357</v>
      </c>
      <c r="G1340" s="883">
        <v>0.99984893843091271</v>
      </c>
      <c r="H1340" s="883">
        <v>1.0054406262470001</v>
      </c>
      <c r="I1340" s="883">
        <v>0.98638682697498969</v>
      </c>
      <c r="K1340">
        <v>1.6068617947506563</v>
      </c>
      <c r="L1340">
        <v>0</v>
      </c>
      <c r="M1340">
        <v>6.5889165655496872E-3</v>
      </c>
      <c r="N1340">
        <v>0.12030330034832117</v>
      </c>
      <c r="O1340">
        <v>3.1162623848071863E-2</v>
      </c>
      <c r="P1340">
        <v>1.8026136730291475E-2</v>
      </c>
      <c r="Q1340">
        <v>0</v>
      </c>
      <c r="R1340">
        <v>6.5889165655496872E-3</v>
      </c>
      <c r="S1340">
        <v>0.16835272608060375</v>
      </c>
      <c r="T1340">
        <v>1.177990708187509</v>
      </c>
      <c r="U1340">
        <v>0</v>
      </c>
      <c r="V1340">
        <v>1.5908009893150537E-2</v>
      </c>
      <c r="W1340">
        <v>6.3765294529065736E-2</v>
      </c>
      <c r="X1340">
        <v>-1.5778990499861707E-2</v>
      </c>
      <c r="Y1340">
        <v>2.7131985633504462E-2</v>
      </c>
    </row>
    <row r="1341" spans="1:25" x14ac:dyDescent="0.25">
      <c r="A1341" s="879"/>
      <c r="B1341" s="1133">
        <v>1091</v>
      </c>
      <c r="C1341" s="883">
        <v>0.98133554161970149</v>
      </c>
      <c r="D1341" s="883">
        <v>0.99964336663328035</v>
      </c>
      <c r="E1341" s="883">
        <v>1.0151252399645727</v>
      </c>
      <c r="F1341" s="883">
        <v>0.95381635914624197</v>
      </c>
      <c r="G1341" s="883">
        <v>1.0105894477417048</v>
      </c>
      <c r="H1341" s="883">
        <v>0.97148119388342946</v>
      </c>
      <c r="I1341" s="883">
        <v>1.0232263442944296</v>
      </c>
      <c r="K1341">
        <v>1.5625005495102651</v>
      </c>
      <c r="L1341">
        <v>0</v>
      </c>
      <c r="M1341">
        <v>6.2634879075916519E-3</v>
      </c>
      <c r="N1341">
        <v>0.11942010938772132</v>
      </c>
      <c r="O1341">
        <v>3.1425401104804178E-2</v>
      </c>
      <c r="P1341">
        <v>1.7872739709340089E-2</v>
      </c>
      <c r="Q1341">
        <v>0</v>
      </c>
      <c r="R1341">
        <v>6.2634879075916519E-3</v>
      </c>
      <c r="S1341">
        <v>0.17419904128401412</v>
      </c>
      <c r="T1341">
        <v>1.1309151564122744</v>
      </c>
      <c r="U1341">
        <v>0</v>
      </c>
      <c r="V1341">
        <v>1.5957598532632986E-2</v>
      </c>
      <c r="W1341">
        <v>6.2385525319234816E-2</v>
      </c>
      <c r="X1341">
        <v>-1.5466950583931452E-2</v>
      </c>
      <c r="Y1341">
        <v>2.5791928344175066E-2</v>
      </c>
    </row>
    <row r="1342" spans="1:25" x14ac:dyDescent="0.25">
      <c r="A1342" s="879"/>
      <c r="B1342" s="1133">
        <v>1092</v>
      </c>
      <c r="C1342" s="883">
        <v>1.0123738379930087</v>
      </c>
      <c r="D1342" s="883">
        <v>0.98457104119529371</v>
      </c>
      <c r="E1342" s="883">
        <v>1.0168517779910045</v>
      </c>
      <c r="F1342" s="883">
        <v>0.98246665617741358</v>
      </c>
      <c r="G1342" s="883">
        <v>0.9775978374310188</v>
      </c>
      <c r="H1342" s="883">
        <v>0.99523944541289766</v>
      </c>
      <c r="I1342" s="883">
        <v>1.0103954248951288</v>
      </c>
      <c r="K1342">
        <v>1.5900914622894513</v>
      </c>
      <c r="L1342">
        <v>0</v>
      </c>
      <c r="M1342">
        <v>6.2527952390552411E-3</v>
      </c>
      <c r="N1342">
        <v>0.11952120625293181</v>
      </c>
      <c r="O1342">
        <v>3.0646073132390032E-2</v>
      </c>
      <c r="P1342">
        <v>1.8272708119348603E-2</v>
      </c>
      <c r="Q1342">
        <v>0</v>
      </c>
      <c r="R1342">
        <v>6.2527952390552411E-3</v>
      </c>
      <c r="S1342">
        <v>0.16827230984173869</v>
      </c>
      <c r="T1342">
        <v>1.1648536595386814</v>
      </c>
      <c r="U1342">
        <v>0</v>
      </c>
      <c r="V1342">
        <v>1.5787278600647575E-2</v>
      </c>
      <c r="W1342">
        <v>6.2385171681128108E-2</v>
      </c>
      <c r="X1342">
        <v>-1.5394842715781756E-2</v>
      </c>
      <c r="Y1342">
        <v>2.5747897838366174E-2</v>
      </c>
    </row>
    <row r="1343" spans="1:25" x14ac:dyDescent="0.25">
      <c r="A1343" s="879"/>
      <c r="B1343" s="1133">
        <v>1093</v>
      </c>
      <c r="C1343" s="883">
        <v>0.99828019465686768</v>
      </c>
      <c r="D1343" s="883">
        <v>0.97916283680421246</v>
      </c>
      <c r="E1343" s="883">
        <v>0.99461133372918809</v>
      </c>
      <c r="F1343" s="883">
        <v>0.9781838516627881</v>
      </c>
      <c r="G1343" s="883">
        <v>1.0074361931481575</v>
      </c>
      <c r="H1343" s="883">
        <v>0.98325201260312034</v>
      </c>
      <c r="I1343" s="883">
        <v>1.0009548651894351</v>
      </c>
      <c r="K1343">
        <v>1.585413709162474</v>
      </c>
      <c r="L1343">
        <v>0</v>
      </c>
      <c r="M1343">
        <v>6.4034049908474914E-3</v>
      </c>
      <c r="N1343">
        <v>0.11843452302422715</v>
      </c>
      <c r="O1343">
        <v>3.116678003137929E-2</v>
      </c>
      <c r="P1343">
        <v>1.7909076204131003E-2</v>
      </c>
      <c r="Q1343">
        <v>0</v>
      </c>
      <c r="R1343">
        <v>6.4034049908474914E-3</v>
      </c>
      <c r="S1343">
        <v>0.16838348766818942</v>
      </c>
      <c r="T1343">
        <v>1.1601795648113837</v>
      </c>
      <c r="U1343">
        <v>0</v>
      </c>
      <c r="V1343">
        <v>1.5863303516690196E-2</v>
      </c>
      <c r="W1343">
        <v>6.2502941693993092E-2</v>
      </c>
      <c r="X1343">
        <v>-1.5394049776230372E-2</v>
      </c>
      <c r="Y1343">
        <v>2.6368081988710199E-2</v>
      </c>
    </row>
    <row r="1344" spans="1:25" x14ac:dyDescent="0.25">
      <c r="A1344" s="879"/>
      <c r="B1344" s="1133">
        <v>1094</v>
      </c>
      <c r="C1344" s="883">
        <v>0.96928009767075096</v>
      </c>
      <c r="D1344" s="883">
        <v>1.0103701058662697</v>
      </c>
      <c r="E1344" s="883">
        <v>0.97474906726127275</v>
      </c>
      <c r="F1344" s="883">
        <v>0.9859241269707707</v>
      </c>
      <c r="G1344" s="883">
        <v>0.99146678210589911</v>
      </c>
      <c r="H1344" s="883">
        <v>1.0034600341102007</v>
      </c>
      <c r="I1344" s="883">
        <v>1.0087660858043175</v>
      </c>
      <c r="K1344">
        <v>1.6086392894502861</v>
      </c>
      <c r="L1344">
        <v>0</v>
      </c>
      <c r="M1344">
        <v>6.7529377806829043E-3</v>
      </c>
      <c r="N1344">
        <v>0.12127358209890629</v>
      </c>
      <c r="O1344">
        <v>3.1715403926401334E-2</v>
      </c>
      <c r="P1344">
        <v>1.7860660762862503E-2</v>
      </c>
      <c r="Q1344">
        <v>0</v>
      </c>
      <c r="R1344">
        <v>6.7529377806829043E-3</v>
      </c>
      <c r="S1344">
        <v>0.17564532234494371</v>
      </c>
      <c r="T1344">
        <v>1.1697252143424797</v>
      </c>
      <c r="U1344">
        <v>0</v>
      </c>
      <c r="V1344">
        <v>1.6026692865119003E-2</v>
      </c>
      <c r="W1344">
        <v>6.4639690026447663E-2</v>
      </c>
      <c r="X1344">
        <v>-1.6054672719610304E-2</v>
      </c>
      <c r="Y1344">
        <v>2.7807395802735082E-2</v>
      </c>
    </row>
    <row r="1345" spans="1:25" x14ac:dyDescent="0.25">
      <c r="A1345" s="879"/>
      <c r="B1345" s="1133">
        <v>1095</v>
      </c>
      <c r="C1345" s="883">
        <v>1.0297341205871564</v>
      </c>
      <c r="D1345" s="883">
        <v>0.97552839891249021</v>
      </c>
      <c r="E1345" s="883">
        <v>1.0044800112983621</v>
      </c>
      <c r="F1345" s="883">
        <v>1.0415630841609058</v>
      </c>
      <c r="G1345" s="883">
        <v>0.99653827902081549</v>
      </c>
      <c r="H1345" s="883">
        <v>0.98532967863340981</v>
      </c>
      <c r="I1345" s="883">
        <v>1.0015476497580698</v>
      </c>
      <c r="K1345">
        <v>1.6513330308794931</v>
      </c>
      <c r="L1345">
        <v>0</v>
      </c>
      <c r="M1345">
        <v>6.1777809868063232E-3</v>
      </c>
      <c r="N1345">
        <v>0.11594434366389886</v>
      </c>
      <c r="O1345">
        <v>3.0251520672171971E-2</v>
      </c>
      <c r="P1345">
        <v>1.8981759402142372E-2</v>
      </c>
      <c r="Q1345">
        <v>0</v>
      </c>
      <c r="R1345">
        <v>6.1777809868063232E-3</v>
      </c>
      <c r="S1345">
        <v>0.16350223853807905</v>
      </c>
      <c r="T1345">
        <v>1.2351597467326245</v>
      </c>
      <c r="U1345">
        <v>0</v>
      </c>
      <c r="V1345">
        <v>1.5696493032777838E-2</v>
      </c>
      <c r="W1345">
        <v>6.0889552665373402E-2</v>
      </c>
      <c r="X1345">
        <v>-1.4531626327219983E-2</v>
      </c>
      <c r="Y1345">
        <v>2.5439002499644293E-2</v>
      </c>
    </row>
    <row r="1346" spans="1:25" x14ac:dyDescent="0.25">
      <c r="A1346" s="879"/>
      <c r="B1346" s="1133">
        <v>1096</v>
      </c>
      <c r="C1346" s="883">
        <v>0.99507624288059293</v>
      </c>
      <c r="D1346" s="883">
        <v>0.96351948866048787</v>
      </c>
      <c r="E1346" s="883">
        <v>1.0351753283458347</v>
      </c>
      <c r="F1346" s="883">
        <v>0.97563855873042371</v>
      </c>
      <c r="G1346" s="883">
        <v>1.0227264023020264</v>
      </c>
      <c r="H1346" s="883">
        <v>1.014236163683558</v>
      </c>
      <c r="I1346" s="883">
        <v>0.9761836550801708</v>
      </c>
      <c r="K1346">
        <v>1.5907665178447918</v>
      </c>
      <c r="L1346">
        <v>0</v>
      </c>
      <c r="M1346">
        <v>6.4415768560648094E-3</v>
      </c>
      <c r="N1346">
        <v>0.12651139361279279</v>
      </c>
      <c r="O1346">
        <v>3.1432204285631524E-2</v>
      </c>
      <c r="P1346">
        <v>1.8387015057096223E-2</v>
      </c>
      <c r="Q1346">
        <v>0</v>
      </c>
      <c r="R1346">
        <v>6.4415768560648094E-3</v>
      </c>
      <c r="S1346">
        <v>0.16674229246374625</v>
      </c>
      <c r="T1346">
        <v>1.1564277821344313</v>
      </c>
      <c r="U1346">
        <v>0</v>
      </c>
      <c r="V1346">
        <v>1.5880886930582691E-2</v>
      </c>
      <c r="W1346">
        <v>6.5441867331338915E-2</v>
      </c>
      <c r="X1346">
        <v>-1.6582190906164848E-2</v>
      </c>
      <c r="Y1346">
        <v>2.652526693533638E-2</v>
      </c>
    </row>
    <row r="1347" spans="1:25" x14ac:dyDescent="0.25">
      <c r="A1347" s="879"/>
      <c r="B1347" s="1133">
        <v>1097</v>
      </c>
      <c r="C1347" s="883">
        <v>1.0173162110991905</v>
      </c>
      <c r="D1347" s="883">
        <v>0.99736713212466621</v>
      </c>
      <c r="E1347" s="883">
        <v>0.98996953116900377</v>
      </c>
      <c r="F1347" s="883">
        <v>0.96537823268163436</v>
      </c>
      <c r="G1347" s="883">
        <v>1.0092177753482523</v>
      </c>
      <c r="H1347" s="883">
        <v>0.97306532882960017</v>
      </c>
      <c r="I1347" s="883">
        <v>1.0016083212685485</v>
      </c>
      <c r="K1347">
        <v>1.5581418463465808</v>
      </c>
      <c r="L1347">
        <v>0</v>
      </c>
      <c r="M1347">
        <v>6.1926047525561745E-3</v>
      </c>
      <c r="N1347">
        <v>0.11375027837740026</v>
      </c>
      <c r="O1347">
        <v>3.0362848403692851E-2</v>
      </c>
      <c r="P1347">
        <v>1.7593291338466346E-2</v>
      </c>
      <c r="Q1347">
        <v>0</v>
      </c>
      <c r="R1347">
        <v>6.1926047525561745E-3</v>
      </c>
      <c r="S1347">
        <v>0.16457312252790399</v>
      </c>
      <c r="T1347">
        <v>1.145074833599907</v>
      </c>
      <c r="U1347">
        <v>0</v>
      </c>
      <c r="V1347">
        <v>1.5761116977216622E-2</v>
      </c>
      <c r="W1347">
        <v>6.0169851335676677E-2</v>
      </c>
      <c r="X1347">
        <v>-1.4643540342154031E-2</v>
      </c>
      <c r="Y1347">
        <v>2.550004412847023E-2</v>
      </c>
    </row>
    <row r="1348" spans="1:25" x14ac:dyDescent="0.25">
      <c r="A1348" s="879"/>
      <c r="B1348" s="1133">
        <v>1098</v>
      </c>
      <c r="C1348" s="883">
        <v>1.0190642973431647</v>
      </c>
      <c r="D1348" s="883">
        <v>1.0156899069424408</v>
      </c>
      <c r="E1348" s="883">
        <v>0.96150162587907639</v>
      </c>
      <c r="F1348" s="883">
        <v>0.97152828864385632</v>
      </c>
      <c r="G1348" s="883">
        <v>1.0061785742457754</v>
      </c>
      <c r="H1348" s="883">
        <v>0.9958511360862452</v>
      </c>
      <c r="I1348" s="883">
        <v>1.0118328796622353</v>
      </c>
      <c r="K1348">
        <v>1.5689203081354466</v>
      </c>
      <c r="L1348">
        <v>0</v>
      </c>
      <c r="M1348">
        <v>6.4331924563464996E-3</v>
      </c>
      <c r="N1348">
        <v>0.11328083328331433</v>
      </c>
      <c r="O1348">
        <v>3.0112502450297819E-2</v>
      </c>
      <c r="P1348">
        <v>1.7343455091570936E-2</v>
      </c>
      <c r="Q1348">
        <v>0</v>
      </c>
      <c r="R1348">
        <v>6.4331924563464996E-3</v>
      </c>
      <c r="S1348">
        <v>0.16707132558655949</v>
      </c>
      <c r="T1348">
        <v>1.1528866118349377</v>
      </c>
      <c r="U1348">
        <v>0</v>
      </c>
      <c r="V1348">
        <v>1.5751924525769023E-2</v>
      </c>
      <c r="W1348">
        <v>6.0783296305112929E-2</v>
      </c>
      <c r="X1348">
        <v>-1.4800382411780321E-2</v>
      </c>
      <c r="Y1348">
        <v>2.6490741469663893E-2</v>
      </c>
    </row>
    <row r="1349" spans="1:25" x14ac:dyDescent="0.25">
      <c r="A1349" s="879"/>
      <c r="B1349" s="1133">
        <v>1099</v>
      </c>
      <c r="C1349" s="883">
        <v>1.0035359331979812</v>
      </c>
      <c r="D1349" s="883">
        <v>0.97069653786297072</v>
      </c>
      <c r="E1349" s="883">
        <v>0.98346264836246822</v>
      </c>
      <c r="F1349" s="883">
        <v>0.99760631875260641</v>
      </c>
      <c r="G1349" s="883">
        <v>1.0299067954067698</v>
      </c>
      <c r="H1349" s="883">
        <v>1.0275254444923787</v>
      </c>
      <c r="I1349" s="883">
        <v>0.95363872257498128</v>
      </c>
      <c r="K1349">
        <v>1.6098736281549952</v>
      </c>
      <c r="L1349">
        <v>0</v>
      </c>
      <c r="M1349">
        <v>6.7478820199467866E-3</v>
      </c>
      <c r="N1349">
        <v>0.12275973440466884</v>
      </c>
      <c r="O1349">
        <v>3.1120644205844837E-2</v>
      </c>
      <c r="P1349">
        <v>1.7980714738127769E-2</v>
      </c>
      <c r="Q1349">
        <v>0</v>
      </c>
      <c r="R1349">
        <v>6.7478820199467866E-3</v>
      </c>
      <c r="S1349">
        <v>0.16212809623513966</v>
      </c>
      <c r="T1349">
        <v>1.1834229117891835</v>
      </c>
      <c r="U1349">
        <v>0</v>
      </c>
      <c r="V1349">
        <v>1.5834702965011042E-2</v>
      </c>
      <c r="W1349">
        <v>6.5146860190499034E-2</v>
      </c>
      <c r="X1349">
        <v>-1.6306613453395007E-2</v>
      </c>
      <c r="Y1349">
        <v>2.7786577079915626E-2</v>
      </c>
    </row>
    <row r="1350" spans="1:25" x14ac:dyDescent="0.25">
      <c r="A1350" s="879"/>
      <c r="B1350" s="1133">
        <v>1100</v>
      </c>
      <c r="C1350" s="883">
        <v>0.97211636598408957</v>
      </c>
      <c r="D1350" s="883">
        <v>0.98777861478952977</v>
      </c>
      <c r="E1350" s="883">
        <v>1.0124375904635254</v>
      </c>
      <c r="F1350" s="883">
        <v>1.0193652100535335</v>
      </c>
      <c r="G1350" s="883">
        <v>0.98417016650325495</v>
      </c>
      <c r="H1350" s="883">
        <v>0.97973845500607182</v>
      </c>
      <c r="I1350" s="883">
        <v>1.0024384984118484</v>
      </c>
      <c r="K1350">
        <v>1.6450257794714955</v>
      </c>
      <c r="L1350">
        <v>0</v>
      </c>
      <c r="M1350">
        <v>6.4257853334111284E-3</v>
      </c>
      <c r="N1350">
        <v>0.12202813283997754</v>
      </c>
      <c r="O1350">
        <v>3.1877777213808314E-2</v>
      </c>
      <c r="P1350">
        <v>1.8869564829337944E-2</v>
      </c>
      <c r="Q1350">
        <v>0</v>
      </c>
      <c r="R1350">
        <v>6.4257853334111284E-3</v>
      </c>
      <c r="S1350">
        <v>0.17288944510843079</v>
      </c>
      <c r="T1350">
        <v>1.2086854694646174</v>
      </c>
      <c r="U1350">
        <v>0</v>
      </c>
      <c r="V1350">
        <v>1.6010282970053354E-2</v>
      </c>
      <c r="W1350">
        <v>6.3832634678756495E-2</v>
      </c>
      <c r="X1350">
        <v>-1.5627767889321163E-2</v>
      </c>
      <c r="Y1350">
        <v>2.6460240255834766E-2</v>
      </c>
    </row>
    <row r="1351" spans="1:25" x14ac:dyDescent="0.25">
      <c r="A1351" s="879"/>
      <c r="B1351" s="1133">
        <v>1101</v>
      </c>
      <c r="C1351" s="883">
        <v>1.0183731792721364</v>
      </c>
      <c r="D1351" s="883">
        <v>1.0105810052943769</v>
      </c>
      <c r="E1351" s="883">
        <v>0.99027602058794595</v>
      </c>
      <c r="F1351" s="883">
        <v>0.99410299250429657</v>
      </c>
      <c r="G1351" s="883">
        <v>0.99275301267757576</v>
      </c>
      <c r="H1351" s="883">
        <v>0.99635230000101549</v>
      </c>
      <c r="I1351" s="883">
        <v>0.97720315264940305</v>
      </c>
      <c r="K1351">
        <v>1.5925466367764971</v>
      </c>
      <c r="L1351">
        <v>0</v>
      </c>
      <c r="M1351">
        <v>6.2954695625391304E-3</v>
      </c>
      <c r="N1351">
        <v>0.11569233178895316</v>
      </c>
      <c r="O1351">
        <v>3.0171822193104537E-2</v>
      </c>
      <c r="P1351">
        <v>1.8009543592020685E-2</v>
      </c>
      <c r="Q1351">
        <v>0</v>
      </c>
      <c r="R1351">
        <v>6.2954695625391304E-3</v>
      </c>
      <c r="S1351">
        <v>0.16156755768566394</v>
      </c>
      <c r="T1351">
        <v>1.1791407770878393</v>
      </c>
      <c r="U1351">
        <v>0</v>
      </c>
      <c r="V1351">
        <v>1.5755555053434431E-2</v>
      </c>
      <c r="W1351">
        <v>6.1187776557173543E-2</v>
      </c>
      <c r="X1351">
        <v>-1.4902350288419946E-2</v>
      </c>
      <c r="Y1351">
        <v>2.5923623106726402E-2</v>
      </c>
    </row>
    <row r="1352" spans="1:25" x14ac:dyDescent="0.25">
      <c r="A1352" s="879"/>
      <c r="B1352" s="1133">
        <v>1102</v>
      </c>
      <c r="C1352" s="883">
        <v>0.99479284632389497</v>
      </c>
      <c r="D1352" s="883">
        <v>0.98732025708152615</v>
      </c>
      <c r="E1352" s="883">
        <v>1.0294103026789088</v>
      </c>
      <c r="F1352" s="883">
        <v>1.0227639050989414</v>
      </c>
      <c r="G1352" s="883">
        <v>1.0134823548052094</v>
      </c>
      <c r="H1352" s="883">
        <v>0.98187042957413262</v>
      </c>
      <c r="I1352" s="883">
        <v>1.0118011484572174</v>
      </c>
      <c r="K1352">
        <v>1.6429301613209739</v>
      </c>
      <c r="L1352">
        <v>0</v>
      </c>
      <c r="M1352">
        <v>6.2014329121237851E-3</v>
      </c>
      <c r="N1352">
        <v>0.12076167693392836</v>
      </c>
      <c r="O1352">
        <v>3.1141264690999256E-2</v>
      </c>
      <c r="P1352">
        <v>1.9128020166363318E-2</v>
      </c>
      <c r="Q1352">
        <v>0</v>
      </c>
      <c r="R1352">
        <v>6.2014329121237851E-3</v>
      </c>
      <c r="S1352">
        <v>0.17067596899970225</v>
      </c>
      <c r="T1352">
        <v>1.2123943613617165</v>
      </c>
      <c r="U1352">
        <v>0</v>
      </c>
      <c r="V1352">
        <v>1.5882447674312801E-2</v>
      </c>
      <c r="W1352">
        <v>6.2644409484985106E-2</v>
      </c>
      <c r="X1352">
        <v>-1.523438490924991E-2</v>
      </c>
      <c r="Y1352">
        <v>2.5536396918215833E-2</v>
      </c>
    </row>
    <row r="1353" spans="1:25" x14ac:dyDescent="0.25">
      <c r="A1353" s="879"/>
      <c r="B1353" s="1133">
        <v>1103</v>
      </c>
      <c r="C1353" s="883">
        <v>1.0137556414478157</v>
      </c>
      <c r="D1353" s="883">
        <v>0.97752196852605411</v>
      </c>
      <c r="E1353" s="883">
        <v>1.0176480647133934</v>
      </c>
      <c r="F1353" s="883">
        <v>0.99895567706430288</v>
      </c>
      <c r="G1353" s="883">
        <v>0.99415056682494596</v>
      </c>
      <c r="H1353" s="883">
        <v>1.0056928359591724</v>
      </c>
      <c r="I1353" s="883">
        <v>1.0091155657464923</v>
      </c>
      <c r="K1353">
        <v>1.6125972979141094</v>
      </c>
      <c r="L1353">
        <v>0</v>
      </c>
      <c r="M1353">
        <v>6.3257257570039039E-3</v>
      </c>
      <c r="N1353">
        <v>0.12105780546152878</v>
      </c>
      <c r="O1353">
        <v>3.0691673514943965E-2</v>
      </c>
      <c r="P1353">
        <v>1.8551485745160756E-2</v>
      </c>
      <c r="Q1353">
        <v>0</v>
      </c>
      <c r="R1353">
        <v>6.3257257570039039E-3</v>
      </c>
      <c r="S1353">
        <v>0.16851482814588281</v>
      </c>
      <c r="T1353">
        <v>1.1843890107418449</v>
      </c>
      <c r="U1353">
        <v>0</v>
      </c>
      <c r="V1353">
        <v>1.5779938565869737E-2</v>
      </c>
      <c r="W1353">
        <v>6.3162405622972803E-2</v>
      </c>
      <c r="X1353">
        <v>-1.5598062614225387E-2</v>
      </c>
      <c r="Y1353">
        <v>2.6048212730130488E-2</v>
      </c>
    </row>
    <row r="1354" spans="1:25" x14ac:dyDescent="0.25">
      <c r="A1354" s="879"/>
      <c r="B1354" s="1133">
        <v>1104</v>
      </c>
      <c r="C1354" s="883">
        <v>0.99463621095263843</v>
      </c>
      <c r="D1354" s="883">
        <v>0.99913683840399281</v>
      </c>
      <c r="E1354" s="883">
        <v>0.99547213910209253</v>
      </c>
      <c r="F1354" s="883">
        <v>0.99140291432775096</v>
      </c>
      <c r="G1354" s="883">
        <v>0.960435277736989</v>
      </c>
      <c r="H1354" s="883">
        <v>1.0135761354520993</v>
      </c>
      <c r="I1354" s="883">
        <v>0.98920496410905889</v>
      </c>
      <c r="K1354">
        <v>1.6061222162540461</v>
      </c>
      <c r="L1354">
        <v>0</v>
      </c>
      <c r="M1354">
        <v>6.560697946387745E-3</v>
      </c>
      <c r="N1354">
        <v>0.12149864472245257</v>
      </c>
      <c r="O1354">
        <v>3.1028584094284977E-2</v>
      </c>
      <c r="P1354">
        <v>1.8132257123149111E-2</v>
      </c>
      <c r="Q1354">
        <v>0</v>
      </c>
      <c r="R1354">
        <v>6.560697946387745E-3</v>
      </c>
      <c r="S1354">
        <v>0.16856710387966536</v>
      </c>
      <c r="T1354">
        <v>1.1758422170735985</v>
      </c>
      <c r="U1354">
        <v>0</v>
      </c>
      <c r="V1354">
        <v>1.5883310690540463E-2</v>
      </c>
      <c r="W1354">
        <v>6.4092547872358324E-2</v>
      </c>
      <c r="X1354">
        <v>-1.5938235584526582E-2</v>
      </c>
      <c r="Y1354">
        <v>2.7015786382522559E-2</v>
      </c>
    </row>
    <row r="1355" spans="1:25" x14ac:dyDescent="0.25">
      <c r="A1355" s="879"/>
      <c r="B1355" s="1133">
        <v>1105</v>
      </c>
      <c r="C1355" s="883">
        <v>0.99752365337612614</v>
      </c>
      <c r="D1355" s="883">
        <v>1.0175181174886219</v>
      </c>
      <c r="E1355" s="883">
        <v>0.97176071604011183</v>
      </c>
      <c r="F1355" s="883">
        <v>0.99432839721619704</v>
      </c>
      <c r="G1355" s="883">
        <v>0.97772087221204795</v>
      </c>
      <c r="H1355" s="883">
        <v>0.98714067312155707</v>
      </c>
      <c r="I1355" s="883">
        <v>1.0221209878254511</v>
      </c>
      <c r="K1355">
        <v>1.6047040552268319</v>
      </c>
      <c r="L1355">
        <v>0</v>
      </c>
      <c r="M1355">
        <v>6.4515440503269293E-3</v>
      </c>
      <c r="N1355">
        <v>0.11534814235562083</v>
      </c>
      <c r="O1355">
        <v>3.0732943469718669E-2</v>
      </c>
      <c r="P1355">
        <v>1.7899221990674903E-2</v>
      </c>
      <c r="Q1355">
        <v>0</v>
      </c>
      <c r="R1355">
        <v>6.4515440503269293E-3</v>
      </c>
      <c r="S1355">
        <v>0.17189437944512867</v>
      </c>
      <c r="T1355">
        <v>1.1797518228414916</v>
      </c>
      <c r="U1355">
        <v>0</v>
      </c>
      <c r="V1355">
        <v>1.5867445258420491E-2</v>
      </c>
      <c r="W1355">
        <v>6.1573705804202704E-2</v>
      </c>
      <c r="X1355">
        <v>-1.4929916005640316E-2</v>
      </c>
      <c r="Y1355">
        <v>2.6566310067213345E-2</v>
      </c>
    </row>
    <row r="1356" spans="1:25" x14ac:dyDescent="0.25">
      <c r="A1356" s="879"/>
      <c r="B1356" s="1133">
        <v>1106</v>
      </c>
      <c r="C1356" s="883">
        <v>1.0259415113629411</v>
      </c>
      <c r="D1356" s="883">
        <v>1.0281526774530825</v>
      </c>
      <c r="E1356" s="883">
        <v>1.0021369507103763</v>
      </c>
      <c r="F1356" s="883">
        <v>1.0018438365894271</v>
      </c>
      <c r="G1356" s="883">
        <v>1.0111206885158954</v>
      </c>
      <c r="H1356" s="883">
        <v>0.97221744469428872</v>
      </c>
      <c r="I1356" s="883">
        <v>1.035489768231175</v>
      </c>
      <c r="K1356">
        <v>1.601882817140132</v>
      </c>
      <c r="L1356">
        <v>0</v>
      </c>
      <c r="M1356">
        <v>5.9886556167248342E-3</v>
      </c>
      <c r="N1356">
        <v>0.11200547289134183</v>
      </c>
      <c r="O1356">
        <v>2.9733840991558055E-2</v>
      </c>
      <c r="P1356">
        <v>1.83837513579924E-2</v>
      </c>
      <c r="Q1356">
        <v>0</v>
      </c>
      <c r="R1356">
        <v>5.9886556167248342E-3</v>
      </c>
      <c r="S1356">
        <v>0.16839040850750195</v>
      </c>
      <c r="T1356">
        <v>1.1881014243622812</v>
      </c>
      <c r="U1356">
        <v>0</v>
      </c>
      <c r="V1356">
        <v>1.5716064186675632E-2</v>
      </c>
      <c r="W1356">
        <v>5.8889401711451128E-2</v>
      </c>
      <c r="X1356">
        <v>-1.3997764757380496E-2</v>
      </c>
      <c r="Y1356">
        <v>2.466021788870968E-2</v>
      </c>
    </row>
    <row r="1357" spans="1:25" x14ac:dyDescent="0.25">
      <c r="A1357" s="879"/>
      <c r="B1357" s="1133">
        <v>1107</v>
      </c>
      <c r="C1357" s="883">
        <v>1.0008337396314313</v>
      </c>
      <c r="D1357" s="883">
        <v>1.0003017557332845</v>
      </c>
      <c r="E1357" s="883">
        <v>0.97202877265063703</v>
      </c>
      <c r="F1357" s="883">
        <v>1.0471867295269823</v>
      </c>
      <c r="G1357" s="883">
        <v>0.98451219704317339</v>
      </c>
      <c r="H1357" s="883">
        <v>1.0044681825813817</v>
      </c>
      <c r="I1357" s="883">
        <v>0.99751089508286672</v>
      </c>
      <c r="K1357">
        <v>1.6689958108617118</v>
      </c>
      <c r="L1357">
        <v>0</v>
      </c>
      <c r="M1357">
        <v>6.5915063401407676E-3</v>
      </c>
      <c r="N1357">
        <v>0.1178974574183554</v>
      </c>
      <c r="O1357">
        <v>3.0840895329099328E-2</v>
      </c>
      <c r="P1357">
        <v>1.8677207750714662E-2</v>
      </c>
      <c r="Q1357">
        <v>0</v>
      </c>
      <c r="R1357">
        <v>6.5915063401407676E-3</v>
      </c>
      <c r="S1357">
        <v>0.16836639043055948</v>
      </c>
      <c r="T1357">
        <v>1.2424619822836551</v>
      </c>
      <c r="U1357">
        <v>0</v>
      </c>
      <c r="V1357">
        <v>1.5849370179103948E-2</v>
      </c>
      <c r="W1357">
        <v>6.2926074900786139E-2</v>
      </c>
      <c r="X1357">
        <v>-1.5166217294871488E-2</v>
      </c>
      <c r="Y1357">
        <v>2.7142649864307835E-2</v>
      </c>
    </row>
    <row r="1358" spans="1:25" x14ac:dyDescent="0.25">
      <c r="A1358" s="879"/>
      <c r="B1358" s="1133">
        <v>1108</v>
      </c>
      <c r="C1358" s="883">
        <v>0.95570413927706466</v>
      </c>
      <c r="D1358" s="883">
        <v>1.0102103269003033</v>
      </c>
      <c r="E1358" s="883">
        <v>1.0056678734624085</v>
      </c>
      <c r="F1358" s="883">
        <v>0.96159893406065122</v>
      </c>
      <c r="G1358" s="883">
        <v>0.97124459127319884</v>
      </c>
      <c r="H1358" s="883">
        <v>0.95788126875415669</v>
      </c>
      <c r="I1358" s="883">
        <v>0.98858582033187936</v>
      </c>
      <c r="K1358">
        <v>1.5714263161060698</v>
      </c>
      <c r="L1358">
        <v>0</v>
      </c>
      <c r="M1358">
        <v>6.3641916902441751E-3</v>
      </c>
      <c r="N1358">
        <v>0.11965319325361666</v>
      </c>
      <c r="O1358">
        <v>3.2141459606949772E-2</v>
      </c>
      <c r="P1358">
        <v>1.7843401431838241E-2</v>
      </c>
      <c r="Q1358">
        <v>0</v>
      </c>
      <c r="R1358">
        <v>6.3641916902441751E-3</v>
      </c>
      <c r="S1358">
        <v>0.17189149175037463</v>
      </c>
      <c r="T1358">
        <v>1.1403113542983112</v>
      </c>
      <c r="U1358">
        <v>0</v>
      </c>
      <c r="V1358">
        <v>1.6106588633327767E-2</v>
      </c>
      <c r="W1358">
        <v>6.2800317076893306E-2</v>
      </c>
      <c r="X1358">
        <v>-1.5528098541775837E-2</v>
      </c>
      <c r="Y1358">
        <v>2.6206608596533044E-2</v>
      </c>
    </row>
    <row r="1359" spans="1:25" x14ac:dyDescent="0.25">
      <c r="A1359" s="879"/>
      <c r="B1359" s="1133">
        <v>1109</v>
      </c>
      <c r="C1359" s="883">
        <v>1.0359373567511987</v>
      </c>
      <c r="D1359" s="883">
        <v>0.97953409085401899</v>
      </c>
      <c r="E1359" s="883">
        <v>1.0075375853603101</v>
      </c>
      <c r="F1359" s="883">
        <v>1.0024566862073658</v>
      </c>
      <c r="G1359" s="883">
        <v>0.97845993568313983</v>
      </c>
      <c r="H1359" s="883">
        <v>0.97248796013521543</v>
      </c>
      <c r="I1359" s="883">
        <v>1.026236098314139</v>
      </c>
      <c r="K1359">
        <v>1.6025501126479333</v>
      </c>
      <c r="L1359">
        <v>0</v>
      </c>
      <c r="M1359">
        <v>6.0335262233575902E-3</v>
      </c>
      <c r="N1359">
        <v>0.11375084433307879</v>
      </c>
      <c r="O1359">
        <v>3.0018539712280697E-2</v>
      </c>
      <c r="P1359">
        <v>1.8430936948406525E-2</v>
      </c>
      <c r="Q1359">
        <v>0</v>
      </c>
      <c r="R1359">
        <v>6.0335262233575902E-3</v>
      </c>
      <c r="S1359">
        <v>0.16574680654847584</v>
      </c>
      <c r="T1359">
        <v>1.1887277081223195</v>
      </c>
      <c r="U1359">
        <v>0</v>
      </c>
      <c r="V1359">
        <v>1.5664791098688843E-2</v>
      </c>
      <c r="W1359">
        <v>5.9647190039192131E-2</v>
      </c>
      <c r="X1359">
        <v>-1.4281691214663767E-2</v>
      </c>
      <c r="Y1359">
        <v>2.4844987060153128E-2</v>
      </c>
    </row>
    <row r="1360" spans="1:25" x14ac:dyDescent="0.25">
      <c r="A1360" s="879"/>
      <c r="B1360" s="1133">
        <v>1110</v>
      </c>
      <c r="C1360" s="883">
        <v>0.95989842116379698</v>
      </c>
      <c r="D1360" s="883">
        <v>0.9970400841741015</v>
      </c>
      <c r="E1360" s="883">
        <v>1.0048301887521465</v>
      </c>
      <c r="F1360" s="883">
        <v>0.99907064086309894</v>
      </c>
      <c r="G1360" s="883">
        <v>0.95475382883302362</v>
      </c>
      <c r="H1360" s="883">
        <v>0.9897321194296792</v>
      </c>
      <c r="I1360" s="883">
        <v>1.0262290104742782</v>
      </c>
      <c r="K1360">
        <v>1.631060537489905</v>
      </c>
      <c r="L1360">
        <v>0</v>
      </c>
      <c r="M1360">
        <v>6.5903268054715407E-3</v>
      </c>
      <c r="N1360">
        <v>0.12375114792780643</v>
      </c>
      <c r="O1360">
        <v>3.2170194303856689E-2</v>
      </c>
      <c r="P1360">
        <v>1.8534178124432005E-2</v>
      </c>
      <c r="Q1360">
        <v>0</v>
      </c>
      <c r="R1360">
        <v>6.5903268054715407E-3</v>
      </c>
      <c r="S1360">
        <v>0.17975940396754775</v>
      </c>
      <c r="T1360">
        <v>1.184762683720086</v>
      </c>
      <c r="U1360">
        <v>0</v>
      </c>
      <c r="V1360">
        <v>1.6081663647987344E-2</v>
      </c>
      <c r="W1360">
        <v>6.4978109035090589E-2</v>
      </c>
      <c r="X1360">
        <v>-1.611463598739073E-2</v>
      </c>
      <c r="Y1360">
        <v>2.7137792750489297E-2</v>
      </c>
    </row>
    <row r="1361" spans="1:25" x14ac:dyDescent="0.25">
      <c r="A1361" s="879"/>
      <c r="B1361" s="1133">
        <v>1111</v>
      </c>
      <c r="C1361" s="883">
        <v>1.0262150575197699</v>
      </c>
      <c r="D1361" s="883">
        <v>0.97938138021982224</v>
      </c>
      <c r="E1361" s="883">
        <v>0.96245637566232445</v>
      </c>
      <c r="F1361" s="883">
        <v>0.98576254641477801</v>
      </c>
      <c r="G1361" s="883">
        <v>0.96940996890623499</v>
      </c>
      <c r="H1361" s="883">
        <v>1.0258488765974954</v>
      </c>
      <c r="I1361" s="883">
        <v>1.0035719472649514</v>
      </c>
      <c r="K1361">
        <v>1.5929580171987936</v>
      </c>
      <c r="L1361">
        <v>0</v>
      </c>
      <c r="M1361">
        <v>6.6829875819581011E-3</v>
      </c>
      <c r="N1361">
        <v>0.11784646653505353</v>
      </c>
      <c r="O1361">
        <v>3.0340578452519289E-2</v>
      </c>
      <c r="P1361">
        <v>1.756940981712346E-2</v>
      </c>
      <c r="Q1361">
        <v>0</v>
      </c>
      <c r="R1361">
        <v>6.6829875819581011E-3</v>
      </c>
      <c r="S1361">
        <v>0.16662956479890048</v>
      </c>
      <c r="T1361">
        <v>1.1697603773092242</v>
      </c>
      <c r="U1361">
        <v>0</v>
      </c>
      <c r="V1361">
        <v>1.5714647754859569E-2</v>
      </c>
      <c r="W1361">
        <v>6.320264119483493E-2</v>
      </c>
      <c r="X1361">
        <v>-1.5625021998778452E-2</v>
      </c>
      <c r="Y1361">
        <v>2.7519353335057579E-2</v>
      </c>
    </row>
    <row r="1362" spans="1:25" x14ac:dyDescent="0.25">
      <c r="A1362" s="879"/>
      <c r="B1362" s="1133">
        <v>1112</v>
      </c>
      <c r="C1362" s="883">
        <v>0.98051471465001272</v>
      </c>
      <c r="D1362" s="883">
        <v>1.0093963182948038</v>
      </c>
      <c r="E1362" s="883">
        <v>1.0369749841879592</v>
      </c>
      <c r="F1362" s="883">
        <v>1.0165050668207689</v>
      </c>
      <c r="G1362" s="883">
        <v>1.0281682563893544</v>
      </c>
      <c r="H1362" s="883">
        <v>0.97424305656388843</v>
      </c>
      <c r="I1362" s="883">
        <v>1.0062195895342811</v>
      </c>
      <c r="K1362">
        <v>1.6362952472999861</v>
      </c>
      <c r="L1362">
        <v>0</v>
      </c>
      <c r="M1362">
        <v>6.1407228518915368E-3</v>
      </c>
      <c r="N1362">
        <v>0.12092379132057837</v>
      </c>
      <c r="O1362">
        <v>3.1309227242731649E-2</v>
      </c>
      <c r="P1362">
        <v>1.9143934339039461E-2</v>
      </c>
      <c r="Q1362">
        <v>0</v>
      </c>
      <c r="R1362">
        <v>6.1407228518915368E-3</v>
      </c>
      <c r="S1362">
        <v>0.17154165417578757</v>
      </c>
      <c r="T1362">
        <v>1.2048332893058915</v>
      </c>
      <c r="U1362">
        <v>0</v>
      </c>
      <c r="V1362">
        <v>1.5962249100801792E-2</v>
      </c>
      <c r="W1362">
        <v>6.2496445190208159E-2</v>
      </c>
      <c r="X1362">
        <v>-1.5201747071220016E-2</v>
      </c>
      <c r="Y1362">
        <v>2.5286403696167324E-2</v>
      </c>
    </row>
    <row r="1363" spans="1:25" x14ac:dyDescent="0.25">
      <c r="A1363" s="879"/>
      <c r="B1363" s="1133">
        <v>1113</v>
      </c>
      <c r="C1363" s="883">
        <v>0.9915578685965889</v>
      </c>
      <c r="D1363" s="883">
        <v>0.9889352920289407</v>
      </c>
      <c r="E1363" s="883">
        <v>0.98452691819996241</v>
      </c>
      <c r="F1363" s="883">
        <v>1.000049577656118</v>
      </c>
      <c r="G1363" s="883">
        <v>1.0139981897423194</v>
      </c>
      <c r="H1363" s="883">
        <v>1.0137446930625067</v>
      </c>
      <c r="I1363" s="883">
        <v>1.0111562391325901</v>
      </c>
      <c r="K1363">
        <v>1.6222459408380203</v>
      </c>
      <c r="L1363">
        <v>0</v>
      </c>
      <c r="M1363">
        <v>6.6758273419191437E-3</v>
      </c>
      <c r="N1363">
        <v>0.12164075819719687</v>
      </c>
      <c r="O1363">
        <v>3.1262062651652288E-2</v>
      </c>
      <c r="P1363">
        <v>1.8177654213018538E-2</v>
      </c>
      <c r="Q1363">
        <v>0</v>
      </c>
      <c r="R1363">
        <v>6.6758273419191437E-3</v>
      </c>
      <c r="S1363">
        <v>0.17295188148050689</v>
      </c>
      <c r="T1363">
        <v>1.1863014029372949</v>
      </c>
      <c r="U1363">
        <v>0</v>
      </c>
      <c r="V1363">
        <v>1.5900326813984414E-2</v>
      </c>
      <c r="W1363">
        <v>6.4518700863443315E-2</v>
      </c>
      <c r="X1363">
        <v>-1.599671506013069E-2</v>
      </c>
      <c r="Y1363">
        <v>2.7489868741052359E-2</v>
      </c>
    </row>
    <row r="1364" spans="1:25" x14ac:dyDescent="0.25">
      <c r="A1364" s="879"/>
      <c r="B1364" s="1133">
        <v>1114</v>
      </c>
      <c r="C1364" s="883">
        <v>1.0360156569049861</v>
      </c>
      <c r="D1364" s="883">
        <v>1.0119938379190181</v>
      </c>
      <c r="E1364" s="883">
        <v>0.98841847251378268</v>
      </c>
      <c r="F1364" s="883">
        <v>0.98187430963671363</v>
      </c>
      <c r="G1364" s="883">
        <v>0.97216317786639883</v>
      </c>
      <c r="H1364" s="883">
        <v>1.0165455628266835</v>
      </c>
      <c r="I1364" s="883">
        <v>1.0204696456084403</v>
      </c>
      <c r="K1364">
        <v>1.5829539079995252</v>
      </c>
      <c r="L1364">
        <v>0</v>
      </c>
      <c r="M1364">
        <v>6.3199862509286534E-3</v>
      </c>
      <c r="N1364">
        <v>0.11582344827179597</v>
      </c>
      <c r="O1364">
        <v>2.9642915681154545E-2</v>
      </c>
      <c r="P1364">
        <v>1.7862822586379043E-2</v>
      </c>
      <c r="Q1364">
        <v>0</v>
      </c>
      <c r="R1364">
        <v>6.3199862509286534E-3</v>
      </c>
      <c r="S1364">
        <v>0.16697937805341573</v>
      </c>
      <c r="T1364">
        <v>1.1646698853598014</v>
      </c>
      <c r="U1364">
        <v>0</v>
      </c>
      <c r="V1364">
        <v>1.566439336823762E-2</v>
      </c>
      <c r="W1364">
        <v>6.1313905746358865E-2</v>
      </c>
      <c r="X1364">
        <v>-1.5027419533324501E-2</v>
      </c>
      <c r="Y1364">
        <v>2.6024578465706601E-2</v>
      </c>
    </row>
    <row r="1365" spans="1:25" x14ac:dyDescent="0.25">
      <c r="A1365" s="879"/>
      <c r="B1365" s="1133">
        <v>1115</v>
      </c>
      <c r="C1365" s="883">
        <v>0.9679610898999631</v>
      </c>
      <c r="D1365" s="883">
        <v>1.0166526975716939</v>
      </c>
      <c r="E1365" s="883">
        <v>0.95994032011793973</v>
      </c>
      <c r="F1365" s="883">
        <v>1.0003020821454935</v>
      </c>
      <c r="G1365" s="883">
        <v>1.0177255995314725</v>
      </c>
      <c r="H1365" s="883">
        <v>0.97440376905798121</v>
      </c>
      <c r="I1365" s="883">
        <v>0.99561968335342443</v>
      </c>
      <c r="K1365">
        <v>1.6156458084743948</v>
      </c>
      <c r="L1365">
        <v>0</v>
      </c>
      <c r="M1365">
        <v>6.6331705541883669E-3</v>
      </c>
      <c r="N1365">
        <v>0.11653156551047207</v>
      </c>
      <c r="O1365">
        <v>3.1691448682973321E-2</v>
      </c>
      <c r="P1365">
        <v>1.7830291246364122E-2</v>
      </c>
      <c r="Q1365">
        <v>0</v>
      </c>
      <c r="R1365">
        <v>6.6331705541883669E-3</v>
      </c>
      <c r="S1365">
        <v>0.17179288516921884</v>
      </c>
      <c r="T1365">
        <v>1.1870609948719149</v>
      </c>
      <c r="U1365">
        <v>0</v>
      </c>
      <c r="V1365">
        <v>1.6034357054010889E-2</v>
      </c>
      <c r="W1365">
        <v>6.2576835330341321E-2</v>
      </c>
      <c r="X1365">
        <v>-1.5186785072703575E-2</v>
      </c>
      <c r="Y1365">
        <v>2.7314215681802201E-2</v>
      </c>
    </row>
    <row r="1366" spans="1:25" x14ac:dyDescent="0.25">
      <c r="A1366" s="879"/>
      <c r="B1366" s="1133">
        <v>1116</v>
      </c>
      <c r="C1366" s="883">
        <v>1.0184020068663104</v>
      </c>
      <c r="D1366" s="883">
        <v>0.97703952784184156</v>
      </c>
      <c r="E1366" s="883">
        <v>0.97842524504489281</v>
      </c>
      <c r="F1366" s="883">
        <v>1.0119972623022038</v>
      </c>
      <c r="G1366" s="883">
        <v>0.98227672101985364</v>
      </c>
      <c r="H1366" s="883">
        <v>0.98053351545992706</v>
      </c>
      <c r="I1366" s="883">
        <v>0.98067235385314988</v>
      </c>
      <c r="K1366">
        <v>1.6138841398343202</v>
      </c>
      <c r="L1366">
        <v>0</v>
      </c>
      <c r="M1366">
        <v>6.3546923315753708E-3</v>
      </c>
      <c r="N1366">
        <v>0.11474594450828483</v>
      </c>
      <c r="O1366">
        <v>3.0590542213328801E-2</v>
      </c>
      <c r="P1366">
        <v>1.8128342189501614E-2</v>
      </c>
      <c r="Q1366">
        <v>0</v>
      </c>
      <c r="R1366">
        <v>6.3546923315753708E-3</v>
      </c>
      <c r="S1366">
        <v>0.16156319330609401</v>
      </c>
      <c r="T1366">
        <v>1.2005895164455209</v>
      </c>
      <c r="U1366">
        <v>0</v>
      </c>
      <c r="V1366">
        <v>1.5755403520078554E-2</v>
      </c>
      <c r="W1366">
        <v>6.10477810790628E-2</v>
      </c>
      <c r="X1366">
        <v>-1.4704075355909233E-2</v>
      </c>
      <c r="Y1366">
        <v>2.6167491928357718E-2</v>
      </c>
    </row>
    <row r="1367" spans="1:25" x14ac:dyDescent="0.25">
      <c r="A1367" s="879"/>
      <c r="B1367" s="1133">
        <v>1117</v>
      </c>
      <c r="C1367" s="883">
        <v>0.99071309837120325</v>
      </c>
      <c r="D1367" s="883">
        <v>1.0228192488091545</v>
      </c>
      <c r="E1367" s="883">
        <v>1.0035665213798675</v>
      </c>
      <c r="F1367" s="883">
        <v>1.0116084858710486</v>
      </c>
      <c r="G1367" s="883">
        <v>1.0122126253110642</v>
      </c>
      <c r="H1367" s="883">
        <v>0.96048506284031643</v>
      </c>
      <c r="I1367" s="883">
        <v>1.0024487673111799</v>
      </c>
      <c r="K1367">
        <v>1.6193188466133766</v>
      </c>
      <c r="L1367">
        <v>0</v>
      </c>
      <c r="M1367">
        <v>6.1333077126397113E-3</v>
      </c>
      <c r="N1367">
        <v>0.11495404272905811</v>
      </c>
      <c r="O1367">
        <v>3.0854030235263421E-2</v>
      </c>
      <c r="P1367">
        <v>1.8558267005425583E-2</v>
      </c>
      <c r="Q1367">
        <v>0</v>
      </c>
      <c r="R1367">
        <v>6.1333077126397113E-3</v>
      </c>
      <c r="S1367">
        <v>0.16818140632790093</v>
      </c>
      <c r="T1367">
        <v>1.1996546071376253</v>
      </c>
      <c r="U1367">
        <v>0</v>
      </c>
      <c r="V1367">
        <v>1.590501493344032E-2</v>
      </c>
      <c r="W1367">
        <v>6.0396833371063871E-2</v>
      </c>
      <c r="X1367">
        <v>-1.4441224598975372E-2</v>
      </c>
      <c r="Y1367">
        <v>2.5255869472573887E-2</v>
      </c>
    </row>
    <row r="1368" spans="1:25" x14ac:dyDescent="0.25">
      <c r="A1368" s="879"/>
      <c r="B1368" s="1133">
        <v>1118</v>
      </c>
      <c r="C1368" s="883">
        <v>0.97282487322871436</v>
      </c>
      <c r="D1368" s="883">
        <v>1.02987581026699</v>
      </c>
      <c r="E1368" s="883">
        <v>0.98503179787409545</v>
      </c>
      <c r="F1368" s="883">
        <v>1.0174584060111858</v>
      </c>
      <c r="G1368" s="883">
        <v>1.0272473183032484</v>
      </c>
      <c r="H1368" s="883">
        <v>1.0061233362764501</v>
      </c>
      <c r="I1368" s="883">
        <v>0.98604316444682383</v>
      </c>
      <c r="K1368">
        <v>1.640306648907633</v>
      </c>
      <c r="L1368">
        <v>0</v>
      </c>
      <c r="M1368">
        <v>6.6292762835679243E-3</v>
      </c>
      <c r="N1368">
        <v>0.12088303286131687</v>
      </c>
      <c r="O1368">
        <v>3.1350790037510956E-2</v>
      </c>
      <c r="P1368">
        <v>1.8433634346920979E-2</v>
      </c>
      <c r="Q1368">
        <v>0</v>
      </c>
      <c r="R1368">
        <v>6.6292762835679243E-3</v>
      </c>
      <c r="S1368">
        <v>0.17103737390801646</v>
      </c>
      <c r="T1368">
        <v>1.2069429153025846</v>
      </c>
      <c r="U1368">
        <v>0</v>
      </c>
      <c r="V1368">
        <v>1.6006198672111893E-2</v>
      </c>
      <c r="W1368">
        <v>6.4100625649946674E-2</v>
      </c>
      <c r="X1368">
        <v>-1.5746101639316376E-2</v>
      </c>
      <c r="Y1368">
        <v>2.7298179768541559E-2</v>
      </c>
    </row>
    <row r="1369" spans="1:25" x14ac:dyDescent="0.25">
      <c r="A1369" s="879"/>
      <c r="B1369" s="1133">
        <v>1119</v>
      </c>
      <c r="C1369" s="883">
        <v>1.0092702662850617</v>
      </c>
      <c r="D1369" s="883">
        <v>0.99133632023913565</v>
      </c>
      <c r="E1369" s="883">
        <v>1.0430900038288493</v>
      </c>
      <c r="F1369" s="883">
        <v>0.97167725095030033</v>
      </c>
      <c r="G1369" s="883">
        <v>0.99483345143897195</v>
      </c>
      <c r="H1369" s="883">
        <v>0.99415689255855288</v>
      </c>
      <c r="I1369" s="883">
        <v>0.97130400670406725</v>
      </c>
      <c r="K1369">
        <v>1.5719188871158063</v>
      </c>
      <c r="L1369">
        <v>0</v>
      </c>
      <c r="M1369">
        <v>6.1040910485749668E-3</v>
      </c>
      <c r="N1369">
        <v>0.12129308097341503</v>
      </c>
      <c r="O1369">
        <v>3.0631760594540303E-2</v>
      </c>
      <c r="P1369">
        <v>1.8362655192028954E-2</v>
      </c>
      <c r="Q1369">
        <v>0</v>
      </c>
      <c r="R1369">
        <v>6.1040910485749668E-3</v>
      </c>
      <c r="S1369">
        <v>0.16215831932519101</v>
      </c>
      <c r="T1369">
        <v>1.1515908321398283</v>
      </c>
      <c r="U1369">
        <v>0</v>
      </c>
      <c r="V1369">
        <v>1.5803837803747854E-2</v>
      </c>
      <c r="W1369">
        <v>6.2500292797758303E-2</v>
      </c>
      <c r="X1369">
        <v>-1.5557452161032635E-2</v>
      </c>
      <c r="Y1369">
        <v>2.5135560450327606E-2</v>
      </c>
    </row>
    <row r="1370" spans="1:25" x14ac:dyDescent="0.25">
      <c r="A1370" s="879"/>
      <c r="B1370" s="1133">
        <v>1120</v>
      </c>
      <c r="C1370" s="883">
        <v>0.99863867869512435</v>
      </c>
      <c r="D1370" s="883">
        <v>0.96697520375581481</v>
      </c>
      <c r="E1370" s="883">
        <v>1.0233242328612755</v>
      </c>
      <c r="F1370" s="883">
        <v>0.9957967395247751</v>
      </c>
      <c r="G1370" s="883">
        <v>1.0083665315565506</v>
      </c>
      <c r="H1370" s="883">
        <v>0.99011560652097186</v>
      </c>
      <c r="I1370" s="883">
        <v>1.0017711409081564</v>
      </c>
      <c r="K1370">
        <v>1.611096241127032</v>
      </c>
      <c r="L1370">
        <v>0</v>
      </c>
      <c r="M1370">
        <v>6.3212412863026127E-3</v>
      </c>
      <c r="N1370">
        <v>0.12199198940598686</v>
      </c>
      <c r="O1370">
        <v>3.1286511430420674E-2</v>
      </c>
      <c r="P1370">
        <v>1.8585711165703636E-2</v>
      </c>
      <c r="Q1370">
        <v>0</v>
      </c>
      <c r="R1370">
        <v>6.3212412863026127E-3</v>
      </c>
      <c r="S1370">
        <v>0.16902508484433418</v>
      </c>
      <c r="T1370">
        <v>1.1805391493062256</v>
      </c>
      <c r="U1370">
        <v>0</v>
      </c>
      <c r="V1370">
        <v>1.5861343160329059E-2</v>
      </c>
      <c r="W1370">
        <v>6.3472136101385537E-2</v>
      </c>
      <c r="X1370">
        <v>-1.5695430765341929E-2</v>
      </c>
      <c r="Y1370">
        <v>2.6029746477988606E-2</v>
      </c>
    </row>
    <row r="1371" spans="1:25" x14ac:dyDescent="0.25">
      <c r="A1371" s="879"/>
      <c r="B1371" s="1133">
        <v>1121</v>
      </c>
      <c r="C1371" s="883">
        <v>0.96351362581627831</v>
      </c>
      <c r="D1371" s="883">
        <v>0.99812091328586927</v>
      </c>
      <c r="E1371" s="883">
        <v>1.0299444342984065</v>
      </c>
      <c r="F1371" s="883">
        <v>0.99850642890349184</v>
      </c>
      <c r="G1371" s="883">
        <v>0.96826346350831449</v>
      </c>
      <c r="H1371" s="883">
        <v>0.99031549505579353</v>
      </c>
      <c r="I1371" s="883">
        <v>0.97446718349648098</v>
      </c>
      <c r="K1371">
        <v>1.6209130019667801</v>
      </c>
      <c r="L1371">
        <v>0</v>
      </c>
      <c r="M1371">
        <v>6.4235406551046738E-3</v>
      </c>
      <c r="N1371">
        <v>0.1251856269051454</v>
      </c>
      <c r="O1371">
        <v>3.2012083389585513E-2</v>
      </c>
      <c r="P1371">
        <v>1.8736786373834871E-2</v>
      </c>
      <c r="Q1371">
        <v>0</v>
      </c>
      <c r="R1371">
        <v>6.4235406551046738E-3</v>
      </c>
      <c r="S1371">
        <v>0.17010270424614221</v>
      </c>
      <c r="T1371">
        <v>1.1836294689958831</v>
      </c>
      <c r="U1371">
        <v>0</v>
      </c>
      <c r="V1371">
        <v>1.6060354023825218E-2</v>
      </c>
      <c r="W1371">
        <v>6.492229095362459E-2</v>
      </c>
      <c r="X1371">
        <v>-1.6187309991368075E-2</v>
      </c>
      <c r="Y1371">
        <v>2.6450997070106636E-2</v>
      </c>
    </row>
    <row r="1372" spans="1:25" x14ac:dyDescent="0.25">
      <c r="A1372" s="879"/>
      <c r="B1372" s="1133">
        <v>1122</v>
      </c>
      <c r="C1372" s="883">
        <v>1.0190939147628943</v>
      </c>
      <c r="D1372" s="883">
        <v>0.99267713620441966</v>
      </c>
      <c r="E1372" s="883">
        <v>1.0249666465940999</v>
      </c>
      <c r="F1372" s="883">
        <v>0.99023693987445771</v>
      </c>
      <c r="G1372" s="883">
        <v>0.97624411410825995</v>
      </c>
      <c r="H1372" s="883">
        <v>0.97156273266943993</v>
      </c>
      <c r="I1372" s="883">
        <v>0.98503667383192661</v>
      </c>
      <c r="K1372">
        <v>1.5864464290067133</v>
      </c>
      <c r="L1372">
        <v>0</v>
      </c>
      <c r="M1372">
        <v>5.9988663156430831E-3</v>
      </c>
      <c r="N1372">
        <v>0.11605209120375805</v>
      </c>
      <c r="O1372">
        <v>3.0337020065927707E-2</v>
      </c>
      <c r="P1372">
        <v>1.8414804068066521E-2</v>
      </c>
      <c r="Q1372">
        <v>0</v>
      </c>
      <c r="R1372">
        <v>5.9988663156430831E-3</v>
      </c>
      <c r="S1372">
        <v>0.16156303391997329</v>
      </c>
      <c r="T1372">
        <v>1.1739178299185653</v>
      </c>
      <c r="U1372">
        <v>0</v>
      </c>
      <c r="V1372">
        <v>1.5751769051878497E-2</v>
      </c>
      <c r="W1372">
        <v>6.0332872520904954E-2</v>
      </c>
      <c r="X1372">
        <v>-1.4625255471779395E-2</v>
      </c>
      <c r="Y1372">
        <v>2.4702263729418382E-2</v>
      </c>
    </row>
    <row r="1373" spans="1:25" x14ac:dyDescent="0.25">
      <c r="A1373" s="879"/>
      <c r="B1373" s="1133">
        <v>1123</v>
      </c>
      <c r="C1373" s="883">
        <v>1.0182705540083112</v>
      </c>
      <c r="D1373" s="883">
        <v>0.99845991809122048</v>
      </c>
      <c r="E1373" s="883">
        <v>0.96696010873812022</v>
      </c>
      <c r="F1373" s="883">
        <v>1.0040678430763819</v>
      </c>
      <c r="G1373" s="883">
        <v>1.00185300944218</v>
      </c>
      <c r="H1373" s="883">
        <v>1.0089294669473272</v>
      </c>
      <c r="I1373" s="883">
        <v>1.0172930808621066</v>
      </c>
      <c r="K1373">
        <v>1.614554608381304</v>
      </c>
      <c r="L1373">
        <v>0</v>
      </c>
      <c r="M1373">
        <v>6.5415639662524862E-3</v>
      </c>
      <c r="N1373">
        <v>0.11612689047928855</v>
      </c>
      <c r="O1373">
        <v>3.0338924999663928E-2</v>
      </c>
      <c r="P1373">
        <v>1.7945471382989294E-2</v>
      </c>
      <c r="Q1373">
        <v>0</v>
      </c>
      <c r="R1373">
        <v>6.5415639662524862E-3</v>
      </c>
      <c r="S1373">
        <v>0.16903713133739973</v>
      </c>
      <c r="T1373">
        <v>1.191397717498299</v>
      </c>
      <c r="U1373">
        <v>0</v>
      </c>
      <c r="V1373">
        <v>1.5756094576715257E-2</v>
      </c>
      <c r="W1373">
        <v>6.2139242487842965E-2</v>
      </c>
      <c r="X1373">
        <v>-1.5123860438941943E-2</v>
      </c>
      <c r="Y1373">
        <v>2.6936996058047061E-2</v>
      </c>
    </row>
    <row r="1374" spans="1:25" x14ac:dyDescent="0.25">
      <c r="A1374" s="879"/>
      <c r="B1374" s="1133">
        <v>1124</v>
      </c>
      <c r="C1374" s="883">
        <v>1.0185936887203246</v>
      </c>
      <c r="D1374" s="883">
        <v>1.0201433676009113</v>
      </c>
      <c r="E1374" s="883">
        <v>0.98035908475956479</v>
      </c>
      <c r="F1374" s="883">
        <v>0.96877426327704719</v>
      </c>
      <c r="G1374" s="883">
        <v>0.97061023475626984</v>
      </c>
      <c r="H1374" s="883">
        <v>0.99271737129881488</v>
      </c>
      <c r="I1374" s="883">
        <v>1.0343086741147505</v>
      </c>
      <c r="K1374">
        <v>1.5692048283909661</v>
      </c>
      <c r="L1374">
        <v>0</v>
      </c>
      <c r="M1374">
        <v>6.2991264881172605E-3</v>
      </c>
      <c r="N1374">
        <v>0.114069431968451</v>
      </c>
      <c r="O1374">
        <v>3.0059674662609906E-2</v>
      </c>
      <c r="P1374">
        <v>1.7599480470192996E-2</v>
      </c>
      <c r="Q1374">
        <v>0</v>
      </c>
      <c r="R1374">
        <v>6.2991264881172605E-3</v>
      </c>
      <c r="S1374">
        <v>0.17065577098755375</v>
      </c>
      <c r="T1374">
        <v>1.1492766440577269</v>
      </c>
      <c r="U1374">
        <v>0</v>
      </c>
      <c r="V1374">
        <v>1.5754396155177451E-2</v>
      </c>
      <c r="W1374">
        <v>6.0629109324223773E-2</v>
      </c>
      <c r="X1374">
        <v>-1.4778360910318313E-2</v>
      </c>
      <c r="Y1374">
        <v>2.5938681675348661E-2</v>
      </c>
    </row>
    <row r="1375" spans="1:25" x14ac:dyDescent="0.25">
      <c r="A1375" s="879"/>
      <c r="B1375" s="1133">
        <v>1125</v>
      </c>
      <c r="C1375" s="883">
        <v>0.99849420876372597</v>
      </c>
      <c r="D1375" s="883">
        <v>1.0035677814655968</v>
      </c>
      <c r="E1375" s="883">
        <v>0.98955177996814248</v>
      </c>
      <c r="F1375" s="883">
        <v>0.97518176235838261</v>
      </c>
      <c r="G1375" s="883">
        <v>0.97862779818886136</v>
      </c>
      <c r="H1375" s="883">
        <v>1.0313719814026048</v>
      </c>
      <c r="I1375" s="883">
        <v>0.96079207753029117</v>
      </c>
      <c r="K1375">
        <v>1.5836195885883777</v>
      </c>
      <c r="L1375">
        <v>0</v>
      </c>
      <c r="M1375">
        <v>6.6713674880318685E-3</v>
      </c>
      <c r="N1375">
        <v>0.1224686655701954</v>
      </c>
      <c r="O1375">
        <v>3.0858946069653337E-2</v>
      </c>
      <c r="P1375">
        <v>1.7736200984643184E-2</v>
      </c>
      <c r="Q1375">
        <v>0</v>
      </c>
      <c r="R1375">
        <v>6.6713674880318685E-3</v>
      </c>
      <c r="S1375">
        <v>0.16403311334462914</v>
      </c>
      <c r="T1375">
        <v>1.1567107929996805</v>
      </c>
      <c r="U1375">
        <v>0</v>
      </c>
      <c r="V1375">
        <v>1.5862133019335065E-2</v>
      </c>
      <c r="W1375">
        <v>6.479506601185174E-2</v>
      </c>
      <c r="X1375">
        <v>-1.6316833268180349E-2</v>
      </c>
      <c r="Y1375">
        <v>2.7471503856568966E-2</v>
      </c>
    </row>
    <row r="1376" spans="1:25" x14ac:dyDescent="0.25">
      <c r="A1376" s="879"/>
      <c r="B1376" s="1133">
        <v>1126</v>
      </c>
      <c r="C1376" s="883">
        <v>1.0389253910825507</v>
      </c>
      <c r="D1376" s="883">
        <v>1.0141267352693271</v>
      </c>
      <c r="E1376" s="883">
        <v>1.0306800422663778</v>
      </c>
      <c r="F1376" s="883">
        <v>1.0018049715375124</v>
      </c>
      <c r="G1376" s="883">
        <v>1.0137225007929671</v>
      </c>
      <c r="H1376" s="883">
        <v>1.0071974752152966</v>
      </c>
      <c r="I1376" s="883">
        <v>1.0029019958184717</v>
      </c>
      <c r="K1376">
        <v>1.6025806563413179</v>
      </c>
      <c r="L1376">
        <v>0</v>
      </c>
      <c r="M1376">
        <v>6.0121303387336948E-3</v>
      </c>
      <c r="N1376">
        <v>0.11729529932862268</v>
      </c>
      <c r="O1376">
        <v>2.9499460405824969E-2</v>
      </c>
      <c r="P1376">
        <v>1.8699313083455585E-2</v>
      </c>
      <c r="Q1376">
        <v>0</v>
      </c>
      <c r="R1376">
        <v>6.0121303387336948E-3</v>
      </c>
      <c r="S1376">
        <v>0.16314823176762563</v>
      </c>
      <c r="T1376">
        <v>1.1875259638003814</v>
      </c>
      <c r="U1376">
        <v>0</v>
      </c>
      <c r="V1376">
        <v>1.5649655703351931E-2</v>
      </c>
      <c r="W1376">
        <v>6.0808356846934392E-2</v>
      </c>
      <c r="X1376">
        <v>-1.4802507210477345E-2</v>
      </c>
      <c r="Y1376">
        <v>2.4756882615597418E-2</v>
      </c>
    </row>
    <row r="1377" spans="1:25" x14ac:dyDescent="0.25">
      <c r="A1377" s="879"/>
      <c r="B1377" s="1133">
        <v>1127</v>
      </c>
      <c r="C1377" s="883">
        <v>0.97701962381990559</v>
      </c>
      <c r="D1377" s="883">
        <v>1.0153778369032065</v>
      </c>
      <c r="E1377" s="883">
        <v>1.0115765203388489</v>
      </c>
      <c r="F1377" s="883">
        <v>0.971398543181614</v>
      </c>
      <c r="G1377" s="883">
        <v>1.0055530150094627</v>
      </c>
      <c r="H1377" s="883">
        <v>0.98767938213146744</v>
      </c>
      <c r="I1377" s="883">
        <v>0.99332795491656611</v>
      </c>
      <c r="K1377">
        <v>1.5824961959739448</v>
      </c>
      <c r="L1377">
        <v>0</v>
      </c>
      <c r="M1377">
        <v>6.3714215107893773E-3</v>
      </c>
      <c r="N1377">
        <v>0.12084162898483131</v>
      </c>
      <c r="O1377">
        <v>3.1370866213571109E-2</v>
      </c>
      <c r="P1377">
        <v>1.8059776225353E-2</v>
      </c>
      <c r="Q1377">
        <v>0</v>
      </c>
      <c r="R1377">
        <v>6.3714215107893773E-3</v>
      </c>
      <c r="S1377">
        <v>0.17065307683718298</v>
      </c>
      <c r="T1377">
        <v>1.1518257579458711</v>
      </c>
      <c r="U1377">
        <v>0</v>
      </c>
      <c r="V1377">
        <v>1.5982138749173102E-2</v>
      </c>
      <c r="W1377">
        <v>6.3238882459230428E-2</v>
      </c>
      <c r="X1377">
        <v>-1.5712311151947277E-2</v>
      </c>
      <c r="Y1377">
        <v>2.62363797106781E-2</v>
      </c>
    </row>
    <row r="1378" spans="1:25" x14ac:dyDescent="0.25">
      <c r="A1378" s="879"/>
      <c r="B1378" s="1133">
        <v>1128</v>
      </c>
      <c r="C1378" s="883">
        <v>1.0178653485617333</v>
      </c>
      <c r="D1378" s="883">
        <v>0.98551355627239678</v>
      </c>
      <c r="E1378" s="883">
        <v>1.003696043620554</v>
      </c>
      <c r="F1378" s="883">
        <v>0.99641188626551058</v>
      </c>
      <c r="G1378" s="883">
        <v>1.024247001615032</v>
      </c>
      <c r="H1378" s="883">
        <v>1.0004275354946608</v>
      </c>
      <c r="I1378" s="883">
        <v>1.0304894934045388</v>
      </c>
      <c r="K1378">
        <v>1.6087288746735462</v>
      </c>
      <c r="L1378">
        <v>0</v>
      </c>
      <c r="M1378">
        <v>6.3211193090689077E-3</v>
      </c>
      <c r="N1378">
        <v>0.11849684703719296</v>
      </c>
      <c r="O1378">
        <v>3.0480524337588778E-2</v>
      </c>
      <c r="P1378">
        <v>1.8353952478275173E-2</v>
      </c>
      <c r="Q1378">
        <v>0</v>
      </c>
      <c r="R1378">
        <v>6.3211193090689077E-3</v>
      </c>
      <c r="S1378">
        <v>0.17097508954732457</v>
      </c>
      <c r="T1378">
        <v>1.1816307418660978</v>
      </c>
      <c r="U1378">
        <v>0</v>
      </c>
      <c r="V1378">
        <v>1.57582258924947E-2</v>
      </c>
      <c r="W1378">
        <v>6.225422341503066E-2</v>
      </c>
      <c r="X1378">
        <v>-1.5249974097910115E-2</v>
      </c>
      <c r="Y1378">
        <v>2.602924419745135E-2</v>
      </c>
    </row>
    <row r="1379" spans="1:25" x14ac:dyDescent="0.25">
      <c r="A1379" s="879"/>
      <c r="B1379" s="1133">
        <v>1129</v>
      </c>
      <c r="C1379" s="883">
        <v>1.0213293340577057</v>
      </c>
      <c r="D1379" s="883">
        <v>1.0217849264162886</v>
      </c>
      <c r="E1379" s="883">
        <v>0.97721188088485444</v>
      </c>
      <c r="F1379" s="883">
        <v>0.99864851276958022</v>
      </c>
      <c r="G1379" s="883">
        <v>0.99918040362877292</v>
      </c>
      <c r="H1379" s="883">
        <v>0.97669176922461298</v>
      </c>
      <c r="I1379" s="883">
        <v>0.99627635367634138</v>
      </c>
      <c r="K1379">
        <v>1.5937897740489633</v>
      </c>
      <c r="L1379">
        <v>0</v>
      </c>
      <c r="M1379">
        <v>6.1933773457225798E-3</v>
      </c>
      <c r="N1379">
        <v>0.11163192023239411</v>
      </c>
      <c r="O1379">
        <v>2.9962295173756554E-2</v>
      </c>
      <c r="P1379">
        <v>1.7922580775884309E-2</v>
      </c>
      <c r="Q1379">
        <v>0</v>
      </c>
      <c r="R1379">
        <v>6.1933773457225798E-3</v>
      </c>
      <c r="S1379">
        <v>0.16302448488814811</v>
      </c>
      <c r="T1379">
        <v>1.1847757783226003</v>
      </c>
      <c r="U1379">
        <v>0</v>
      </c>
      <c r="V1379">
        <v>1.5740060450457435E-2</v>
      </c>
      <c r="W1379">
        <v>5.9427166227842158E-2</v>
      </c>
      <c r="X1379">
        <v>-1.4197737551733156E-2</v>
      </c>
      <c r="Y1379">
        <v>2.5503225529613038E-2</v>
      </c>
    </row>
    <row r="1380" spans="1:25" x14ac:dyDescent="0.25">
      <c r="A1380" s="879"/>
      <c r="B1380" s="1133">
        <v>1130</v>
      </c>
      <c r="C1380" s="883">
        <v>1.0400043762785678</v>
      </c>
      <c r="D1380" s="883">
        <v>1.0111365048427499</v>
      </c>
      <c r="E1380" s="883">
        <v>0.9858025670787115</v>
      </c>
      <c r="F1380" s="883">
        <v>0.9931086167081834</v>
      </c>
      <c r="G1380" s="883">
        <v>0.99637769851655233</v>
      </c>
      <c r="H1380" s="883">
        <v>0.97196313108818444</v>
      </c>
      <c r="I1380" s="883">
        <v>0.98207269525546104</v>
      </c>
      <c r="K1380">
        <v>1.5783042565173295</v>
      </c>
      <c r="L1380">
        <v>0</v>
      </c>
      <c r="M1380">
        <v>6.0356678671991369E-3</v>
      </c>
      <c r="N1380">
        <v>0.11018462812365415</v>
      </c>
      <c r="O1380">
        <v>2.9541276131997106E-2</v>
      </c>
      <c r="P1380">
        <v>1.788013552586017E-2</v>
      </c>
      <c r="Q1380">
        <v>0</v>
      </c>
      <c r="R1380">
        <v>6.0356678671991369E-3</v>
      </c>
      <c r="S1380">
        <v>0.15765726450913789</v>
      </c>
      <c r="T1380">
        <v>1.1780441124187861</v>
      </c>
      <c r="U1380">
        <v>0</v>
      </c>
      <c r="V1380">
        <v>1.5644211654673425E-2</v>
      </c>
      <c r="W1380">
        <v>5.8405089505507421E-2</v>
      </c>
      <c r="X1380">
        <v>-1.3906267320581011E-2</v>
      </c>
      <c r="Y1380">
        <v>2.4853805968294229E-2</v>
      </c>
    </row>
    <row r="1381" spans="1:25" x14ac:dyDescent="0.25">
      <c r="A1381" s="879"/>
      <c r="B1381" s="1133">
        <v>1131</v>
      </c>
      <c r="C1381" s="883">
        <v>0.9962152189726291</v>
      </c>
      <c r="D1381" s="883">
        <v>1.0033917290569239</v>
      </c>
      <c r="E1381" s="883">
        <v>1.0019278366240498</v>
      </c>
      <c r="F1381" s="883">
        <v>0.96355863830839927</v>
      </c>
      <c r="G1381" s="883">
        <v>0.98233787527407468</v>
      </c>
      <c r="H1381" s="883">
        <v>1.0071661772565574</v>
      </c>
      <c r="I1381" s="883">
        <v>0.99727791406989086</v>
      </c>
      <c r="K1381">
        <v>1.5715611695194158</v>
      </c>
      <c r="L1381">
        <v>0</v>
      </c>
      <c r="M1381">
        <v>6.4600208730731289E-3</v>
      </c>
      <c r="N1381">
        <v>0.12078397061464136</v>
      </c>
      <c r="O1381">
        <v>3.0921305028925476E-2</v>
      </c>
      <c r="P1381">
        <v>1.7786723594467611E-2</v>
      </c>
      <c r="Q1381">
        <v>0</v>
      </c>
      <c r="R1381">
        <v>6.4600208730731289E-3</v>
      </c>
      <c r="S1381">
        <v>0.16926430547842619</v>
      </c>
      <c r="T1381">
        <v>1.1427021844455181</v>
      </c>
      <c r="U1381">
        <v>0</v>
      </c>
      <c r="V1381">
        <v>1.587462322812799E-2</v>
      </c>
      <c r="W1381">
        <v>6.351148478532545E-2</v>
      </c>
      <c r="X1381">
        <v>-1.5884643770479635E-2</v>
      </c>
      <c r="Y1381">
        <v>2.6601216114463994E-2</v>
      </c>
    </row>
    <row r="1382" spans="1:25" x14ac:dyDescent="0.25">
      <c r="A1382" s="879"/>
      <c r="B1382" s="1133">
        <v>1132</v>
      </c>
      <c r="C1382" s="883">
        <v>0.98809127973627953</v>
      </c>
      <c r="D1382" s="883">
        <v>0.99377189207619976</v>
      </c>
      <c r="E1382" s="883">
        <v>0.95618900156707609</v>
      </c>
      <c r="F1382" s="883">
        <v>0.97279650846662147</v>
      </c>
      <c r="G1382" s="883">
        <v>0.97063398616617091</v>
      </c>
      <c r="H1382" s="883">
        <v>0.99342926763939199</v>
      </c>
      <c r="I1382" s="883">
        <v>0.99350095537292327</v>
      </c>
      <c r="K1382">
        <v>1.5808188565576342</v>
      </c>
      <c r="L1382">
        <v>0</v>
      </c>
      <c r="M1382">
        <v>6.714362979665137E-3</v>
      </c>
      <c r="N1382">
        <v>0.11730218884293289</v>
      </c>
      <c r="O1382">
        <v>3.1332545541970326E-2</v>
      </c>
      <c r="P1382">
        <v>1.7322360852703517E-2</v>
      </c>
      <c r="Q1382">
        <v>0</v>
      </c>
      <c r="R1382">
        <v>6.714362979665137E-3</v>
      </c>
      <c r="S1382">
        <v>0.16925796700186899</v>
      </c>
      <c r="T1382">
        <v>1.1544885485614385</v>
      </c>
      <c r="U1382">
        <v>0</v>
      </c>
      <c r="V1382">
        <v>1.5919615970912078E-2</v>
      </c>
      <c r="W1382">
        <v>6.3110152024514962E-2</v>
      </c>
      <c r="X1382">
        <v>-1.556307387691001E-2</v>
      </c>
      <c r="Y1382">
        <v>2.764855163820254E-2</v>
      </c>
    </row>
    <row r="1383" spans="1:25" x14ac:dyDescent="0.25">
      <c r="A1383" s="879"/>
      <c r="B1383" s="1133">
        <v>1133</v>
      </c>
      <c r="C1383" s="883">
        <v>1.0094432768641268</v>
      </c>
      <c r="D1383" s="883">
        <v>1.013783819225613</v>
      </c>
      <c r="E1383" s="883">
        <v>0.99736789429263262</v>
      </c>
      <c r="F1383" s="883">
        <v>1.0231938558182916</v>
      </c>
      <c r="G1383" s="883">
        <v>0.97669217670775188</v>
      </c>
      <c r="H1383" s="883">
        <v>1.0145896610085317</v>
      </c>
      <c r="I1383" s="883">
        <v>0.97081088738068644</v>
      </c>
      <c r="K1383">
        <v>1.634306971255552</v>
      </c>
      <c r="L1383">
        <v>0</v>
      </c>
      <c r="M1383">
        <v>6.4184386855888351E-3</v>
      </c>
      <c r="N1383">
        <v>0.11919851309617843</v>
      </c>
      <c r="O1383">
        <v>3.0394409340052646E-2</v>
      </c>
      <c r="P1383">
        <v>1.8584520367800686E-2</v>
      </c>
      <c r="Q1383">
        <v>0</v>
      </c>
      <c r="R1383">
        <v>6.4184386855888351E-3</v>
      </c>
      <c r="S1383">
        <v>0.16291865342881673</v>
      </c>
      <c r="T1383">
        <v>1.2135114230838853</v>
      </c>
      <c r="U1383">
        <v>0</v>
      </c>
      <c r="V1383">
        <v>1.5802912020533976E-2</v>
      </c>
      <c r="W1383">
        <v>6.2819931102160928E-2</v>
      </c>
      <c r="X1383">
        <v>-1.5353379251633388E-2</v>
      </c>
      <c r="Y1383">
        <v>2.6429988067757131E-2</v>
      </c>
    </row>
    <row r="1384" spans="1:25" x14ac:dyDescent="0.25">
      <c r="A1384" s="879"/>
      <c r="B1384" s="1133">
        <v>1134</v>
      </c>
      <c r="C1384" s="883">
        <v>0.99385510221904649</v>
      </c>
      <c r="D1384" s="883">
        <v>1.0008487745878702</v>
      </c>
      <c r="E1384" s="883">
        <v>1.016487767823598</v>
      </c>
      <c r="F1384" s="883">
        <v>1.0261759977311418</v>
      </c>
      <c r="G1384" s="883">
        <v>0.97570040325275031</v>
      </c>
      <c r="H1384" s="883">
        <v>1.0151530665458279</v>
      </c>
      <c r="I1384" s="883">
        <v>1.0123958215958009</v>
      </c>
      <c r="K1384">
        <v>1.6536759276763038</v>
      </c>
      <c r="L1384">
        <v>0</v>
      </c>
      <c r="M1384">
        <v>6.4514388193425282E-3</v>
      </c>
      <c r="N1384">
        <v>0.1232518448593654</v>
      </c>
      <c r="O1384">
        <v>3.1013352849952453E-2</v>
      </c>
      <c r="P1384">
        <v>1.9031613061846097E-2</v>
      </c>
      <c r="Q1384">
        <v>0</v>
      </c>
      <c r="R1384">
        <v>6.4514388193425282E-3</v>
      </c>
      <c r="S1384">
        <v>0.17275246841912253</v>
      </c>
      <c r="T1384">
        <v>1.2166842023749422</v>
      </c>
      <c r="U1384">
        <v>0</v>
      </c>
      <c r="V1384">
        <v>1.588761843762174E-2</v>
      </c>
      <c r="W1384">
        <v>6.4343964263898407E-2</v>
      </c>
      <c r="X1384">
        <v>-1.5855013335195785E-2</v>
      </c>
      <c r="Y1384">
        <v>2.656587674474999E-2</v>
      </c>
    </row>
    <row r="1385" spans="1:25" x14ac:dyDescent="0.25">
      <c r="A1385" s="879"/>
      <c r="B1385" s="1133">
        <v>1135</v>
      </c>
      <c r="C1385" s="883">
        <v>1.0020871697243441</v>
      </c>
      <c r="D1385" s="883">
        <v>0.97816390942994302</v>
      </c>
      <c r="E1385" s="883">
        <v>0.99066356619997553</v>
      </c>
      <c r="F1385" s="883">
        <v>0.98835059691181748</v>
      </c>
      <c r="G1385" s="883">
        <v>0.99002727447265237</v>
      </c>
      <c r="H1385" s="883">
        <v>1.0208170229842777</v>
      </c>
      <c r="I1385" s="883">
        <v>0.97451679963125803</v>
      </c>
      <c r="K1385">
        <v>1.6007605559744456</v>
      </c>
      <c r="L1385">
        <v>0</v>
      </c>
      <c r="M1385">
        <v>6.6486806081418482E-3</v>
      </c>
      <c r="N1385">
        <v>0.12225353879265463</v>
      </c>
      <c r="O1385">
        <v>3.1064352806393927E-2</v>
      </c>
      <c r="P1385">
        <v>1.7977102158712358E-2</v>
      </c>
      <c r="Q1385">
        <v>0</v>
      </c>
      <c r="R1385">
        <v>6.6486806081418482E-3</v>
      </c>
      <c r="S1385">
        <v>0.16545799750668566</v>
      </c>
      <c r="T1385">
        <v>1.1723105221884687</v>
      </c>
      <c r="U1385">
        <v>0</v>
      </c>
      <c r="V1385">
        <v>1.5842556860169908E-2</v>
      </c>
      <c r="W1385">
        <v>6.4645399373896545E-2</v>
      </c>
      <c r="X1385">
        <v>-1.61689970358329E-2</v>
      </c>
      <c r="Y1385">
        <v>2.7378083323295943E-2</v>
      </c>
    </row>
    <row r="1386" spans="1:25" x14ac:dyDescent="0.25">
      <c r="A1386" s="879"/>
      <c r="B1386" s="1133">
        <v>1136</v>
      </c>
      <c r="C1386" s="883">
        <v>0.99735278434334029</v>
      </c>
      <c r="D1386" s="883">
        <v>0.98461445173375672</v>
      </c>
      <c r="E1386" s="883">
        <v>0.9632330088223281</v>
      </c>
      <c r="F1386" s="883">
        <v>1.0215478200847574</v>
      </c>
      <c r="G1386" s="883">
        <v>1.0048020507331983</v>
      </c>
      <c r="H1386" s="883">
        <v>0.98586588504333261</v>
      </c>
      <c r="I1386" s="883">
        <v>1.017332146941071</v>
      </c>
      <c r="K1386">
        <v>1.6395441047072834</v>
      </c>
      <c r="L1386">
        <v>0</v>
      </c>
      <c r="M1386">
        <v>6.5882166552733833E-3</v>
      </c>
      <c r="N1386">
        <v>0.11630940875465999</v>
      </c>
      <c r="O1386">
        <v>3.1151544567315306E-2</v>
      </c>
      <c r="P1386">
        <v>1.8195533166936347E-2</v>
      </c>
      <c r="Q1386">
        <v>0</v>
      </c>
      <c r="R1386">
        <v>6.5882166552733833E-3</v>
      </c>
      <c r="S1386">
        <v>0.17136214927626284</v>
      </c>
      <c r="T1386">
        <v>1.2122102898605176</v>
      </c>
      <c r="U1386">
        <v>0</v>
      </c>
      <c r="V1386">
        <v>1.5868381563533755E-2</v>
      </c>
      <c r="W1386">
        <v>6.2353873592713903E-2</v>
      </c>
      <c r="X1386">
        <v>-1.5036179602221741E-2</v>
      </c>
      <c r="Y1386">
        <v>2.7129103527566024E-2</v>
      </c>
    </row>
    <row r="1387" spans="1:25" x14ac:dyDescent="0.25">
      <c r="A1387" s="879"/>
      <c r="B1387" s="1133">
        <v>1137</v>
      </c>
      <c r="C1387" s="883">
        <v>0.9949122627219924</v>
      </c>
      <c r="D1387" s="883">
        <v>0.98844391759093564</v>
      </c>
      <c r="E1387" s="883">
        <v>1.0334068314271148</v>
      </c>
      <c r="F1387" s="883">
        <v>0.98355555093249492</v>
      </c>
      <c r="G1387" s="883">
        <v>0.99714557013300287</v>
      </c>
      <c r="H1387" s="883">
        <v>0.99663686126531525</v>
      </c>
      <c r="I1387" s="883">
        <v>1.0001069390862141</v>
      </c>
      <c r="K1387">
        <v>1.5972768521746994</v>
      </c>
      <c r="L1387">
        <v>0</v>
      </c>
      <c r="M1387">
        <v>6.2687483259723778E-3</v>
      </c>
      <c r="N1387">
        <v>0.12279574398486713</v>
      </c>
      <c r="O1387">
        <v>3.1119561788237719E-2</v>
      </c>
      <c r="P1387">
        <v>1.8530667366383466E-2</v>
      </c>
      <c r="Q1387">
        <v>0</v>
      </c>
      <c r="R1387">
        <v>6.2687483259723778E-3</v>
      </c>
      <c r="S1387">
        <v>0.16954129479520516</v>
      </c>
      <c r="T1387">
        <v>1.1658438843301546</v>
      </c>
      <c r="U1387">
        <v>0</v>
      </c>
      <c r="V1387">
        <v>1.5881789906570569E-2</v>
      </c>
      <c r="W1387">
        <v>6.357487173310665E-2</v>
      </c>
      <c r="X1387">
        <v>-1.5824551540573464E-2</v>
      </c>
      <c r="Y1387">
        <v>2.5813589810747335E-2</v>
      </c>
    </row>
    <row r="1388" spans="1:25" x14ac:dyDescent="0.25">
      <c r="A1388" s="879"/>
      <c r="B1388" s="1133">
        <v>1138</v>
      </c>
      <c r="C1388" s="883">
        <v>1.0139747854030514</v>
      </c>
      <c r="D1388" s="883">
        <v>1.0236728373521267</v>
      </c>
      <c r="E1388" s="883">
        <v>1.0232515564697087</v>
      </c>
      <c r="F1388" s="883">
        <v>0.98917475863776361</v>
      </c>
      <c r="G1388" s="883">
        <v>1.0262322205395213</v>
      </c>
      <c r="H1388" s="883">
        <v>0.99128871621386438</v>
      </c>
      <c r="I1388" s="883">
        <v>1.0078447504919725</v>
      </c>
      <c r="K1388">
        <v>1.5924356225472491</v>
      </c>
      <c r="L1388">
        <v>0</v>
      </c>
      <c r="M1388">
        <v>6.0769352745991823E-3</v>
      </c>
      <c r="N1388">
        <v>0.11726458664427081</v>
      </c>
      <c r="O1388">
        <v>3.0119027896318078E-2</v>
      </c>
      <c r="P1388">
        <v>1.8448868796598076E-2</v>
      </c>
      <c r="Q1388">
        <v>0</v>
      </c>
      <c r="R1388">
        <v>6.0769352745991823E-3</v>
      </c>
      <c r="S1388">
        <v>0.16697813907540843</v>
      </c>
      <c r="T1388">
        <v>1.1726899726076556</v>
      </c>
      <c r="U1388">
        <v>0</v>
      </c>
      <c r="V1388">
        <v>1.5778776327799046E-2</v>
      </c>
      <c r="W1388">
        <v>6.1014661263746578E-2</v>
      </c>
      <c r="X1388">
        <v>-1.488214787119168E-2</v>
      </c>
      <c r="Y1388">
        <v>2.5023737806642916E-2</v>
      </c>
    </row>
    <row r="1389" spans="1:25" x14ac:dyDescent="0.25">
      <c r="A1389" s="879"/>
      <c r="B1389" s="1133">
        <v>1139</v>
      </c>
      <c r="C1389" s="883">
        <v>1.006779813147183</v>
      </c>
      <c r="D1389" s="883">
        <v>1.0048061018505114</v>
      </c>
      <c r="E1389" s="883">
        <v>0.99093469662183853</v>
      </c>
      <c r="F1389" s="883">
        <v>0.96771111797098686</v>
      </c>
      <c r="G1389" s="883">
        <v>0.97592935767265465</v>
      </c>
      <c r="H1389" s="883">
        <v>1.0171573935864544</v>
      </c>
      <c r="I1389" s="883">
        <v>0.99050811419523377</v>
      </c>
      <c r="K1389">
        <v>1.572977965252552</v>
      </c>
      <c r="L1389">
        <v>0</v>
      </c>
      <c r="M1389">
        <v>6.5138211141058276E-3</v>
      </c>
      <c r="N1389">
        <v>0.11982194369162139</v>
      </c>
      <c r="O1389">
        <v>3.0588762362165126E-2</v>
      </c>
      <c r="P1389">
        <v>1.7674417463942507E-2</v>
      </c>
      <c r="Q1389">
        <v>0</v>
      </c>
      <c r="R1389">
        <v>6.5138211141058276E-3</v>
      </c>
      <c r="S1389">
        <v>0.16689396214892149</v>
      </c>
      <c r="T1389">
        <v>1.1478245671358438</v>
      </c>
      <c r="U1389">
        <v>0</v>
      </c>
      <c r="V1389">
        <v>1.5817199525920488E-2</v>
      </c>
      <c r="W1389">
        <v>6.3351053981686875E-2</v>
      </c>
      <c r="X1389">
        <v>-1.5816696988500339E-2</v>
      </c>
      <c r="Y1389">
        <v>2.6822755930950723E-2</v>
      </c>
    </row>
    <row r="1390" spans="1:25" x14ac:dyDescent="0.25">
      <c r="A1390" s="879"/>
      <c r="B1390" s="1133">
        <v>1140</v>
      </c>
      <c r="C1390" s="883">
        <v>0.99989121721091301</v>
      </c>
      <c r="D1390" s="883">
        <v>0.99375133429292684</v>
      </c>
      <c r="E1390" s="883">
        <v>1.0425413537527717</v>
      </c>
      <c r="F1390" s="883">
        <v>0.98344245231515082</v>
      </c>
      <c r="G1390" s="883">
        <v>0.99457720728684562</v>
      </c>
      <c r="H1390" s="883">
        <v>1.0344794624284366</v>
      </c>
      <c r="I1390" s="883">
        <v>0.96370634796079935</v>
      </c>
      <c r="K1390">
        <v>1.5980303528306399</v>
      </c>
      <c r="L1390">
        <v>0</v>
      </c>
      <c r="M1390">
        <v>6.4073765238901945E-3</v>
      </c>
      <c r="N1390">
        <v>0.12721648313741002</v>
      </c>
      <c r="O1390">
        <v>3.0889546870141685E-2</v>
      </c>
      <c r="P1390">
        <v>1.8582835181424822E-2</v>
      </c>
      <c r="Q1390">
        <v>0</v>
      </c>
      <c r="R1390">
        <v>6.4073765238901945E-3</v>
      </c>
      <c r="S1390">
        <v>0.16463478691518407</v>
      </c>
      <c r="T1390">
        <v>1.165544377450209</v>
      </c>
      <c r="U1390">
        <v>0</v>
      </c>
      <c r="V1390">
        <v>1.5854504736814927E-2</v>
      </c>
      <c r="W1390">
        <v>6.5570077144713135E-2</v>
      </c>
      <c r="X1390">
        <v>-1.6646694660130475E-2</v>
      </c>
      <c r="Y1390">
        <v>2.6384436054873506E-2</v>
      </c>
    </row>
    <row r="1391" spans="1:25" x14ac:dyDescent="0.25">
      <c r="A1391" s="879"/>
      <c r="B1391" s="1133">
        <v>1141</v>
      </c>
      <c r="C1391" s="883">
        <v>0.97550356228608903</v>
      </c>
      <c r="D1391" s="883">
        <v>0.97975405186529507</v>
      </c>
      <c r="E1391" s="883">
        <v>0.99559786473262302</v>
      </c>
      <c r="F1391" s="883">
        <v>0.97893231105141332</v>
      </c>
      <c r="G1391" s="883">
        <v>1.0159348682880003</v>
      </c>
      <c r="H1391" s="883">
        <v>0.98365441479457827</v>
      </c>
      <c r="I1391" s="883">
        <v>0.97341002909661622</v>
      </c>
      <c r="K1391">
        <v>1.5907691951975975</v>
      </c>
      <c r="L1391">
        <v>0</v>
      </c>
      <c r="M1391">
        <v>6.5481877784126525E-3</v>
      </c>
      <c r="N1391">
        <v>0.12128956365013104</v>
      </c>
      <c r="O1391">
        <v>3.1885927173552195E-2</v>
      </c>
      <c r="P1391">
        <v>1.7925247966286369E-2</v>
      </c>
      <c r="Q1391">
        <v>0</v>
      </c>
      <c r="R1391">
        <v>6.5481877784126525E-3</v>
      </c>
      <c r="S1391">
        <v>0.16759159629442819</v>
      </c>
      <c r="T1391">
        <v>1.1610493092369734</v>
      </c>
      <c r="U1391">
        <v>0</v>
      </c>
      <c r="V1391">
        <v>1.5990810578530655E-2</v>
      </c>
      <c r="W1391">
        <v>6.3978251946778683E-2</v>
      </c>
      <c r="X1391">
        <v>-1.5905783386612252E-2</v>
      </c>
      <c r="Y1391">
        <v>2.6964271737528002E-2</v>
      </c>
    </row>
    <row r="1392" spans="1:25" x14ac:dyDescent="0.25">
      <c r="A1392" s="879"/>
      <c r="B1392" s="1133">
        <v>1142</v>
      </c>
      <c r="C1392" s="883">
        <v>1.0020730024595033</v>
      </c>
      <c r="D1392" s="883">
        <v>0.9932656092382165</v>
      </c>
      <c r="E1392" s="883">
        <v>1.0432061965251578</v>
      </c>
      <c r="F1392" s="883">
        <v>1.0009111769923109</v>
      </c>
      <c r="G1392" s="883">
        <v>1.0380744996713243</v>
      </c>
      <c r="H1392" s="883">
        <v>0.95223443323247337</v>
      </c>
      <c r="I1392" s="883">
        <v>1.0063204186930677</v>
      </c>
      <c r="K1392">
        <v>1.6054605897987229</v>
      </c>
      <c r="L1392">
        <v>0</v>
      </c>
      <c r="M1392">
        <v>5.8829748795228244E-3</v>
      </c>
      <c r="N1392">
        <v>0.11691938946223024</v>
      </c>
      <c r="O1392">
        <v>3.0827671718129859E-2</v>
      </c>
      <c r="P1392">
        <v>1.8906573173319705E-2</v>
      </c>
      <c r="Q1392">
        <v>0</v>
      </c>
      <c r="R1392">
        <v>5.8829748795228244E-3</v>
      </c>
      <c r="S1392">
        <v>0.16674234065600241</v>
      </c>
      <c r="T1392">
        <v>1.1862355071725954</v>
      </c>
      <c r="U1392">
        <v>0</v>
      </c>
      <c r="V1392">
        <v>1.5842633774487323E-2</v>
      </c>
      <c r="W1392">
        <v>6.024318709312982E-2</v>
      </c>
      <c r="X1392">
        <v>-1.4481756674553828E-2</v>
      </c>
      <c r="Y1392">
        <v>2.42250434233818E-2</v>
      </c>
    </row>
    <row r="1393" spans="1:25" x14ac:dyDescent="0.25">
      <c r="A1393" s="879"/>
      <c r="B1393" s="1133">
        <v>1143</v>
      </c>
      <c r="C1393" s="883">
        <v>0.99516041599725014</v>
      </c>
      <c r="D1393" s="883">
        <v>0.98827074903085255</v>
      </c>
      <c r="E1393" s="883">
        <v>1.0025057856615878</v>
      </c>
      <c r="F1393" s="883">
        <v>1.0152671378906064</v>
      </c>
      <c r="G1393" s="883">
        <v>0.99025117196796386</v>
      </c>
      <c r="H1393" s="883">
        <v>0.98222636281142983</v>
      </c>
      <c r="I1393" s="883">
        <v>0.98566469901648324</v>
      </c>
      <c r="K1393">
        <v>1.6279375780650878</v>
      </c>
      <c r="L1393">
        <v>0</v>
      </c>
      <c r="M1393">
        <v>6.3463977260488228E-3</v>
      </c>
      <c r="N1393">
        <v>0.11876116732378336</v>
      </c>
      <c r="O1393">
        <v>3.1142161363420417E-2</v>
      </c>
      <c r="P1393">
        <v>1.8574706699697435E-2</v>
      </c>
      <c r="Q1393">
        <v>0</v>
      </c>
      <c r="R1393">
        <v>6.3463977260488228E-3</v>
      </c>
      <c r="S1393">
        <v>0.16618827054636803</v>
      </c>
      <c r="T1393">
        <v>1.2040133601968865</v>
      </c>
      <c r="U1393">
        <v>0</v>
      </c>
      <c r="V1393">
        <v>1.5880423537018018E-2</v>
      </c>
      <c r="W1393">
        <v>6.2429934452688962E-2</v>
      </c>
      <c r="X1393">
        <v>-1.5185782273959843E-2</v>
      </c>
      <c r="Y1393">
        <v>2.613333621918414E-2</v>
      </c>
    </row>
    <row r="1394" spans="1:25" x14ac:dyDescent="0.25">
      <c r="A1394" s="879"/>
      <c r="B1394" s="1133">
        <v>1144</v>
      </c>
      <c r="C1394" s="883">
        <v>1.0296424942199411</v>
      </c>
      <c r="D1394" s="883">
        <v>1.0086687798332434</v>
      </c>
      <c r="E1394" s="883">
        <v>0.9963578656321862</v>
      </c>
      <c r="F1394" s="883">
        <v>1.0039120062495868</v>
      </c>
      <c r="G1394" s="883">
        <v>0.99929113626649391</v>
      </c>
      <c r="H1394" s="883">
        <v>0.98719457087185525</v>
      </c>
      <c r="I1394" s="883">
        <v>1.0077545386760551</v>
      </c>
      <c r="K1394">
        <v>1.6036042433725779</v>
      </c>
      <c r="L1394">
        <v>0</v>
      </c>
      <c r="M1394">
        <v>6.1418537162411203E-3</v>
      </c>
      <c r="N1394">
        <v>0.11389139353565765</v>
      </c>
      <c r="O1394">
        <v>2.9859316033937149E-2</v>
      </c>
      <c r="P1394">
        <v>1.8282629307125608E-2</v>
      </c>
      <c r="Q1394">
        <v>0</v>
      </c>
      <c r="R1394">
        <v>6.1418537162411203E-3</v>
      </c>
      <c r="S1394">
        <v>0.16430226341640125</v>
      </c>
      <c r="T1394">
        <v>1.1906619423538507</v>
      </c>
      <c r="U1394">
        <v>0</v>
      </c>
      <c r="V1394">
        <v>1.5696964156472999E-2</v>
      </c>
      <c r="W1394">
        <v>6.0053130612916464E-2</v>
      </c>
      <c r="X1394">
        <v>-1.4434456438056822E-2</v>
      </c>
      <c r="Y1394">
        <v>2.5291060394272556E-2</v>
      </c>
    </row>
    <row r="1395" spans="1:25" x14ac:dyDescent="0.25">
      <c r="A1395" s="879"/>
      <c r="B1395" s="1133">
        <v>1145</v>
      </c>
      <c r="C1395" s="883">
        <v>1.0136892593543914</v>
      </c>
      <c r="D1395" s="883">
        <v>1.0054557473787356</v>
      </c>
      <c r="E1395" s="883">
        <v>0.96307906232113316</v>
      </c>
      <c r="F1395" s="883">
        <v>0.97498891083133465</v>
      </c>
      <c r="G1395" s="883">
        <v>0.9965274111751502</v>
      </c>
      <c r="H1395" s="883">
        <v>0.99547010200431629</v>
      </c>
      <c r="I1395" s="883">
        <v>0.98184383843846634</v>
      </c>
      <c r="K1395">
        <v>1.5710947349052213</v>
      </c>
      <c r="L1395">
        <v>0</v>
      </c>
      <c r="M1395">
        <v>6.4851750003910988E-3</v>
      </c>
      <c r="N1395">
        <v>0.11446411510034109</v>
      </c>
      <c r="O1395">
        <v>3.0393900888113421E-2</v>
      </c>
      <c r="P1395">
        <v>1.7365993724797836E-2</v>
      </c>
      <c r="Q1395">
        <v>0</v>
      </c>
      <c r="R1395">
        <v>6.4851750003910988E-3</v>
      </c>
      <c r="S1395">
        <v>0.16305621826876573</v>
      </c>
      <c r="T1395">
        <v>1.156964403640681</v>
      </c>
      <c r="U1395">
        <v>0</v>
      </c>
      <c r="V1395">
        <v>1.5780290724921844E-2</v>
      </c>
      <c r="W1395">
        <v>6.1369368340884009E-2</v>
      </c>
      <c r="X1395">
        <v>-1.5004352116774516E-2</v>
      </c>
      <c r="Y1395">
        <v>2.6704796333491636E-2</v>
      </c>
    </row>
    <row r="1396" spans="1:25" x14ac:dyDescent="0.25">
      <c r="A1396" s="879"/>
      <c r="B1396" s="1133">
        <v>1146</v>
      </c>
      <c r="C1396" s="883">
        <v>0.99378474075640011</v>
      </c>
      <c r="D1396" s="883">
        <v>0.99290317824618113</v>
      </c>
      <c r="E1396" s="883">
        <v>1.0376767352686729</v>
      </c>
      <c r="F1396" s="883">
        <v>1.0232174686195674</v>
      </c>
      <c r="G1396" s="883">
        <v>1.0060706832357929</v>
      </c>
      <c r="H1396" s="883">
        <v>0.97735169040907965</v>
      </c>
      <c r="I1396" s="883">
        <v>0.96799317518955319</v>
      </c>
      <c r="K1396">
        <v>1.6350435391428861</v>
      </c>
      <c r="L1396">
        <v>0</v>
      </c>
      <c r="M1396">
        <v>6.1191156510987804E-3</v>
      </c>
      <c r="N1396">
        <v>0.12062329310784604</v>
      </c>
      <c r="O1396">
        <v>3.1094715579936826E-2</v>
      </c>
      <c r="P1396">
        <v>1.9146382199088763E-2</v>
      </c>
      <c r="Q1396">
        <v>0</v>
      </c>
      <c r="R1396">
        <v>6.1191156510987804E-3</v>
      </c>
      <c r="S1396">
        <v>0.16315017055020783</v>
      </c>
      <c r="T1396">
        <v>1.2127760735007111</v>
      </c>
      <c r="U1396">
        <v>0</v>
      </c>
      <c r="V1396">
        <v>1.5888006807468935E-2</v>
      </c>
      <c r="W1396">
        <v>6.231974578472281E-2</v>
      </c>
      <c r="X1396">
        <v>-1.5152277476338551E-2</v>
      </c>
      <c r="Y1396">
        <v>2.5197429089241122E-2</v>
      </c>
    </row>
    <row r="1397" spans="1:25" x14ac:dyDescent="0.25">
      <c r="A1397" s="879"/>
      <c r="B1397" s="1133">
        <v>1147</v>
      </c>
      <c r="C1397" s="883">
        <v>0.99922285832837365</v>
      </c>
      <c r="D1397" s="883">
        <v>0.97155203798676859</v>
      </c>
      <c r="E1397" s="883">
        <v>0.97412532721781864</v>
      </c>
      <c r="F1397" s="883">
        <v>0.99632097604877112</v>
      </c>
      <c r="G1397" s="883">
        <v>0.9872179387725698</v>
      </c>
      <c r="H1397" s="883">
        <v>1.0111291801428801</v>
      </c>
      <c r="I1397" s="883">
        <v>1.0309036179204378</v>
      </c>
      <c r="K1397">
        <v>1.6188387407904388</v>
      </c>
      <c r="L1397">
        <v>0</v>
      </c>
      <c r="M1397">
        <v>6.7207133143950921E-3</v>
      </c>
      <c r="N1397">
        <v>0.12058318539234111</v>
      </c>
      <c r="O1397">
        <v>3.1251421458876209E-2</v>
      </c>
      <c r="P1397">
        <v>1.8003277630872751E-2</v>
      </c>
      <c r="Q1397">
        <v>0</v>
      </c>
      <c r="R1397">
        <v>6.7207133143950921E-3</v>
      </c>
      <c r="S1397">
        <v>0.17500628427745618</v>
      </c>
      <c r="T1397">
        <v>1.1820719169021885</v>
      </c>
      <c r="U1397">
        <v>0</v>
      </c>
      <c r="V1397">
        <v>1.5858151609912028E-2</v>
      </c>
      <c r="W1397">
        <v>6.4291825353350249E-2</v>
      </c>
      <c r="X1397">
        <v>-1.5902023020861331E-2</v>
      </c>
      <c r="Y1397">
        <v>2.7674701186303045E-2</v>
      </c>
    </row>
    <row r="1398" spans="1:25" x14ac:dyDescent="0.25">
      <c r="A1398" s="879"/>
      <c r="B1398" s="1133">
        <v>1148</v>
      </c>
      <c r="C1398" s="883">
        <v>0.99789139763013446</v>
      </c>
      <c r="D1398" s="883">
        <v>1.0252282862335855</v>
      </c>
      <c r="E1398" s="883">
        <v>0.97831461065130687</v>
      </c>
      <c r="F1398" s="883">
        <v>1.0409713758106736</v>
      </c>
      <c r="G1398" s="883">
        <v>0.99866832576585962</v>
      </c>
      <c r="H1398" s="883">
        <v>1.0172431748669375</v>
      </c>
      <c r="I1398" s="883">
        <v>0.99946973114533222</v>
      </c>
      <c r="K1398">
        <v>1.663762574850244</v>
      </c>
      <c r="L1398">
        <v>0</v>
      </c>
      <c r="M1398">
        <v>6.5858091930057075E-3</v>
      </c>
      <c r="N1398">
        <v>0.11889967407964359</v>
      </c>
      <c r="O1398">
        <v>3.0623933509328197E-2</v>
      </c>
      <c r="P1398">
        <v>1.8687409232046717E-2</v>
      </c>
      <c r="Q1398">
        <v>0</v>
      </c>
      <c r="R1398">
        <v>6.5858091930057075E-3</v>
      </c>
      <c r="S1398">
        <v>0.16968718457557369</v>
      </c>
      <c r="T1398">
        <v>1.2349652952289969</v>
      </c>
      <c r="U1398">
        <v>0</v>
      </c>
      <c r="V1398">
        <v>1.5865431230646432E-2</v>
      </c>
      <c r="W1398">
        <v>6.3261178224809242E-2</v>
      </c>
      <c r="X1398">
        <v>-1.5346721257261879E-2</v>
      </c>
      <c r="Y1398">
        <v>2.7119190026460051E-2</v>
      </c>
    </row>
    <row r="1399" spans="1:25" x14ac:dyDescent="0.25">
      <c r="A1399" s="879"/>
      <c r="B1399" s="1133">
        <v>1149</v>
      </c>
      <c r="C1399" s="883">
        <v>1.0042632939017138</v>
      </c>
      <c r="D1399" s="883">
        <v>0.96581568500169823</v>
      </c>
      <c r="E1399" s="883">
        <v>0.97272358817492999</v>
      </c>
      <c r="F1399" s="883">
        <v>1.023251707583162</v>
      </c>
      <c r="G1399" s="883">
        <v>0.99420223273723374</v>
      </c>
      <c r="H1399" s="883">
        <v>0.98289053205857468</v>
      </c>
      <c r="I1399" s="883">
        <v>1.0119912339065695</v>
      </c>
      <c r="K1399">
        <v>1.6396984690582792</v>
      </c>
      <c r="L1399">
        <v>0</v>
      </c>
      <c r="M1399">
        <v>6.5254148869931519E-3</v>
      </c>
      <c r="N1399">
        <v>0.11683577800000304</v>
      </c>
      <c r="O1399">
        <v>3.1169405706577783E-2</v>
      </c>
      <c r="P1399">
        <v>1.8327536008247197E-2</v>
      </c>
      <c r="Q1399">
        <v>0</v>
      </c>
      <c r="R1399">
        <v>6.5254148869931519E-3</v>
      </c>
      <c r="S1399">
        <v>0.16932257718929242</v>
      </c>
      <c r="T1399">
        <v>1.2140503526551216</v>
      </c>
      <c r="U1399">
        <v>0</v>
      </c>
      <c r="V1399">
        <v>1.5830768412388726E-2</v>
      </c>
      <c r="W1399">
        <v>6.2337659921067635E-2</v>
      </c>
      <c r="X1399">
        <v>-1.5046105858507169E-2</v>
      </c>
      <c r="Y1399">
        <v>2.687049702408608E-2</v>
      </c>
    </row>
    <row r="1400" spans="1:25" x14ac:dyDescent="0.25">
      <c r="A1400" s="879"/>
      <c r="B1400" s="1133">
        <v>1150</v>
      </c>
      <c r="C1400" s="883">
        <v>0.99426093578666885</v>
      </c>
      <c r="D1400" s="883">
        <v>0.96013449034967235</v>
      </c>
      <c r="E1400" s="883">
        <v>1.0117683997267632</v>
      </c>
      <c r="F1400" s="883">
        <v>1.0287931705456912</v>
      </c>
      <c r="G1400" s="883">
        <v>1.0043028048482778</v>
      </c>
      <c r="H1400" s="883">
        <v>0.98322524190030813</v>
      </c>
      <c r="I1400" s="883">
        <v>0.98116165699818714</v>
      </c>
      <c r="K1400">
        <v>1.6476123094379915</v>
      </c>
      <c r="L1400">
        <v>0</v>
      </c>
      <c r="M1400">
        <v>6.3892242753751114E-3</v>
      </c>
      <c r="N1400">
        <v>0.12121370195671669</v>
      </c>
      <c r="O1400">
        <v>3.1524288472519105E-2</v>
      </c>
      <c r="P1400">
        <v>1.891542796792935E-2</v>
      </c>
      <c r="Q1400">
        <v>0</v>
      </c>
      <c r="R1400">
        <v>6.3892242753751114E-3</v>
      </c>
      <c r="S1400">
        <v>0.16593717574030586</v>
      </c>
      <c r="T1400">
        <v>1.2198771840085476</v>
      </c>
      <c r="U1400">
        <v>0</v>
      </c>
      <c r="V1400">
        <v>1.5885379455845148E-2</v>
      </c>
      <c r="W1400">
        <v>6.3427580026358288E-2</v>
      </c>
      <c r="X1400">
        <v>-1.5478116516699194E-2</v>
      </c>
      <c r="Y1400">
        <v>2.6309688326468187E-2</v>
      </c>
    </row>
    <row r="1401" spans="1:25" x14ac:dyDescent="0.25">
      <c r="A1401" s="879"/>
      <c r="B1401" s="1133">
        <v>1151</v>
      </c>
      <c r="C1401" s="883">
        <v>1.0160328453804446</v>
      </c>
      <c r="D1401" s="883">
        <v>0.98251739034700192</v>
      </c>
      <c r="E1401" s="883">
        <v>1.0068239606232161</v>
      </c>
      <c r="F1401" s="883">
        <v>0.97979520504172013</v>
      </c>
      <c r="G1401" s="883">
        <v>0.95861979201977265</v>
      </c>
      <c r="H1401" s="883">
        <v>0.97841208618079856</v>
      </c>
      <c r="I1401" s="883">
        <v>0.96865937673858304</v>
      </c>
      <c r="K1401">
        <v>1.5740947540675336</v>
      </c>
      <c r="L1401">
        <v>0</v>
      </c>
      <c r="M1401">
        <v>6.1846588413048027E-3</v>
      </c>
      <c r="N1401">
        <v>0.116477025341514</v>
      </c>
      <c r="O1401">
        <v>3.0570025058847119E-2</v>
      </c>
      <c r="P1401">
        <v>1.7981493566030321E-2</v>
      </c>
      <c r="Q1401">
        <v>0</v>
      </c>
      <c r="R1401">
        <v>6.1846588413048027E-3</v>
      </c>
      <c r="S1401">
        <v>0.15981339778325224</v>
      </c>
      <c r="T1401">
        <v>1.1618683672499608</v>
      </c>
      <c r="U1401">
        <v>0</v>
      </c>
      <c r="V1401">
        <v>1.5767885794056039E-2</v>
      </c>
      <c r="W1401">
        <v>6.1098296032723994E-2</v>
      </c>
      <c r="X1401">
        <v>-1.4949061039108322E-2</v>
      </c>
      <c r="Y1401">
        <v>2.5467324280256564E-2</v>
      </c>
    </row>
    <row r="1402" spans="1:25" x14ac:dyDescent="0.25">
      <c r="A1402" s="879"/>
      <c r="B1402" s="1133">
        <v>1152</v>
      </c>
      <c r="C1402" s="883">
        <v>0.99964839618280965</v>
      </c>
      <c r="D1402" s="883">
        <v>1.0051615769330127</v>
      </c>
      <c r="E1402" s="883">
        <v>1.0167507013073915</v>
      </c>
      <c r="F1402" s="883">
        <v>1.0243446308936288</v>
      </c>
      <c r="G1402" s="883">
        <v>0.99305565432597831</v>
      </c>
      <c r="H1402" s="883">
        <v>1.0083956694410565</v>
      </c>
      <c r="I1402" s="883">
        <v>1.0099626888620037</v>
      </c>
      <c r="K1402">
        <v>1.6465972094731613</v>
      </c>
      <c r="L1402">
        <v>0</v>
      </c>
      <c r="M1402">
        <v>6.3576862323436508E-3</v>
      </c>
      <c r="N1402">
        <v>0.12150800749339709</v>
      </c>
      <c r="O1402">
        <v>3.0780397134091166E-2</v>
      </c>
      <c r="P1402">
        <v>1.8980291162019509E-2</v>
      </c>
      <c r="Q1402">
        <v>0</v>
      </c>
      <c r="R1402">
        <v>6.3576862323436508E-3</v>
      </c>
      <c r="S1402">
        <v>0.1708982591714468</v>
      </c>
      <c r="T1402">
        <v>1.2145078587908282</v>
      </c>
      <c r="U1402">
        <v>0</v>
      </c>
      <c r="V1402">
        <v>1.5855829115880824E-2</v>
      </c>
      <c r="W1402">
        <v>6.3425362487492365E-2</v>
      </c>
      <c r="X1402">
        <v>-1.5538616160821079E-2</v>
      </c>
      <c r="Y1402">
        <v>2.6179820278827027E-2</v>
      </c>
    </row>
    <row r="1403" spans="1:25" x14ac:dyDescent="0.25">
      <c r="A1403" s="879"/>
      <c r="B1403" s="1133">
        <v>1153</v>
      </c>
      <c r="C1403" s="883">
        <v>0.99275481307986535</v>
      </c>
      <c r="D1403" s="883">
        <v>0.98710371425674659</v>
      </c>
      <c r="E1403" s="883">
        <v>0.98843233983813095</v>
      </c>
      <c r="F1403" s="883">
        <v>1.0068539878518616</v>
      </c>
      <c r="G1403" s="883">
        <v>0.99882863224473351</v>
      </c>
      <c r="H1403" s="883">
        <v>1.02841651936881</v>
      </c>
      <c r="I1403" s="883">
        <v>0.99154710861501538</v>
      </c>
      <c r="K1403">
        <v>1.6305625764915266</v>
      </c>
      <c r="L1403">
        <v>0</v>
      </c>
      <c r="M1403">
        <v>6.7468568256770795E-3</v>
      </c>
      <c r="N1403">
        <v>0.12364904915840812</v>
      </c>
      <c r="O1403">
        <v>3.1244322973012488E-2</v>
      </c>
      <c r="P1403">
        <v>1.8302522047504845E-2</v>
      </c>
      <c r="Q1403">
        <v>0</v>
      </c>
      <c r="R1403">
        <v>6.7468568256770795E-3</v>
      </c>
      <c r="S1403">
        <v>0.17027195312961474</v>
      </c>
      <c r="T1403">
        <v>1.1942997709703453</v>
      </c>
      <c r="U1403">
        <v>0</v>
      </c>
      <c r="V1403">
        <v>1.5893697936661323E-2</v>
      </c>
      <c r="W1403">
        <v>6.5456121350837893E-2</v>
      </c>
      <c r="X1403">
        <v>-1.6337216587249299E-2</v>
      </c>
      <c r="Y1403">
        <v>2.7782355512390743E-2</v>
      </c>
    </row>
    <row r="1404" spans="1:25" x14ac:dyDescent="0.25">
      <c r="A1404" s="879"/>
      <c r="B1404" s="1133">
        <v>1154</v>
      </c>
      <c r="C1404" s="883">
        <v>0.96610396788939434</v>
      </c>
      <c r="D1404" s="883">
        <v>0.99435353825646067</v>
      </c>
      <c r="E1404" s="883">
        <v>1.0334122223228941</v>
      </c>
      <c r="F1404" s="883">
        <v>1.0134801019998698</v>
      </c>
      <c r="G1404" s="883">
        <v>1.0066595168506836</v>
      </c>
      <c r="H1404" s="883">
        <v>1.002105406857976</v>
      </c>
      <c r="I1404" s="883">
        <v>0.99247623316560907</v>
      </c>
      <c r="K1404">
        <v>1.644684036598828</v>
      </c>
      <c r="L1404">
        <v>0</v>
      </c>
      <c r="M1404">
        <v>6.4738239491548329E-3</v>
      </c>
      <c r="N1404">
        <v>0.12681389014513256</v>
      </c>
      <c r="O1404">
        <v>3.1971189934268111E-2</v>
      </c>
      <c r="P1404">
        <v>1.9074058982382926E-2</v>
      </c>
      <c r="Q1404">
        <v>0</v>
      </c>
      <c r="R1404">
        <v>6.4738239491548329E-3</v>
      </c>
      <c r="S1404">
        <v>0.17352860087391542</v>
      </c>
      <c r="T1404">
        <v>1.2013144337483226</v>
      </c>
      <c r="U1404">
        <v>0</v>
      </c>
      <c r="V1404">
        <v>1.6045183470059107E-2</v>
      </c>
      <c r="W1404">
        <v>6.5655007624646128E-2</v>
      </c>
      <c r="X1404">
        <v>-1.6376382904810964E-2</v>
      </c>
      <c r="Y1404">
        <v>2.6658054724912488E-2</v>
      </c>
    </row>
    <row r="1405" spans="1:25" x14ac:dyDescent="0.25">
      <c r="A1405" s="879"/>
      <c r="B1405" s="1133">
        <v>1155</v>
      </c>
      <c r="C1405" s="883">
        <v>0.97906959513537994</v>
      </c>
      <c r="D1405" s="883">
        <v>0.9883817904599973</v>
      </c>
      <c r="E1405" s="883">
        <v>1.0053949006342338</v>
      </c>
      <c r="F1405" s="883">
        <v>1.0089516236036598</v>
      </c>
      <c r="G1405" s="883">
        <v>0.97369162376377794</v>
      </c>
      <c r="H1405" s="883">
        <v>0.9650786267328475</v>
      </c>
      <c r="I1405" s="883">
        <v>1.0014993644768995</v>
      </c>
      <c r="K1405">
        <v>1.6253407540303375</v>
      </c>
      <c r="L1405">
        <v>0</v>
      </c>
      <c r="M1405">
        <v>6.3217830828587711E-3</v>
      </c>
      <c r="N1405">
        <v>0.11880783244210411</v>
      </c>
      <c r="O1405">
        <v>3.1649996558478534E-2</v>
      </c>
      <c r="P1405">
        <v>1.8574724146921053E-2</v>
      </c>
      <c r="Q1405">
        <v>0</v>
      </c>
      <c r="R1405">
        <v>6.3217830828587711E-3</v>
      </c>
      <c r="S1405">
        <v>0.17061294167184471</v>
      </c>
      <c r="T1405">
        <v>1.1964696166598434</v>
      </c>
      <c r="U1405">
        <v>0</v>
      </c>
      <c r="V1405">
        <v>1.5970455679287475E-2</v>
      </c>
      <c r="W1405">
        <v>6.2365062085102646E-2</v>
      </c>
      <c r="X1405">
        <v>-1.5141852713015406E-2</v>
      </c>
      <c r="Y1405">
        <v>2.6031977499770674E-2</v>
      </c>
    </row>
    <row r="1406" spans="1:25" x14ac:dyDescent="0.25">
      <c r="A1406" s="879"/>
      <c r="B1406" s="1133">
        <v>1156</v>
      </c>
      <c r="C1406" s="883">
        <v>0.98852999802936015</v>
      </c>
      <c r="D1406" s="883">
        <v>1.0059140805708406</v>
      </c>
      <c r="E1406" s="883">
        <v>1.0084264030982288</v>
      </c>
      <c r="F1406" s="883">
        <v>0.99396911320859604</v>
      </c>
      <c r="G1406" s="883">
        <v>1.012048160408757</v>
      </c>
      <c r="H1406" s="883">
        <v>0.98650290676532071</v>
      </c>
      <c r="I1406" s="883">
        <v>0.96118536974012481</v>
      </c>
      <c r="K1406">
        <v>1.6000855979882187</v>
      </c>
      <c r="L1406">
        <v>0</v>
      </c>
      <c r="M1406">
        <v>6.3334655490282655E-3</v>
      </c>
      <c r="N1406">
        <v>0.11956287887848534</v>
      </c>
      <c r="O1406">
        <v>3.1124738836640953E-2</v>
      </c>
      <c r="P1406">
        <v>1.8277024847149236E-2</v>
      </c>
      <c r="Q1406">
        <v>0</v>
      </c>
      <c r="R1406">
        <v>6.3334655490282655E-3</v>
      </c>
      <c r="S1406">
        <v>0.16322664853896032</v>
      </c>
      <c r="T1406">
        <v>1.1786466324234164</v>
      </c>
      <c r="U1406">
        <v>0</v>
      </c>
      <c r="V1406">
        <v>1.5917167331333679E-2</v>
      </c>
      <c r="W1406">
        <v>6.2667250817101117E-2</v>
      </c>
      <c r="X1406">
        <v>-1.5416827500924482E-2</v>
      </c>
      <c r="Y1406">
        <v>2.6080083816055193E-2</v>
      </c>
    </row>
    <row r="1407" spans="1:25" x14ac:dyDescent="0.25">
      <c r="A1407" s="879"/>
      <c r="B1407" s="1133">
        <v>1157</v>
      </c>
      <c r="C1407" s="883">
        <v>1.0256662027774017</v>
      </c>
      <c r="D1407" s="883">
        <v>1.008155501195563</v>
      </c>
      <c r="E1407" s="883">
        <v>1.0178810249382739</v>
      </c>
      <c r="F1407" s="883">
        <v>0.9825449168213487</v>
      </c>
      <c r="G1407" s="883">
        <v>0.967102428641335</v>
      </c>
      <c r="H1407" s="883">
        <v>0.99302314057029473</v>
      </c>
      <c r="I1407" s="883">
        <v>1.028404130998287</v>
      </c>
      <c r="K1407">
        <v>1.5851651060322691</v>
      </c>
      <c r="L1407">
        <v>0</v>
      </c>
      <c r="M1407">
        <v>6.0878392675653833E-3</v>
      </c>
      <c r="N1407">
        <v>0.1165454448843026</v>
      </c>
      <c r="O1407">
        <v>2.9962940783348848E-2</v>
      </c>
      <c r="P1407">
        <v>1.8292406221503941E-2</v>
      </c>
      <c r="Q1407">
        <v>0</v>
      </c>
      <c r="R1407">
        <v>6.0878392675653833E-3</v>
      </c>
      <c r="S1407">
        <v>0.16868462455974656</v>
      </c>
      <c r="T1407">
        <v>1.1649277310765873</v>
      </c>
      <c r="U1407">
        <v>0</v>
      </c>
      <c r="V1407">
        <v>1.5717490507255568E-2</v>
      </c>
      <c r="W1407">
        <v>6.0801079039242839E-2</v>
      </c>
      <c r="X1407">
        <v>-1.4835249548558254E-2</v>
      </c>
      <c r="Y1407">
        <v>2.5068638508839333E-2</v>
      </c>
    </row>
    <row r="1408" spans="1:25" x14ac:dyDescent="0.25">
      <c r="A1408" s="879"/>
      <c r="B1408" s="1133">
        <v>1158</v>
      </c>
      <c r="C1408" s="883">
        <v>0.96551005237494003</v>
      </c>
      <c r="D1408" s="883">
        <v>1.0436828567568193</v>
      </c>
      <c r="E1408" s="883">
        <v>0.97261995048005134</v>
      </c>
      <c r="F1408" s="883">
        <v>0.9681557389302049</v>
      </c>
      <c r="G1408" s="883">
        <v>1.0036976601597363</v>
      </c>
      <c r="H1408" s="883">
        <v>0.98418202845579073</v>
      </c>
      <c r="I1408" s="883">
        <v>1.0104128883001247</v>
      </c>
      <c r="K1408">
        <v>1.5807053259575976</v>
      </c>
      <c r="L1408">
        <v>0</v>
      </c>
      <c r="M1408">
        <v>6.5658604181799262E-3</v>
      </c>
      <c r="N1408">
        <v>0.11754185916987808</v>
      </c>
      <c r="O1408">
        <v>3.1430456527141389E-2</v>
      </c>
      <c r="P1408">
        <v>1.7549285608763485E-2</v>
      </c>
      <c r="Q1408">
        <v>0</v>
      </c>
      <c r="R1408">
        <v>6.5658604181799262E-3</v>
      </c>
      <c r="S1408">
        <v>0.17513807917710095</v>
      </c>
      <c r="T1408">
        <v>1.1486828978106809</v>
      </c>
      <c r="U1408">
        <v>0</v>
      </c>
      <c r="V1408">
        <v>1.6048654593397594E-2</v>
      </c>
      <c r="W1408">
        <v>6.2717653361166276E-2</v>
      </c>
      <c r="X1408">
        <v>-1.5440604813007604E-2</v>
      </c>
      <c r="Y1408">
        <v>2.7037044522477034E-2</v>
      </c>
    </row>
    <row r="1409" spans="1:25" x14ac:dyDescent="0.25">
      <c r="A1409" s="879"/>
      <c r="B1409" s="1133">
        <v>1159</v>
      </c>
      <c r="C1409" s="883">
        <v>1.0086760215419928</v>
      </c>
      <c r="D1409" s="883">
        <v>0.97373871792445266</v>
      </c>
      <c r="E1409" s="883">
        <v>1.0446312085564111</v>
      </c>
      <c r="F1409" s="883">
        <v>0.99614040759972167</v>
      </c>
      <c r="G1409" s="883">
        <v>1.019306213290619</v>
      </c>
      <c r="H1409" s="883">
        <v>0.98488038850303328</v>
      </c>
      <c r="I1409" s="883">
        <v>1.0227048145793678</v>
      </c>
      <c r="K1409">
        <v>1.6101131240433821</v>
      </c>
      <c r="L1409">
        <v>0</v>
      </c>
      <c r="M1409">
        <v>6.0910330294239711E-3</v>
      </c>
      <c r="N1409">
        <v>0.12130937858473784</v>
      </c>
      <c r="O1409">
        <v>3.0868671742271512E-2</v>
      </c>
      <c r="P1409">
        <v>1.8898957915869083E-2</v>
      </c>
      <c r="Q1409">
        <v>0</v>
      </c>
      <c r="R1409">
        <v>6.0910330294239711E-3</v>
      </c>
      <c r="S1409">
        <v>0.17047780073053834</v>
      </c>
      <c r="T1409">
        <v>1.1805552972287643</v>
      </c>
      <c r="U1409">
        <v>0</v>
      </c>
      <c r="V1409">
        <v>1.580702003849687E-2</v>
      </c>
      <c r="W1409">
        <v>6.2461712497758927E-2</v>
      </c>
      <c r="X1409">
        <v>-1.5347504546759805E-2</v>
      </c>
      <c r="Y1409">
        <v>2.5081789851704582E-2</v>
      </c>
    </row>
    <row r="1410" spans="1:25" x14ac:dyDescent="0.25">
      <c r="A1410" s="879"/>
      <c r="B1410" s="1133">
        <v>1160</v>
      </c>
      <c r="C1410" s="883">
        <v>0.97741507479737144</v>
      </c>
      <c r="D1410" s="883">
        <v>0.99360320041905281</v>
      </c>
      <c r="E1410" s="883">
        <v>0.9887995674986223</v>
      </c>
      <c r="F1410" s="883">
        <v>0.99768107361158576</v>
      </c>
      <c r="G1410" s="883">
        <v>1.0265598154918705</v>
      </c>
      <c r="H1410" s="883">
        <v>0.99926285001475945</v>
      </c>
      <c r="I1410" s="883">
        <v>1.039242622796503</v>
      </c>
      <c r="K1410">
        <v>1.6262353524076119</v>
      </c>
      <c r="L1410">
        <v>0</v>
      </c>
      <c r="M1410">
        <v>6.6368806299797727E-3</v>
      </c>
      <c r="N1410">
        <v>0.12169977263814598</v>
      </c>
      <c r="O1410">
        <v>3.1651170742373259E-2</v>
      </c>
      <c r="P1410">
        <v>1.8285508326204684E-2</v>
      </c>
      <c r="Q1410">
        <v>0</v>
      </c>
      <c r="R1410">
        <v>6.6368806299797727E-3</v>
      </c>
      <c r="S1410">
        <v>0.17938411500404891</v>
      </c>
      <c r="T1410">
        <v>1.1834123098899518</v>
      </c>
      <c r="U1410">
        <v>0</v>
      </c>
      <c r="V1410">
        <v>1.5979881204387692E-2</v>
      </c>
      <c r="W1410">
        <v>6.4412429211219507E-2</v>
      </c>
      <c r="X1410">
        <v>-1.5919327722261196E-2</v>
      </c>
      <c r="Y1410">
        <v>2.7329493113542335E-2</v>
      </c>
    </row>
    <row r="1411" spans="1:25" x14ac:dyDescent="0.25">
      <c r="A1411" s="879"/>
      <c r="B1411" s="1133">
        <v>1161</v>
      </c>
      <c r="C1411" s="883">
        <v>0.98991072927493051</v>
      </c>
      <c r="D1411" s="883">
        <v>1.0059236339420998</v>
      </c>
      <c r="E1411" s="883">
        <v>1.0066183964614481</v>
      </c>
      <c r="F1411" s="883">
        <v>1.0022118108285891</v>
      </c>
      <c r="G1411" s="883">
        <v>1.0101144956845234</v>
      </c>
      <c r="H1411" s="883">
        <v>1.0011401093755876</v>
      </c>
      <c r="I1411" s="883">
        <v>0.96167358597919139</v>
      </c>
      <c r="K1411">
        <v>1.6130575518979775</v>
      </c>
      <c r="L1411">
        <v>0</v>
      </c>
      <c r="M1411">
        <v>6.4285996129128439E-3</v>
      </c>
      <c r="N1411">
        <v>0.12103436794767314</v>
      </c>
      <c r="O1411">
        <v>3.1082798753577522E-2</v>
      </c>
      <c r="P1411">
        <v>1.8392964169377839E-2</v>
      </c>
      <c r="Q1411">
        <v>0</v>
      </c>
      <c r="R1411">
        <v>6.4285996129128439E-3</v>
      </c>
      <c r="S1411">
        <v>0.16390208661685671</v>
      </c>
      <c r="T1411">
        <v>1.1884544238236434</v>
      </c>
      <c r="U1411">
        <v>0</v>
      </c>
      <c r="V1411">
        <v>1.5909475153615883E-2</v>
      </c>
      <c r="W1411">
        <v>6.3495324895013971E-2</v>
      </c>
      <c r="X1411">
        <v>-1.5685718419681225E-2</v>
      </c>
      <c r="Y1411">
        <v>2.6471828957899752E-2</v>
      </c>
    </row>
    <row r="1412" spans="1:25" x14ac:dyDescent="0.25">
      <c r="A1412" s="879"/>
      <c r="B1412" s="1133">
        <v>1162</v>
      </c>
      <c r="C1412" s="883">
        <v>0.9829602735549825</v>
      </c>
      <c r="D1412" s="883">
        <v>1.0201771640490256</v>
      </c>
      <c r="E1412" s="883">
        <v>0.96526806536342957</v>
      </c>
      <c r="F1412" s="883">
        <v>1.0386471207206844</v>
      </c>
      <c r="G1412" s="883">
        <v>1.0015148287203022</v>
      </c>
      <c r="H1412" s="883">
        <v>0.98592405271075301</v>
      </c>
      <c r="I1412" s="883">
        <v>1.0206791996718798</v>
      </c>
      <c r="K1412">
        <v>1.662924799333769</v>
      </c>
      <c r="L1412">
        <v>0</v>
      </c>
      <c r="M1412">
        <v>6.568481420522675E-3</v>
      </c>
      <c r="N1412">
        <v>0.11631206910551756</v>
      </c>
      <c r="O1412">
        <v>3.1160706865107957E-2</v>
      </c>
      <c r="P1412">
        <v>1.8524808645274848E-2</v>
      </c>
      <c r="Q1412">
        <v>0</v>
      </c>
      <c r="R1412">
        <v>6.568481420522675E-3</v>
      </c>
      <c r="S1412">
        <v>0.17408963219519591</v>
      </c>
      <c r="T1412">
        <v>1.2324614047329858</v>
      </c>
      <c r="U1412">
        <v>0</v>
      </c>
      <c r="V1412">
        <v>1.5948416173732126E-2</v>
      </c>
      <c r="W1412">
        <v>6.2291383733585295E-2</v>
      </c>
      <c r="X1412">
        <v>-1.4911459461234672E-2</v>
      </c>
      <c r="Y1412">
        <v>2.7047837343603442E-2</v>
      </c>
    </row>
    <row r="1413" spans="1:25" x14ac:dyDescent="0.25">
      <c r="A1413" s="879"/>
      <c r="B1413" s="1133">
        <v>1163</v>
      </c>
      <c r="C1413" s="883">
        <v>1.0334494928148137</v>
      </c>
      <c r="D1413" s="883">
        <v>0.97775661010303061</v>
      </c>
      <c r="E1413" s="883">
        <v>1.0129668435011032</v>
      </c>
      <c r="F1413" s="883">
        <v>1.0205952953520263</v>
      </c>
      <c r="G1413" s="883">
        <v>0.99772016152126264</v>
      </c>
      <c r="H1413" s="883">
        <v>0.99184200990873672</v>
      </c>
      <c r="I1413" s="883">
        <v>0.99723083468512619</v>
      </c>
      <c r="K1413">
        <v>1.6256388259448089</v>
      </c>
      <c r="L1413">
        <v>0</v>
      </c>
      <c r="M1413">
        <v>6.1441796845270631E-3</v>
      </c>
      <c r="N1413">
        <v>0.11677176970818337</v>
      </c>
      <c r="O1413">
        <v>3.0108003428576998E-2</v>
      </c>
      <c r="P1413">
        <v>1.8752448849921926E-2</v>
      </c>
      <c r="Q1413">
        <v>0</v>
      </c>
      <c r="R1413">
        <v>6.1441796845270631E-3</v>
      </c>
      <c r="S1413">
        <v>0.1625665550595127</v>
      </c>
      <c r="T1413">
        <v>1.2101340020407811</v>
      </c>
      <c r="U1413">
        <v>0</v>
      </c>
      <c r="V1413">
        <v>1.5677459736347286E-2</v>
      </c>
      <c r="W1413">
        <v>6.1067073067857504E-2</v>
      </c>
      <c r="X1413">
        <v>-1.4739124264038866E-2</v>
      </c>
      <c r="Y1413">
        <v>2.530063831766716E-2</v>
      </c>
    </row>
    <row r="1414" spans="1:25" x14ac:dyDescent="0.25">
      <c r="A1414" s="879"/>
      <c r="B1414" s="1133">
        <v>1164</v>
      </c>
      <c r="C1414" s="883">
        <v>1.0267246562099688</v>
      </c>
      <c r="D1414" s="883">
        <v>0.9997437730758626</v>
      </c>
      <c r="E1414" s="883">
        <v>1.0196859340972668</v>
      </c>
      <c r="F1414" s="883">
        <v>0.95608695707916358</v>
      </c>
      <c r="G1414" s="883">
        <v>1.0077415127639697</v>
      </c>
      <c r="H1414" s="883">
        <v>1.028711057697377</v>
      </c>
      <c r="I1414" s="883">
        <v>1.0352478579289144</v>
      </c>
      <c r="K1414">
        <v>1.5634934801240212</v>
      </c>
      <c r="L1414">
        <v>0</v>
      </c>
      <c r="M1414">
        <v>6.3137272041426471E-3</v>
      </c>
      <c r="N1414">
        <v>0.12119301883534635</v>
      </c>
      <c r="O1414">
        <v>3.0030944609034303E-2</v>
      </c>
      <c r="P1414">
        <v>1.7933225202698615E-2</v>
      </c>
      <c r="Q1414">
        <v>0</v>
      </c>
      <c r="R1414">
        <v>6.3137272041426471E-3</v>
      </c>
      <c r="S1414">
        <v>0.17180456054286533</v>
      </c>
      <c r="T1414">
        <v>1.1335266399013193</v>
      </c>
      <c r="U1414">
        <v>0</v>
      </c>
      <c r="V1414">
        <v>1.5712011047266369E-2</v>
      </c>
      <c r="W1414">
        <v>6.3169475264527111E-2</v>
      </c>
      <c r="X1414">
        <v>-1.5875200104145962E-2</v>
      </c>
      <c r="Y1414">
        <v>2.5998804825110633E-2</v>
      </c>
    </row>
    <row r="1415" spans="1:25" x14ac:dyDescent="0.25">
      <c r="A1415" s="879"/>
      <c r="B1415" s="1133">
        <v>1165</v>
      </c>
      <c r="C1415" s="883">
        <v>1.0281845973832016</v>
      </c>
      <c r="D1415" s="883">
        <v>1.0188474398342811</v>
      </c>
      <c r="E1415" s="883">
        <v>0.98165998895295181</v>
      </c>
      <c r="F1415" s="883">
        <v>0.9972164437247677</v>
      </c>
      <c r="G1415" s="883">
        <v>1.0031064417384639</v>
      </c>
      <c r="H1415" s="883">
        <v>1.0288095462742262</v>
      </c>
      <c r="I1415" s="883">
        <v>0.99826771802587244</v>
      </c>
      <c r="K1415">
        <v>1.6025608027270197</v>
      </c>
      <c r="L1415">
        <v>0</v>
      </c>
      <c r="M1415">
        <v>6.4635785406339857E-3</v>
      </c>
      <c r="N1415">
        <v>0.11727357376746698</v>
      </c>
      <c r="O1415">
        <v>2.9793424253229096E-2</v>
      </c>
      <c r="P1415">
        <v>1.798900116509956E-2</v>
      </c>
      <c r="Q1415">
        <v>0</v>
      </c>
      <c r="R1415">
        <v>6.4635785406339857E-3</v>
      </c>
      <c r="S1415">
        <v>0.16520056339120942</v>
      </c>
      <c r="T1415">
        <v>1.1829939642350951</v>
      </c>
      <c r="U1415">
        <v>0</v>
      </c>
      <c r="V1415">
        <v>1.5704471655472656E-2</v>
      </c>
      <c r="W1415">
        <v>6.2291572897995917E-2</v>
      </c>
      <c r="X1415">
        <v>-1.5301634594787571E-2</v>
      </c>
      <c r="Y1415">
        <v>2.6615865956238379E-2</v>
      </c>
    </row>
    <row r="1416" spans="1:25" x14ac:dyDescent="0.25">
      <c r="A1416" s="879"/>
      <c r="B1416" s="1133">
        <v>1166</v>
      </c>
      <c r="C1416" s="883">
        <v>1.0058932154598985</v>
      </c>
      <c r="D1416" s="883">
        <v>0.98979890260730963</v>
      </c>
      <c r="E1416" s="883">
        <v>0.98606876653730202</v>
      </c>
      <c r="F1416" s="883">
        <v>1.0405817989726358</v>
      </c>
      <c r="G1416" s="883">
        <v>1.0194778032199023</v>
      </c>
      <c r="H1416" s="883">
        <v>1.021473884115178</v>
      </c>
      <c r="I1416" s="883">
        <v>0.97925119437383534</v>
      </c>
      <c r="K1416">
        <v>1.6617932834655094</v>
      </c>
      <c r="L1416">
        <v>0</v>
      </c>
      <c r="M1416">
        <v>6.6193714081296167E-3</v>
      </c>
      <c r="N1416">
        <v>0.12088819075267571</v>
      </c>
      <c r="O1416">
        <v>3.0804533889539312E-2</v>
      </c>
      <c r="P1416">
        <v>1.8735626344576463E-2</v>
      </c>
      <c r="Q1416">
        <v>0</v>
      </c>
      <c r="R1416">
        <v>6.6193714081296167E-3</v>
      </c>
      <c r="S1416">
        <v>0.16553841592319718</v>
      </c>
      <c r="T1416">
        <v>1.2343525285689483</v>
      </c>
      <c r="U1416">
        <v>0</v>
      </c>
      <c r="V1416">
        <v>1.5821972249225384E-2</v>
      </c>
      <c r="W1416">
        <v>6.4070160978012616E-2</v>
      </c>
      <c r="X1416">
        <v>-1.5675538495156099E-2</v>
      </c>
      <c r="Y1416">
        <v>2.7257393254488716E-2</v>
      </c>
    </row>
    <row r="1417" spans="1:25" x14ac:dyDescent="0.25">
      <c r="A1417" s="879"/>
      <c r="B1417" s="1133">
        <v>1167</v>
      </c>
      <c r="C1417" s="883">
        <v>1.0370755839364674</v>
      </c>
      <c r="D1417" s="883">
        <v>1.0094387321059264</v>
      </c>
      <c r="E1417" s="883">
        <v>1.0287621855736822</v>
      </c>
      <c r="F1417" s="883">
        <v>1.0020391560101227</v>
      </c>
      <c r="G1417" s="883">
        <v>1.0432846131892193</v>
      </c>
      <c r="H1417" s="883">
        <v>1.0306070333355382</v>
      </c>
      <c r="I1417" s="883">
        <v>1.001649698250336</v>
      </c>
      <c r="K1417">
        <v>1.6092371552294209</v>
      </c>
      <c r="L1417">
        <v>0</v>
      </c>
      <c r="M1417">
        <v>6.1859684752561313E-3</v>
      </c>
      <c r="N1417">
        <v>0.12034517595192808</v>
      </c>
      <c r="O1417">
        <v>2.9608626146632011E-2</v>
      </c>
      <c r="P1417">
        <v>1.8696910526708695E-2</v>
      </c>
      <c r="Q1417">
        <v>0</v>
      </c>
      <c r="R1417">
        <v>6.1859684752561313E-3</v>
      </c>
      <c r="S1417">
        <v>0.16458410699445944</v>
      </c>
      <c r="T1417">
        <v>1.1878390271484951</v>
      </c>
      <c r="U1417">
        <v>0</v>
      </c>
      <c r="V1417">
        <v>1.5659015312725587E-2</v>
      </c>
      <c r="W1417">
        <v>6.2448212167189078E-2</v>
      </c>
      <c r="X1417">
        <v>-1.5416636138478724E-2</v>
      </c>
      <c r="Y1417">
        <v>2.5472717119761984E-2</v>
      </c>
    </row>
    <row r="1418" spans="1:25" x14ac:dyDescent="0.25">
      <c r="A1418" s="879"/>
      <c r="B1418" s="1133">
        <v>1168</v>
      </c>
      <c r="C1418" s="883">
        <v>1.0133456103107077</v>
      </c>
      <c r="D1418" s="883">
        <v>0.98202921257526654</v>
      </c>
      <c r="E1418" s="883">
        <v>0.9905356162066481</v>
      </c>
      <c r="F1418" s="883">
        <v>1.0257893214164813</v>
      </c>
      <c r="G1418" s="883">
        <v>1.0250660165708245</v>
      </c>
      <c r="H1418" s="883">
        <v>0.97153012812954331</v>
      </c>
      <c r="I1418" s="883">
        <v>1.0015300344029154</v>
      </c>
      <c r="K1418">
        <v>1.6337996956369472</v>
      </c>
      <c r="L1418">
        <v>0</v>
      </c>
      <c r="M1418">
        <v>6.2470559690551396E-3</v>
      </c>
      <c r="N1418">
        <v>0.11484682283105004</v>
      </c>
      <c r="O1418">
        <v>3.067090524770125E-2</v>
      </c>
      <c r="P1418">
        <v>1.8561560454521599E-2</v>
      </c>
      <c r="Q1418">
        <v>0</v>
      </c>
      <c r="R1418">
        <v>6.2470559690551396E-3</v>
      </c>
      <c r="S1418">
        <v>0.16526488934221645</v>
      </c>
      <c r="T1418">
        <v>1.2167200940956526</v>
      </c>
      <c r="U1418">
        <v>0</v>
      </c>
      <c r="V1418">
        <v>1.5782114531363266E-2</v>
      </c>
      <c r="W1418">
        <v>6.0732739566948385E-2</v>
      </c>
      <c r="X1418">
        <v>-1.4503694978564277E-2</v>
      </c>
      <c r="Y1418">
        <v>2.572426454605773E-2</v>
      </c>
    </row>
    <row r="1419" spans="1:25" x14ac:dyDescent="0.25">
      <c r="A1419" s="879"/>
      <c r="B1419" s="1133">
        <v>1169</v>
      </c>
      <c r="C1419" s="883">
        <v>1.0139873017731584</v>
      </c>
      <c r="D1419" s="883">
        <v>1.014672936190216</v>
      </c>
      <c r="E1419" s="883">
        <v>0.9959624710021644</v>
      </c>
      <c r="F1419" s="883">
        <v>1.0013968861308031</v>
      </c>
      <c r="G1419" s="883">
        <v>1.0024769868836272</v>
      </c>
      <c r="H1419" s="883">
        <v>1.0314157440850904</v>
      </c>
      <c r="I1419" s="883">
        <v>0.97546137229628949</v>
      </c>
      <c r="K1419">
        <v>1.6108758379556836</v>
      </c>
      <c r="L1419">
        <v>0</v>
      </c>
      <c r="M1419">
        <v>6.5010790444328687E-3</v>
      </c>
      <c r="N1419">
        <v>0.12048206873950343</v>
      </c>
      <c r="O1419">
        <v>3.0248752696484821E-2</v>
      </c>
      <c r="P1419">
        <v>1.8233019374075361E-2</v>
      </c>
      <c r="Q1419">
        <v>0</v>
      </c>
      <c r="R1419">
        <v>6.5010790444328687E-3</v>
      </c>
      <c r="S1419">
        <v>0.16388773777926957</v>
      </c>
      <c r="T1419">
        <v>1.1876863194501326</v>
      </c>
      <c r="U1419">
        <v>0</v>
      </c>
      <c r="V1419">
        <v>1.5778709961933032E-2</v>
      </c>
      <c r="W1419">
        <v>6.3540785049978718E-2</v>
      </c>
      <c r="X1419">
        <v>-1.5751841451735721E-2</v>
      </c>
      <c r="Y1419">
        <v>2.6770286356041329E-2</v>
      </c>
    </row>
    <row r="1420" spans="1:25" x14ac:dyDescent="0.25">
      <c r="A1420" s="879"/>
      <c r="B1420" s="1133">
        <v>1170</v>
      </c>
      <c r="C1420" s="883">
        <v>1.0178992558028159</v>
      </c>
      <c r="D1420" s="883">
        <v>0.98491489760916351</v>
      </c>
      <c r="E1420" s="883">
        <v>0.98554039563217377</v>
      </c>
      <c r="F1420" s="883">
        <v>0.97826634405395485</v>
      </c>
      <c r="G1420" s="883">
        <v>0.97965809816524507</v>
      </c>
      <c r="H1420" s="883">
        <v>0.99110898261236258</v>
      </c>
      <c r="I1420" s="883">
        <v>0.99203874858883589</v>
      </c>
      <c r="K1420">
        <v>1.5772895080548544</v>
      </c>
      <c r="L1420">
        <v>0</v>
      </c>
      <c r="M1420">
        <v>6.3638074384380411E-3</v>
      </c>
      <c r="N1420">
        <v>0.11612984510549149</v>
      </c>
      <c r="O1420">
        <v>3.0501911096300311E-2</v>
      </c>
      <c r="P1420">
        <v>1.7729931862285796E-2</v>
      </c>
      <c r="Q1420">
        <v>0</v>
      </c>
      <c r="R1420">
        <v>6.3638074384380411E-3</v>
      </c>
      <c r="S1420">
        <v>0.16404710216725674</v>
      </c>
      <c r="T1420">
        <v>1.1604427122369223</v>
      </c>
      <c r="U1420">
        <v>0</v>
      </c>
      <c r="V1420">
        <v>1.5758047480779486E-2</v>
      </c>
      <c r="W1420">
        <v>6.1564507413183575E-2</v>
      </c>
      <c r="X1420">
        <v>-1.5089575623355795E-2</v>
      </c>
      <c r="Y1420">
        <v>2.6205026315989657E-2</v>
      </c>
    </row>
    <row r="1421" spans="1:25" x14ac:dyDescent="0.25">
      <c r="A1421" s="879"/>
      <c r="B1421" s="1133">
        <v>1171</v>
      </c>
      <c r="C1421" s="883">
        <v>0.95414464727262727</v>
      </c>
      <c r="D1421" s="883">
        <v>0.97691384801531345</v>
      </c>
      <c r="E1421" s="883">
        <v>0.99840946795415997</v>
      </c>
      <c r="F1421" s="883">
        <v>0.9889464406125833</v>
      </c>
      <c r="G1421" s="883">
        <v>1.0069471360667168</v>
      </c>
      <c r="H1421" s="883">
        <v>1.0125432266559109</v>
      </c>
      <c r="I1421" s="883">
        <v>0.97294324064510906</v>
      </c>
      <c r="K1421">
        <v>1.6195594708857266</v>
      </c>
      <c r="L1421">
        <v>0</v>
      </c>
      <c r="M1421">
        <v>6.8834084183056433E-3</v>
      </c>
      <c r="N1421">
        <v>0.128031027918691</v>
      </c>
      <c r="O1421">
        <v>3.263507895054811E-2</v>
      </c>
      <c r="P1421">
        <v>1.819583798311181E-2</v>
      </c>
      <c r="Q1421">
        <v>0</v>
      </c>
      <c r="R1421">
        <v>6.8834084183056433E-3</v>
      </c>
      <c r="S1421">
        <v>0.1730199146367658</v>
      </c>
      <c r="T1421">
        <v>1.1728747177035312</v>
      </c>
      <c r="U1421">
        <v>0</v>
      </c>
      <c r="V1421">
        <v>1.6115911973027246E-2</v>
      </c>
      <c r="W1421">
        <v>6.743991341951304E-2</v>
      </c>
      <c r="X1421">
        <v>-1.7097582365020247E-2</v>
      </c>
      <c r="Y1421">
        <v>2.8344650665557729E-2</v>
      </c>
    </row>
    <row r="1422" spans="1:25" x14ac:dyDescent="0.25">
      <c r="A1422" s="879"/>
      <c r="B1422" s="1133">
        <v>1172</v>
      </c>
      <c r="C1422" s="883">
        <v>1.0053508625674394</v>
      </c>
      <c r="D1422" s="883">
        <v>0.95760837943887178</v>
      </c>
      <c r="E1422" s="883">
        <v>1.0069584807414051</v>
      </c>
      <c r="F1422" s="883">
        <v>0.97080939290269408</v>
      </c>
      <c r="G1422" s="883">
        <v>0.99691400381552264</v>
      </c>
      <c r="H1422" s="883">
        <v>1.0130139032303569</v>
      </c>
      <c r="I1422" s="883">
        <v>1.0392108100455213</v>
      </c>
      <c r="K1422">
        <v>1.5906337023903816</v>
      </c>
      <c r="L1422">
        <v>0</v>
      </c>
      <c r="M1422">
        <v>6.5453288906861555E-3</v>
      </c>
      <c r="N1422">
        <v>0.12329415903567652</v>
      </c>
      <c r="O1422">
        <v>3.1213694103944853E-2</v>
      </c>
      <c r="P1422">
        <v>1.8054230377884697E-2</v>
      </c>
      <c r="Q1422">
        <v>0</v>
      </c>
      <c r="R1422">
        <v>6.5453288906861555E-3</v>
      </c>
      <c r="S1422">
        <v>0.17565938453654778</v>
      </c>
      <c r="T1422">
        <v>1.1512103184850919</v>
      </c>
      <c r="U1422">
        <v>0</v>
      </c>
      <c r="V1422">
        <v>1.5824895987329852E-2</v>
      </c>
      <c r="W1422">
        <v>6.4669931037806203E-2</v>
      </c>
      <c r="X1422">
        <v>-1.6245410520633854E-2</v>
      </c>
      <c r="Y1422">
        <v>2.6952499346733341E-2</v>
      </c>
    </row>
    <row r="1423" spans="1:25" x14ac:dyDescent="0.25">
      <c r="A1423" s="879"/>
      <c r="B1423" s="1133">
        <v>1173</v>
      </c>
      <c r="C1423" s="883">
        <v>1.0279908608941377</v>
      </c>
      <c r="D1423" s="883">
        <v>0.96519794017572913</v>
      </c>
      <c r="E1423" s="883">
        <v>1.0246610528778104</v>
      </c>
      <c r="F1423" s="883">
        <v>1.0044170834641146</v>
      </c>
      <c r="G1423" s="883">
        <v>1.0203412532653326</v>
      </c>
      <c r="H1423" s="883">
        <v>0.95151440367073292</v>
      </c>
      <c r="I1423" s="883">
        <v>1.023164727330703</v>
      </c>
      <c r="K1423">
        <v>1.6045593434950134</v>
      </c>
      <c r="L1423">
        <v>0</v>
      </c>
      <c r="M1423">
        <v>5.8992872863264795E-3</v>
      </c>
      <c r="N1423">
        <v>0.11407410628192953</v>
      </c>
      <c r="O1423">
        <v>3.0414348007594353E-2</v>
      </c>
      <c r="P1423">
        <v>1.8692287833105212E-2</v>
      </c>
      <c r="Q1423">
        <v>0</v>
      </c>
      <c r="R1423">
        <v>5.8992872863264795E-3</v>
      </c>
      <c r="S1423">
        <v>0.16546291932820326</v>
      </c>
      <c r="T1423">
        <v>1.1907339457125306</v>
      </c>
      <c r="U1423">
        <v>0</v>
      </c>
      <c r="V1423">
        <v>1.5705470912287346E-2</v>
      </c>
      <c r="W1423">
        <v>5.9313473096874958E-2</v>
      </c>
      <c r="X1423">
        <v>-1.4129422688611544E-2</v>
      </c>
      <c r="Y1423">
        <v>2.4292215011099082E-2</v>
      </c>
    </row>
    <row r="1424" spans="1:25" x14ac:dyDescent="0.25">
      <c r="A1424" s="879"/>
      <c r="B1424" s="1133">
        <v>1174</v>
      </c>
      <c r="C1424" s="883">
        <v>1.0383792506735394</v>
      </c>
      <c r="D1424" s="883">
        <v>1.0224574116213818</v>
      </c>
      <c r="E1424" s="883">
        <v>1.0295155779645455</v>
      </c>
      <c r="F1424" s="883">
        <v>1.0339011211286837</v>
      </c>
      <c r="G1424" s="883">
        <v>0.9871873060966565</v>
      </c>
      <c r="H1424" s="883">
        <v>0.99086298010030127</v>
      </c>
      <c r="I1424" s="883">
        <v>0.99469112859289388</v>
      </c>
      <c r="K1424">
        <v>1.6354619452544792</v>
      </c>
      <c r="L1424">
        <v>0</v>
      </c>
      <c r="M1424">
        <v>5.9022254427803893E-3</v>
      </c>
      <c r="N1424">
        <v>0.11495304127905318</v>
      </c>
      <c r="O1424">
        <v>2.9419590582973644E-2</v>
      </c>
      <c r="P1424">
        <v>1.9173184692898033E-2</v>
      </c>
      <c r="Q1424">
        <v>0</v>
      </c>
      <c r="R1424">
        <v>5.9022254427803893E-3</v>
      </c>
      <c r="S1424">
        <v>0.16091954851868187</v>
      </c>
      <c r="T1424">
        <v>1.2255945177097596</v>
      </c>
      <c r="U1424">
        <v>0</v>
      </c>
      <c r="V1424">
        <v>1.5652415582025059E-2</v>
      </c>
      <c r="W1424">
        <v>5.9628133564849924E-2</v>
      </c>
      <c r="X1424">
        <v>-1.4182800492165809E-2</v>
      </c>
      <c r="Y1424">
        <v>2.4304313816403935E-2</v>
      </c>
    </row>
    <row r="1425" spans="1:25" x14ac:dyDescent="0.25">
      <c r="A1425" s="879"/>
      <c r="B1425" s="1133">
        <v>1175</v>
      </c>
      <c r="C1425" s="883">
        <v>0.98188525710646102</v>
      </c>
      <c r="D1425" s="883">
        <v>1.0448444673243302</v>
      </c>
      <c r="E1425" s="883">
        <v>1.0017434492079795</v>
      </c>
      <c r="F1425" s="883">
        <v>1.0085639688987011</v>
      </c>
      <c r="G1425" s="883">
        <v>0.98743756250674419</v>
      </c>
      <c r="H1425" s="883">
        <v>1.0025943019294807</v>
      </c>
      <c r="I1425" s="883">
        <v>1.018418564668681</v>
      </c>
      <c r="K1425">
        <v>1.6299313541202736</v>
      </c>
      <c r="L1425">
        <v>0</v>
      </c>
      <c r="M1425">
        <v>6.4089821056010354E-3</v>
      </c>
      <c r="N1425">
        <v>0.11979696664884901</v>
      </c>
      <c r="O1425">
        <v>3.0868818331290269E-2</v>
      </c>
      <c r="P1425">
        <v>1.8572789384024367E-2</v>
      </c>
      <c r="Q1425">
        <v>0</v>
      </c>
      <c r="R1425">
        <v>6.4089821056010354E-3</v>
      </c>
      <c r="S1425">
        <v>0.17468934717808327</v>
      </c>
      <c r="T1425">
        <v>1.1960783012397762</v>
      </c>
      <c r="U1425">
        <v>0</v>
      </c>
      <c r="V1425">
        <v>1.5954488351046944E-2</v>
      </c>
      <c r="W1425">
        <v>6.2998255705861289E-2</v>
      </c>
      <c r="X1425">
        <v>-1.5418660273234498E-2</v>
      </c>
      <c r="Y1425">
        <v>2.6391047554575869E-2</v>
      </c>
    </row>
    <row r="1426" spans="1:25" x14ac:dyDescent="0.25">
      <c r="A1426" s="879"/>
      <c r="B1426" s="1133">
        <v>1176</v>
      </c>
      <c r="C1426" s="883">
        <v>1.009871098900722</v>
      </c>
      <c r="D1426" s="883">
        <v>0.98806299007276044</v>
      </c>
      <c r="E1426" s="883">
        <v>0.96640480461696643</v>
      </c>
      <c r="F1426" s="883">
        <v>1.0113009172393566</v>
      </c>
      <c r="G1426" s="883">
        <v>1.0033189107802605</v>
      </c>
      <c r="H1426" s="883">
        <v>1.0034009126587478</v>
      </c>
      <c r="I1426" s="883">
        <v>1.0195670178916387</v>
      </c>
      <c r="K1426">
        <v>1.6266761528133573</v>
      </c>
      <c r="L1426">
        <v>0</v>
      </c>
      <c r="M1426">
        <v>6.5937261305138517E-3</v>
      </c>
      <c r="N1426">
        <v>0.11695638690067199</v>
      </c>
      <c r="O1426">
        <v>3.0720035865119434E-2</v>
      </c>
      <c r="P1426">
        <v>1.8070777602484527E-2</v>
      </c>
      <c r="Q1426">
        <v>0</v>
      </c>
      <c r="R1426">
        <v>6.5937261305138517E-3</v>
      </c>
      <c r="S1426">
        <v>0.17060935053518519</v>
      </c>
      <c r="T1426">
        <v>1.1999907915725878</v>
      </c>
      <c r="U1426">
        <v>0</v>
      </c>
      <c r="V1426">
        <v>1.5800624097933095E-2</v>
      </c>
      <c r="W1426">
        <v>6.2600602646020784E-2</v>
      </c>
      <c r="X1426">
        <v>-1.5224206972602447E-2</v>
      </c>
      <c r="Y1426">
        <v>2.7151790565956239E-2</v>
      </c>
    </row>
    <row r="1427" spans="1:25" x14ac:dyDescent="0.25">
      <c r="A1427" s="879"/>
      <c r="B1427" s="1133">
        <v>1177</v>
      </c>
      <c r="C1427" s="883">
        <v>1.0231817066624762</v>
      </c>
      <c r="D1427" s="883">
        <v>0.99834795154223965</v>
      </c>
      <c r="E1427" s="883">
        <v>0.9791758163197225</v>
      </c>
      <c r="F1427" s="883">
        <v>0.9733662956780943</v>
      </c>
      <c r="G1427" s="883">
        <v>0.98146913245153322</v>
      </c>
      <c r="H1427" s="883">
        <v>1.016791594936493</v>
      </c>
      <c r="I1427" s="883">
        <v>0.99904122465269929</v>
      </c>
      <c r="K1427">
        <v>1.5749710764543952</v>
      </c>
      <c r="L1427">
        <v>0</v>
      </c>
      <c r="M1427">
        <v>6.4917851179105172E-3</v>
      </c>
      <c r="N1427">
        <v>0.11735203605062773</v>
      </c>
      <c r="O1427">
        <v>3.0185431923935007E-2</v>
      </c>
      <c r="P1427">
        <v>1.7589295159852279E-2</v>
      </c>
      <c r="Q1427">
        <v>0</v>
      </c>
      <c r="R1427">
        <v>6.4917851179105172E-3</v>
      </c>
      <c r="S1427">
        <v>0.16566681408605669</v>
      </c>
      <c r="T1427">
        <v>1.1547457729927932</v>
      </c>
      <c r="U1427">
        <v>0</v>
      </c>
      <c r="V1427">
        <v>1.5730396920040655E-2</v>
      </c>
      <c r="W1427">
        <v>6.241081746702707E-2</v>
      </c>
      <c r="X1427">
        <v>-1.5441503766816196E-2</v>
      </c>
      <c r="Y1427">
        <v>2.6732015620879537E-2</v>
      </c>
    </row>
    <row r="1428" spans="1:25" x14ac:dyDescent="0.25">
      <c r="A1428" s="879"/>
      <c r="B1428" s="1133">
        <v>1178</v>
      </c>
      <c r="C1428" s="883">
        <v>1.0403607532209536</v>
      </c>
      <c r="D1428" s="883">
        <v>0.993168972490998</v>
      </c>
      <c r="E1428" s="883">
        <v>0.9945737543253782</v>
      </c>
      <c r="F1428" s="883">
        <v>1.043058181704754</v>
      </c>
      <c r="G1428" s="883">
        <v>1.0059480487567141</v>
      </c>
      <c r="H1428" s="883">
        <v>1.0034168721078112</v>
      </c>
      <c r="I1428" s="883">
        <v>1.0376802145673687</v>
      </c>
      <c r="K1428">
        <v>1.6571811502085503</v>
      </c>
      <c r="L1428">
        <v>0</v>
      </c>
      <c r="M1428">
        <v>6.2309862762259926E-3</v>
      </c>
      <c r="N1428">
        <v>0.11523912489168929</v>
      </c>
      <c r="O1428">
        <v>2.9736755265961288E-2</v>
      </c>
      <c r="P1428">
        <v>1.893224727349074E-2</v>
      </c>
      <c r="Q1428">
        <v>0</v>
      </c>
      <c r="R1428">
        <v>6.2309862762259926E-3</v>
      </c>
      <c r="S1428">
        <v>0.16852894318699735</v>
      </c>
      <c r="T1428">
        <v>1.2371247989594056</v>
      </c>
      <c r="U1428">
        <v>0</v>
      </c>
      <c r="V1428">
        <v>1.5642416026085276E-2</v>
      </c>
      <c r="W1428">
        <v>6.0817731567399329E-2</v>
      </c>
      <c r="X1428">
        <v>-1.4498959373764771E-2</v>
      </c>
      <c r="Y1428">
        <v>2.5658092411285999E-2</v>
      </c>
    </row>
    <row r="1429" spans="1:25" x14ac:dyDescent="0.25">
      <c r="A1429" s="879"/>
      <c r="B1429" s="1133">
        <v>1179</v>
      </c>
      <c r="C1429" s="883">
        <v>0.98895077112111007</v>
      </c>
      <c r="D1429" s="883">
        <v>0.96711333692706825</v>
      </c>
      <c r="E1429" s="883">
        <v>0.98233461902812758</v>
      </c>
      <c r="F1429" s="883">
        <v>0.97640130154885396</v>
      </c>
      <c r="G1429" s="883">
        <v>1.0063407627209751</v>
      </c>
      <c r="H1429" s="883">
        <v>0.98649712765895481</v>
      </c>
      <c r="I1429" s="883">
        <v>1.0074364954314263</v>
      </c>
      <c r="K1429">
        <v>1.5896492465887149</v>
      </c>
      <c r="L1429">
        <v>0</v>
      </c>
      <c r="M1429">
        <v>6.5913416458477977E-3</v>
      </c>
      <c r="N1429">
        <v>0.11971142166550966</v>
      </c>
      <c r="O1429">
        <v>3.1627290990227312E-2</v>
      </c>
      <c r="P1429">
        <v>1.7756916427622903E-2</v>
      </c>
      <c r="Q1429">
        <v>0</v>
      </c>
      <c r="R1429">
        <v>6.5913416458477977E-3</v>
      </c>
      <c r="S1429">
        <v>0.17138288546653721</v>
      </c>
      <c r="T1429">
        <v>1.1582887484630842</v>
      </c>
      <c r="U1429">
        <v>0</v>
      </c>
      <c r="V1429">
        <v>1.5914820891224736E-2</v>
      </c>
      <c r="W1429">
        <v>6.3565013470030532E-2</v>
      </c>
      <c r="X1429">
        <v>-1.5739822468047254E-2</v>
      </c>
      <c r="Y1429">
        <v>2.7141971682523875E-2</v>
      </c>
    </row>
    <row r="1430" spans="1:25" x14ac:dyDescent="0.25">
      <c r="A1430" s="879"/>
      <c r="B1430" s="1133">
        <v>1180</v>
      </c>
      <c r="C1430" s="883">
        <v>1.0104577228243237</v>
      </c>
      <c r="D1430" s="883">
        <v>0.99780981011479608</v>
      </c>
      <c r="E1430" s="883">
        <v>1.0014945677369493</v>
      </c>
      <c r="F1430" s="883">
        <v>0.99652447096173236</v>
      </c>
      <c r="G1430" s="883">
        <v>0.97622955935831457</v>
      </c>
      <c r="H1430" s="883">
        <v>1.0044165031927681</v>
      </c>
      <c r="I1430" s="883">
        <v>0.98691773607237476</v>
      </c>
      <c r="K1430">
        <v>1.6038968631041279</v>
      </c>
      <c r="L1430">
        <v>0</v>
      </c>
      <c r="M1430">
        <v>6.3698127101305861E-3</v>
      </c>
      <c r="N1430">
        <v>0.11902092321603533</v>
      </c>
      <c r="O1430">
        <v>3.0553935920500829E-2</v>
      </c>
      <c r="P1430">
        <v>1.8246744896868047E-2</v>
      </c>
      <c r="Q1430">
        <v>0</v>
      </c>
      <c r="R1430">
        <v>6.3698127101305861E-3</v>
      </c>
      <c r="S1430">
        <v>0.16504490479997283</v>
      </c>
      <c r="T1430">
        <v>1.1818050022326361</v>
      </c>
      <c r="U1430">
        <v>0</v>
      </c>
      <c r="V1430">
        <v>1.5797490078245473E-2</v>
      </c>
      <c r="W1430">
        <v>6.2597885387328231E-2</v>
      </c>
      <c r="X1430">
        <v>-1.5399778383380226E-2</v>
      </c>
      <c r="Y1430">
        <v>2.6229754955921045E-2</v>
      </c>
    </row>
    <row r="1431" spans="1:25" x14ac:dyDescent="0.25">
      <c r="A1431" s="879"/>
      <c r="B1431" s="1133">
        <v>1181</v>
      </c>
      <c r="C1431" s="883">
        <v>1.011837049813914</v>
      </c>
      <c r="D1431" s="883">
        <v>1.0374674799871058</v>
      </c>
      <c r="E1431" s="883">
        <v>0.96285857186823853</v>
      </c>
      <c r="F1431" s="883">
        <v>0.98988526285558964</v>
      </c>
      <c r="G1431" s="883">
        <v>0.96849267276111173</v>
      </c>
      <c r="H1431" s="883">
        <v>1.0289785058676717</v>
      </c>
      <c r="I1431" s="883">
        <v>1.0213632390444063</v>
      </c>
      <c r="K1431">
        <v>1.6011820363507285</v>
      </c>
      <c r="L1431">
        <v>0</v>
      </c>
      <c r="M1431">
        <v>6.6238938092948885E-3</v>
      </c>
      <c r="N1431">
        <v>0.11687423014086822</v>
      </c>
      <c r="O1431">
        <v>3.0070343418468957E-2</v>
      </c>
      <c r="P1431">
        <v>1.7703510289991863E-2</v>
      </c>
      <c r="Q1431">
        <v>0</v>
      </c>
      <c r="R1431">
        <v>6.6238938092948885E-3</v>
      </c>
      <c r="S1431">
        <v>0.17155287722491167</v>
      </c>
      <c r="T1431">
        <v>1.1746451567963896</v>
      </c>
      <c r="U1431">
        <v>0</v>
      </c>
      <c r="V1431">
        <v>1.5790135385229338E-2</v>
      </c>
      <c r="W1431">
        <v>6.2668506257902573E-2</v>
      </c>
      <c r="X1431">
        <v>-1.5398738860563619E-2</v>
      </c>
      <c r="Y1431">
        <v>2.7276015697529896E-2</v>
      </c>
    </row>
    <row r="1432" spans="1:25" x14ac:dyDescent="0.25">
      <c r="A1432" s="879"/>
      <c r="B1432" s="1133">
        <v>1182</v>
      </c>
      <c r="C1432" s="883">
        <v>1.0017261994174647</v>
      </c>
      <c r="D1432" s="883">
        <v>1.0074457525768372</v>
      </c>
      <c r="E1432" s="883">
        <v>1.02105789342646</v>
      </c>
      <c r="F1432" s="883">
        <v>1.0267382750682588</v>
      </c>
      <c r="G1432" s="883">
        <v>1.0092174830592331</v>
      </c>
      <c r="H1432" s="883">
        <v>0.98527283023201551</v>
      </c>
      <c r="I1432" s="883">
        <v>1.001400520083408</v>
      </c>
      <c r="K1432">
        <v>1.641519863619451</v>
      </c>
      <c r="L1432">
        <v>0</v>
      </c>
      <c r="M1432">
        <v>6.1694421226586782E-3</v>
      </c>
      <c r="N1432">
        <v>0.11866402411489395</v>
      </c>
      <c r="O1432">
        <v>3.0684791166160266E-2</v>
      </c>
      <c r="P1432">
        <v>1.9035675088731357E-2</v>
      </c>
      <c r="Q1432">
        <v>0</v>
      </c>
      <c r="R1432">
        <v>6.1694421226586782E-3</v>
      </c>
      <c r="S1432">
        <v>0.16774340474238125</v>
      </c>
      <c r="T1432">
        <v>1.217264045872511</v>
      </c>
      <c r="U1432">
        <v>0</v>
      </c>
      <c r="V1432">
        <v>1.5844517252458168E-2</v>
      </c>
      <c r="W1432">
        <v>6.1809506810340933E-2</v>
      </c>
      <c r="X1432">
        <v>-1.4930765969372435E-2</v>
      </c>
      <c r="Y1432">
        <v>2.5404664541346773E-2</v>
      </c>
    </row>
    <row r="1433" spans="1:25" x14ac:dyDescent="0.25">
      <c r="A1433" s="879"/>
      <c r="B1433" s="1133">
        <v>1183</v>
      </c>
      <c r="C1433" s="883">
        <v>1.0054465493121323</v>
      </c>
      <c r="D1433" s="883">
        <v>1.0178220667464795</v>
      </c>
      <c r="E1433" s="883">
        <v>1.0111733627828665</v>
      </c>
      <c r="F1433" s="883">
        <v>1.0269865837047019</v>
      </c>
      <c r="G1433" s="883">
        <v>0.99175174168925673</v>
      </c>
      <c r="H1433" s="883">
        <v>1.0093517992891923</v>
      </c>
      <c r="I1433" s="883">
        <v>0.98194966798704186</v>
      </c>
      <c r="K1433">
        <v>1.6413229514286927</v>
      </c>
      <c r="L1433">
        <v>0</v>
      </c>
      <c r="M1433">
        <v>6.3225902966967283E-3</v>
      </c>
      <c r="N1433">
        <v>0.1198439462774496</v>
      </c>
      <c r="O1433">
        <v>3.0454968606984649E-2</v>
      </c>
      <c r="P1433">
        <v>1.8866433108879341E-2</v>
      </c>
      <c r="Q1433">
        <v>0</v>
      </c>
      <c r="R1433">
        <v>6.3225902966967283E-3</v>
      </c>
      <c r="S1433">
        <v>0.16512348027440413</v>
      </c>
      <c r="T1433">
        <v>1.2177463753220337</v>
      </c>
      <c r="U1433">
        <v>0</v>
      </c>
      <c r="V1433">
        <v>1.5824379926165269E-2</v>
      </c>
      <c r="W1433">
        <v>6.2729275091837677E-2</v>
      </c>
      <c r="X1433">
        <v>-1.5301208641738168E-2</v>
      </c>
      <c r="Y1433">
        <v>2.6035301462676678E-2</v>
      </c>
    </row>
    <row r="1434" spans="1:25" x14ac:dyDescent="0.25">
      <c r="A1434" s="879"/>
      <c r="B1434" s="1133">
        <v>1184</v>
      </c>
      <c r="C1434" s="883">
        <v>0.9910622064070268</v>
      </c>
      <c r="D1434" s="883">
        <v>0.96344713845615848</v>
      </c>
      <c r="E1434" s="883">
        <v>1.0249075017447336</v>
      </c>
      <c r="F1434" s="883">
        <v>1.034035580806836</v>
      </c>
      <c r="G1434" s="883">
        <v>0.9785599158036945</v>
      </c>
      <c r="H1434" s="883">
        <v>1.0367769229389248</v>
      </c>
      <c r="I1434" s="883">
        <v>0.97287494620100001</v>
      </c>
      <c r="K1434">
        <v>1.6674289883912015</v>
      </c>
      <c r="L1434">
        <v>0</v>
      </c>
      <c r="M1434">
        <v>6.6713930459653247E-3</v>
      </c>
      <c r="N1434">
        <v>0.1290512843647697</v>
      </c>
      <c r="O1434">
        <v>3.1570324354505221E-2</v>
      </c>
      <c r="P1434">
        <v>1.9213324775324534E-2</v>
      </c>
      <c r="Q1434">
        <v>0</v>
      </c>
      <c r="R1434">
        <v>6.6713930459653247E-3</v>
      </c>
      <c r="S1434">
        <v>0.16814464262938378</v>
      </c>
      <c r="T1434">
        <v>1.2258418920503253</v>
      </c>
      <c r="U1434">
        <v>0</v>
      </c>
      <c r="V1434">
        <v>1.5903076561712342E-2</v>
      </c>
      <c r="W1434">
        <v>6.709281146976534E-2</v>
      </c>
      <c r="X1434">
        <v>-1.6859976914175935E-2</v>
      </c>
      <c r="Y1434">
        <v>2.7471609099589803E-2</v>
      </c>
    </row>
    <row r="1435" spans="1:25" x14ac:dyDescent="0.25">
      <c r="A1435" s="879"/>
      <c r="B1435" s="1133">
        <v>1185</v>
      </c>
      <c r="C1435" s="883">
        <v>0.96546614607028425</v>
      </c>
      <c r="D1435" s="883">
        <v>1.0121319592591684</v>
      </c>
      <c r="E1435" s="883">
        <v>0.99865695782898301</v>
      </c>
      <c r="F1435" s="883">
        <v>1.0037466840350606</v>
      </c>
      <c r="G1435" s="883">
        <v>0.99795843542591445</v>
      </c>
      <c r="H1435" s="883">
        <v>0.99019021174941302</v>
      </c>
      <c r="I1435" s="883">
        <v>1.0036928920218608</v>
      </c>
      <c r="K1435">
        <v>1.6285051561462154</v>
      </c>
      <c r="L1435">
        <v>0</v>
      </c>
      <c r="M1435">
        <v>6.5468015871826442E-3</v>
      </c>
      <c r="N1435">
        <v>0.1218148191587374</v>
      </c>
      <c r="O1435">
        <v>3.1798491895476774E-2</v>
      </c>
      <c r="P1435">
        <v>1.8454799909706474E-2</v>
      </c>
      <c r="Q1435">
        <v>0</v>
      </c>
      <c r="R1435">
        <v>6.5468015871826442E-3</v>
      </c>
      <c r="S1435">
        <v>0.17466531445214792</v>
      </c>
      <c r="T1435">
        <v>1.1904229520402252</v>
      </c>
      <c r="U1435">
        <v>0</v>
      </c>
      <c r="V1435">
        <v>1.6048911372146108E-2</v>
      </c>
      <c r="W1435">
        <v>6.4157655411004696E-2</v>
      </c>
      <c r="X1435">
        <v>-1.5816351742005158E-2</v>
      </c>
      <c r="Y1435">
        <v>2.695856364877568E-2</v>
      </c>
    </row>
    <row r="1436" spans="1:25" x14ac:dyDescent="0.25">
      <c r="A1436" s="879"/>
      <c r="B1436" s="1133">
        <v>1186</v>
      </c>
      <c r="C1436" s="883">
        <v>1.0299920527026329</v>
      </c>
      <c r="D1436" s="883">
        <v>0.9907252099183782</v>
      </c>
      <c r="E1436" s="883">
        <v>0.98166377881118494</v>
      </c>
      <c r="F1436" s="883">
        <v>0.9820721601065775</v>
      </c>
      <c r="G1436" s="883">
        <v>1.0023976097504195</v>
      </c>
      <c r="H1436" s="883">
        <v>1.0362797607369745</v>
      </c>
      <c r="I1436" s="883">
        <v>1.0002482440222804</v>
      </c>
      <c r="K1436">
        <v>1.5886443472443192</v>
      </c>
      <c r="L1436">
        <v>0</v>
      </c>
      <c r="M1436">
        <v>6.5806900116498097E-3</v>
      </c>
      <c r="N1436">
        <v>0.11939908668199634</v>
      </c>
      <c r="O1436">
        <v>3.007599376855985E-2</v>
      </c>
      <c r="P1436">
        <v>1.7761990594289401E-2</v>
      </c>
      <c r="Q1436">
        <v>0</v>
      </c>
      <c r="R1436">
        <v>6.5806900116498097E-3</v>
      </c>
      <c r="S1436">
        <v>0.16595417966597883</v>
      </c>
      <c r="T1436">
        <v>1.1650282903805149</v>
      </c>
      <c r="U1436">
        <v>0</v>
      </c>
      <c r="V1436">
        <v>1.5695167249662013E-2</v>
      </c>
      <c r="W1436">
        <v>6.3420449884975749E-2</v>
      </c>
      <c r="X1436">
        <v>-1.5788921130473865E-2</v>
      </c>
      <c r="Y1436">
        <v>2.709811014881677E-2</v>
      </c>
    </row>
    <row r="1437" spans="1:25" x14ac:dyDescent="0.25">
      <c r="A1437" s="879"/>
      <c r="B1437" s="1133">
        <v>1187</v>
      </c>
      <c r="C1437" s="883">
        <v>0.98578098111580081</v>
      </c>
      <c r="D1437" s="883">
        <v>1.0062176982987112</v>
      </c>
      <c r="E1437" s="883">
        <v>0.99534224716302522</v>
      </c>
      <c r="F1437" s="883">
        <v>0.99975820613882393</v>
      </c>
      <c r="G1437" s="883">
        <v>1.0014673744429528</v>
      </c>
      <c r="H1437" s="883">
        <v>1.0143960308840376</v>
      </c>
      <c r="I1437" s="883">
        <v>1.0160776113755383</v>
      </c>
      <c r="K1437">
        <v>1.6239210901823389</v>
      </c>
      <c r="L1437">
        <v>0</v>
      </c>
      <c r="M1437">
        <v>6.6049039745585784E-3</v>
      </c>
      <c r="N1437">
        <v>0.12229375986237316</v>
      </c>
      <c r="O1437">
        <v>3.1219110634234288E-2</v>
      </c>
      <c r="P1437">
        <v>1.8344735072701016E-2</v>
      </c>
      <c r="Q1437">
        <v>0</v>
      </c>
      <c r="R1437">
        <v>6.6049039745585784E-3</v>
      </c>
      <c r="S1437">
        <v>0.17467430332851674</v>
      </c>
      <c r="T1437">
        <v>1.1857543325584647</v>
      </c>
      <c r="U1437">
        <v>0</v>
      </c>
      <c r="V1437">
        <v>1.5932546510799561E-2</v>
      </c>
      <c r="W1437">
        <v>6.4516153818614155E-2</v>
      </c>
      <c r="X1437">
        <v>-1.6011670541515879E-2</v>
      </c>
      <c r="Y1437">
        <v>2.7197818938150355E-2</v>
      </c>
    </row>
    <row r="1438" spans="1:25" x14ac:dyDescent="0.25">
      <c r="A1438" s="879"/>
      <c r="B1438" s="1133">
        <v>1188</v>
      </c>
      <c r="C1438" s="883">
        <v>0.99147337369983268</v>
      </c>
      <c r="D1438" s="883">
        <v>1.0168703472841656</v>
      </c>
      <c r="E1438" s="883">
        <v>1.0150195278533245</v>
      </c>
      <c r="F1438" s="883">
        <v>1.0058416098479634</v>
      </c>
      <c r="G1438" s="883">
        <v>1.0302645465907059</v>
      </c>
      <c r="H1438" s="883">
        <v>1.0296341178045778</v>
      </c>
      <c r="I1438" s="883">
        <v>0.99641695614207093</v>
      </c>
      <c r="K1438">
        <v>1.6290644872672617</v>
      </c>
      <c r="L1438">
        <v>0</v>
      </c>
      <c r="M1438">
        <v>6.5212841760375609E-3</v>
      </c>
      <c r="N1438">
        <v>0.12431582254354545</v>
      </c>
      <c r="O1438">
        <v>3.0892313305293767E-2</v>
      </c>
      <c r="P1438">
        <v>1.8662894942728613E-2</v>
      </c>
      <c r="Q1438">
        <v>0</v>
      </c>
      <c r="R1438">
        <v>6.5212841760375609E-3</v>
      </c>
      <c r="S1438">
        <v>0.17110446743704677</v>
      </c>
      <c r="T1438">
        <v>1.1926021070894997</v>
      </c>
      <c r="U1438">
        <v>0</v>
      </c>
      <c r="V1438">
        <v>1.590079536555692E-2</v>
      </c>
      <c r="W1438">
        <v>6.4946453422157865E-2</v>
      </c>
      <c r="X1438">
        <v>-1.621385433017862E-2</v>
      </c>
      <c r="Y1438">
        <v>2.6853487491610092E-2</v>
      </c>
    </row>
    <row r="1439" spans="1:25" x14ac:dyDescent="0.25">
      <c r="A1439" s="879"/>
      <c r="B1439" s="1133">
        <v>1189</v>
      </c>
      <c r="C1439" s="883">
        <v>1.0010075351061858</v>
      </c>
      <c r="D1439" s="883">
        <v>1.0118036061630964</v>
      </c>
      <c r="E1439" s="883">
        <v>0.99770534810624889</v>
      </c>
      <c r="F1439" s="883">
        <v>1.0065816123204161</v>
      </c>
      <c r="G1439" s="883">
        <v>0.98635547357249032</v>
      </c>
      <c r="H1439" s="883">
        <v>0.96755360797621837</v>
      </c>
      <c r="I1439" s="883">
        <v>0.9723270042467731</v>
      </c>
      <c r="K1439">
        <v>1.6066940487773014</v>
      </c>
      <c r="L1439">
        <v>0</v>
      </c>
      <c r="M1439">
        <v>6.1760251519961951E-3</v>
      </c>
      <c r="N1439">
        <v>0.1147539528523934</v>
      </c>
      <c r="O1439">
        <v>3.0674248055121155E-2</v>
      </c>
      <c r="P1439">
        <v>1.831362455379756E-2</v>
      </c>
      <c r="Q1439">
        <v>0</v>
      </c>
      <c r="R1439">
        <v>6.1760251519961951E-3</v>
      </c>
      <c r="S1439">
        <v>0.16193307228313131</v>
      </c>
      <c r="T1439">
        <v>1.1938029287000251</v>
      </c>
      <c r="U1439">
        <v>0</v>
      </c>
      <c r="V1439">
        <v>1.5848424453339092E-2</v>
      </c>
      <c r="W1439">
        <v>6.0467416696596388E-2</v>
      </c>
      <c r="X1439">
        <v>-1.4531391101526464E-2</v>
      </c>
      <c r="Y1439">
        <v>2.5431772284423129E-2</v>
      </c>
    </row>
    <row r="1440" spans="1:25" x14ac:dyDescent="0.25">
      <c r="A1440" s="879"/>
      <c r="B1440" s="1133">
        <v>1190</v>
      </c>
      <c r="C1440" s="883">
        <v>1.0202272667937609</v>
      </c>
      <c r="D1440" s="883">
        <v>1.0115089990769279</v>
      </c>
      <c r="E1440" s="883">
        <v>0.98563465846164711</v>
      </c>
      <c r="F1440" s="883">
        <v>1.0316779086920469</v>
      </c>
      <c r="G1440" s="883">
        <v>1.0000530491621442</v>
      </c>
      <c r="H1440" s="883">
        <v>0.97044264377527933</v>
      </c>
      <c r="I1440" s="883">
        <v>0.9767349323081943</v>
      </c>
      <c r="K1440">
        <v>1.630726140708747</v>
      </c>
      <c r="L1440">
        <v>0</v>
      </c>
      <c r="M1440">
        <v>6.1429354799076574E-3</v>
      </c>
      <c r="N1440">
        <v>0.11211493880081264</v>
      </c>
      <c r="O1440">
        <v>3.0109630135373783E-2</v>
      </c>
      <c r="P1440">
        <v>1.8512116839480165E-2</v>
      </c>
      <c r="Q1440">
        <v>0</v>
      </c>
      <c r="R1440">
        <v>6.1429354799076574E-3</v>
      </c>
      <c r="S1440">
        <v>0.15975255730173793</v>
      </c>
      <c r="T1440">
        <v>1.2237989619978833</v>
      </c>
      <c r="U1440">
        <v>0</v>
      </c>
      <c r="V1440">
        <v>1.5745826407614991E-2</v>
      </c>
      <c r="W1440">
        <v>5.9433265828281727E-2</v>
      </c>
      <c r="X1440">
        <v>-1.4036671506942603E-2</v>
      </c>
      <c r="Y1440">
        <v>2.5295514904504601E-2</v>
      </c>
    </row>
    <row r="1441" spans="1:25" x14ac:dyDescent="0.25">
      <c r="A1441" s="879"/>
      <c r="B1441" s="1133">
        <v>1191</v>
      </c>
      <c r="C1441" s="883">
        <v>0.96912895948024458</v>
      </c>
      <c r="D1441" s="883">
        <v>0.99008511296753887</v>
      </c>
      <c r="E1441" s="883">
        <v>0.98763470634582262</v>
      </c>
      <c r="F1441" s="883">
        <v>1.0148786164121983</v>
      </c>
      <c r="G1441" s="883">
        <v>0.99586065215764918</v>
      </c>
      <c r="H1441" s="883">
        <v>0.99346650393301483</v>
      </c>
      <c r="I1441" s="883">
        <v>0.98832516228495781</v>
      </c>
      <c r="K1441">
        <v>1.6403654732397284</v>
      </c>
      <c r="L1441">
        <v>0</v>
      </c>
      <c r="M1441">
        <v>6.672118346571887E-3</v>
      </c>
      <c r="N1441">
        <v>0.12213478600995215</v>
      </c>
      <c r="O1441">
        <v>3.1968099069736529E-2</v>
      </c>
      <c r="P1441">
        <v>1.8438968742930974E-2</v>
      </c>
      <c r="Q1441">
        <v>0</v>
      </c>
      <c r="R1441">
        <v>6.672118346571887E-3</v>
      </c>
      <c r="S1441">
        <v>0.1717455884963151</v>
      </c>
      <c r="T1441">
        <v>1.2038334299937798</v>
      </c>
      <c r="U1441">
        <v>0</v>
      </c>
      <c r="V1441">
        <v>1.6027570006080575E-2</v>
      </c>
      <c r="W1441">
        <v>6.4680257951867923E-2</v>
      </c>
      <c r="X1441">
        <v>-1.5937822789324724E-2</v>
      </c>
      <c r="Y1441">
        <v>2.7474595758388929E-2</v>
      </c>
    </row>
    <row r="1442" spans="1:25" x14ac:dyDescent="0.25">
      <c r="A1442" s="879"/>
      <c r="B1442" s="1133">
        <v>1192</v>
      </c>
      <c r="C1442" s="883">
        <v>1.0326076315483388</v>
      </c>
      <c r="D1442" s="883">
        <v>0.97787700835354763</v>
      </c>
      <c r="E1442" s="883">
        <v>1.0232595073654775</v>
      </c>
      <c r="F1442" s="883">
        <v>1.0122617067829411</v>
      </c>
      <c r="G1442" s="883">
        <v>0.98458591635207415</v>
      </c>
      <c r="H1442" s="883">
        <v>1.0170786703308536</v>
      </c>
      <c r="I1442" s="883">
        <v>1.0138360358961394</v>
      </c>
      <c r="K1442">
        <v>1.6251867547273049</v>
      </c>
      <c r="L1442">
        <v>0</v>
      </c>
      <c r="M1442">
        <v>6.2487544524864472E-3</v>
      </c>
      <c r="N1442">
        <v>0.12058154172082872</v>
      </c>
      <c r="O1442">
        <v>3.0121976633124221E-2</v>
      </c>
      <c r="P1442">
        <v>1.8818606746441757E-2</v>
      </c>
      <c r="Q1442">
        <v>0</v>
      </c>
      <c r="R1442">
        <v>6.2487544524864472E-3</v>
      </c>
      <c r="S1442">
        <v>0.16686904885381099</v>
      </c>
      <c r="T1442">
        <v>1.2000599446030455</v>
      </c>
      <c r="U1442">
        <v>0</v>
      </c>
      <c r="V1442">
        <v>1.568176046440738E-2</v>
      </c>
      <c r="W1442">
        <v>6.2740281244055035E-2</v>
      </c>
      <c r="X1442">
        <v>-1.5417664136918844E-2</v>
      </c>
      <c r="Y1442">
        <v>2.5731258598509079E-2</v>
      </c>
    </row>
    <row r="1443" spans="1:25" x14ac:dyDescent="0.25">
      <c r="A1443" s="879"/>
      <c r="B1443" s="1133">
        <v>1193</v>
      </c>
      <c r="C1443" s="883">
        <v>0.99141230992012486</v>
      </c>
      <c r="D1443" s="883">
        <v>0.96823562457972367</v>
      </c>
      <c r="E1443" s="883">
        <v>1.0381788040367321</v>
      </c>
      <c r="F1443" s="883">
        <v>1.025707818968185</v>
      </c>
      <c r="G1443" s="883">
        <v>1.0046246842067093</v>
      </c>
      <c r="H1443" s="883">
        <v>1.0299047568635524</v>
      </c>
      <c r="I1443" s="883">
        <v>1.0105095293373059</v>
      </c>
      <c r="K1443">
        <v>1.662249440443238</v>
      </c>
      <c r="L1443">
        <v>0</v>
      </c>
      <c r="M1443">
        <v>6.5337196677015307E-3</v>
      </c>
      <c r="N1443">
        <v>0.12889175645860301</v>
      </c>
      <c r="O1443">
        <v>3.1483873210437163E-2</v>
      </c>
      <c r="P1443">
        <v>1.9345447182871688E-2</v>
      </c>
      <c r="Q1443">
        <v>0</v>
      </c>
      <c r="R1443">
        <v>6.5337196677015307E-3</v>
      </c>
      <c r="S1443">
        <v>0.17413060746742043</v>
      </c>
      <c r="T1443">
        <v>1.2157182951381305</v>
      </c>
      <c r="U1443">
        <v>0</v>
      </c>
      <c r="V1443">
        <v>1.5901134033711257E-2</v>
      </c>
      <c r="W1443">
        <v>6.6575281217360838E-2</v>
      </c>
      <c r="X1443">
        <v>-1.6701648898143889E-2</v>
      </c>
      <c r="Y1443">
        <v>2.690469463284733E-2</v>
      </c>
    </row>
    <row r="1444" spans="1:25" x14ac:dyDescent="0.25">
      <c r="A1444" s="879"/>
      <c r="B1444" s="1133">
        <v>1194</v>
      </c>
      <c r="C1444" s="883">
        <v>0.96594097141184687</v>
      </c>
      <c r="D1444" s="883">
        <v>1.0220909533347848</v>
      </c>
      <c r="E1444" s="883">
        <v>0.98331820635907696</v>
      </c>
      <c r="F1444" s="883">
        <v>1.0237283081745812</v>
      </c>
      <c r="G1444" s="883">
        <v>0.98866235098327726</v>
      </c>
      <c r="H1444" s="883">
        <v>1.0187222317316844</v>
      </c>
      <c r="I1444" s="883">
        <v>0.99864948454483804</v>
      </c>
      <c r="K1444">
        <v>1.6568551463960464</v>
      </c>
      <c r="L1444">
        <v>0</v>
      </c>
      <c r="M1444">
        <v>6.7931537215395943E-3</v>
      </c>
      <c r="N1444">
        <v>0.12355685728432336</v>
      </c>
      <c r="O1444">
        <v>3.1671607435262088E-2</v>
      </c>
      <c r="P1444">
        <v>1.8564676323526787E-2</v>
      </c>
      <c r="Q1444">
        <v>0</v>
      </c>
      <c r="R1444">
        <v>6.7931537215395943E-3</v>
      </c>
      <c r="S1444">
        <v>0.17528162600807887</v>
      </c>
      <c r="T1444">
        <v>1.214413205773635</v>
      </c>
      <c r="U1444">
        <v>0</v>
      </c>
      <c r="V1444">
        <v>1.6046135673632198E-2</v>
      </c>
      <c r="W1444">
        <v>6.5574617912435601E-2</v>
      </c>
      <c r="X1444">
        <v>-1.6226577903860284E-2</v>
      </c>
      <c r="Y1444">
        <v>2.7972997889012308E-2</v>
      </c>
    </row>
    <row r="1445" spans="1:25" x14ac:dyDescent="0.25">
      <c r="A1445" s="879"/>
      <c r="B1445" s="1133">
        <v>1195</v>
      </c>
      <c r="C1445" s="883">
        <v>1.0007379833832815</v>
      </c>
      <c r="D1445" s="883">
        <v>0.99679207179453144</v>
      </c>
      <c r="E1445" s="883">
        <v>1.0047304807627135</v>
      </c>
      <c r="F1445" s="883">
        <v>0.98674494749338382</v>
      </c>
      <c r="G1445" s="883">
        <v>1.0204638654484846</v>
      </c>
      <c r="H1445" s="883">
        <v>0.97485923348467296</v>
      </c>
      <c r="I1445" s="883">
        <v>0.96453787725258211</v>
      </c>
      <c r="K1445">
        <v>1.5851402983082632</v>
      </c>
      <c r="L1445">
        <v>0</v>
      </c>
      <c r="M1445">
        <v>6.2276204665863066E-3</v>
      </c>
      <c r="N1445">
        <v>0.11692309233537836</v>
      </c>
      <c r="O1445">
        <v>3.0860503650365481E-2</v>
      </c>
      <c r="P1445">
        <v>1.8084372186060103E-2</v>
      </c>
      <c r="Q1445">
        <v>0</v>
      </c>
      <c r="R1445">
        <v>6.2276204665863066E-3</v>
      </c>
      <c r="S1445">
        <v>0.16122835642094802</v>
      </c>
      <c r="T1445">
        <v>1.1701479045575494</v>
      </c>
      <c r="U1445">
        <v>0</v>
      </c>
      <c r="V1445">
        <v>1.5849891386825389E-2</v>
      </c>
      <c r="W1445">
        <v>6.1395930928910589E-2</v>
      </c>
      <c r="X1445">
        <v>-1.4993985764056859E-2</v>
      </c>
      <c r="Y1445">
        <v>2.5644232606281559E-2</v>
      </c>
    </row>
    <row r="1446" spans="1:25" x14ac:dyDescent="0.25">
      <c r="A1446" s="879"/>
      <c r="B1446" s="1133">
        <v>1196</v>
      </c>
      <c r="C1446" s="883">
        <v>0.97555653873223802</v>
      </c>
      <c r="D1446" s="883">
        <v>0.98651043166375629</v>
      </c>
      <c r="E1446" s="883">
        <v>1.0229569512365535</v>
      </c>
      <c r="F1446" s="883">
        <v>1.029755935396272</v>
      </c>
      <c r="G1446" s="883">
        <v>1.0208201019851686</v>
      </c>
      <c r="H1446" s="883">
        <v>1.0060581486739748</v>
      </c>
      <c r="I1446" s="883">
        <v>1.0118797306841292</v>
      </c>
      <c r="K1446">
        <v>1.6651203193622677</v>
      </c>
      <c r="L1446">
        <v>0</v>
      </c>
      <c r="M1446">
        <v>6.5186169833323622E-3</v>
      </c>
      <c r="N1446">
        <v>0.12573277626406779</v>
      </c>
      <c r="O1446">
        <v>3.177190717761702E-2</v>
      </c>
      <c r="P1446">
        <v>1.9218731289433789E-2</v>
      </c>
      <c r="Q1446">
        <v>0</v>
      </c>
      <c r="R1446">
        <v>6.5186169833323622E-3</v>
      </c>
      <c r="S1446">
        <v>0.17551981065713587</v>
      </c>
      <c r="T1446">
        <v>1.2208055207133262</v>
      </c>
      <c r="U1446">
        <v>0</v>
      </c>
      <c r="V1446">
        <v>1.5990507100289701E-2</v>
      </c>
      <c r="W1446">
        <v>6.5430279864613097E-2</v>
      </c>
      <c r="X1446">
        <v>-1.6191718171008038E-2</v>
      </c>
      <c r="Y1446">
        <v>2.6842504466792691E-2</v>
      </c>
    </row>
    <row r="1447" spans="1:25" x14ac:dyDescent="0.25">
      <c r="A1447" s="879"/>
      <c r="B1447" s="1133">
        <v>1197</v>
      </c>
      <c r="C1447" s="883">
        <v>0.96711586302804331</v>
      </c>
      <c r="D1447" s="883">
        <v>0.99596513711426249</v>
      </c>
      <c r="E1447" s="883">
        <v>1.0083801711364113</v>
      </c>
      <c r="F1447" s="883">
        <v>1.0185666322318525</v>
      </c>
      <c r="G1447" s="883">
        <v>1.0186641703143429</v>
      </c>
      <c r="H1447" s="883">
        <v>1.0043300098945473</v>
      </c>
      <c r="I1447" s="883">
        <v>0.97388145219069266</v>
      </c>
      <c r="K1447">
        <v>1.6462014761273911</v>
      </c>
      <c r="L1447">
        <v>0</v>
      </c>
      <c r="M1447">
        <v>6.6202398520448661E-3</v>
      </c>
      <c r="N1447">
        <v>0.12496803706915523</v>
      </c>
      <c r="O1447">
        <v>3.1940693118788825E-2</v>
      </c>
      <c r="P1447">
        <v>1.876438033714084E-2</v>
      </c>
      <c r="Q1447">
        <v>0</v>
      </c>
      <c r="R1447">
        <v>6.6202398520448661E-3</v>
      </c>
      <c r="S1447">
        <v>0.17018536136558879</v>
      </c>
      <c r="T1447">
        <v>1.2078151958685646</v>
      </c>
      <c r="U1447">
        <v>0</v>
      </c>
      <c r="V1447">
        <v>1.6039279295652849E-2</v>
      </c>
      <c r="W1447">
        <v>6.5501789470161623E-2</v>
      </c>
      <c r="X1447">
        <v>-1.6274229749616568E-2</v>
      </c>
      <c r="Y1447">
        <v>2.7260969351954448E-2</v>
      </c>
    </row>
    <row r="1448" spans="1:25" x14ac:dyDescent="0.25">
      <c r="A1448" s="879"/>
      <c r="B1448" s="1133">
        <v>1198</v>
      </c>
      <c r="C1448" s="883">
        <v>1.0112493913117431</v>
      </c>
      <c r="D1448" s="883">
        <v>1.024796785344525</v>
      </c>
      <c r="E1448" s="883">
        <v>1.0186825003086895</v>
      </c>
      <c r="F1448" s="883">
        <v>1.0060630558823784</v>
      </c>
      <c r="G1448" s="883">
        <v>1.0041157613954141</v>
      </c>
      <c r="H1448" s="883">
        <v>1.0281201274268859</v>
      </c>
      <c r="I1448" s="883">
        <v>0.99217793674516241</v>
      </c>
      <c r="K1448">
        <v>1.6196889008944577</v>
      </c>
      <c r="L1448">
        <v>0</v>
      </c>
      <c r="M1448">
        <v>6.3419421082066569E-3</v>
      </c>
      <c r="N1448">
        <v>0.12155403251698589</v>
      </c>
      <c r="O1448">
        <v>3.0191028041636193E-2</v>
      </c>
      <c r="P1448">
        <v>1.865783101351572E-2</v>
      </c>
      <c r="Q1448">
        <v>0</v>
      </c>
      <c r="R1448">
        <v>6.3419421082066569E-3</v>
      </c>
      <c r="S1448">
        <v>0.16688308595679111</v>
      </c>
      <c r="T1448">
        <v>1.1927964537805307</v>
      </c>
      <c r="U1448">
        <v>0</v>
      </c>
      <c r="V1448">
        <v>1.5793266379075112E-2</v>
      </c>
      <c r="W1448">
        <v>6.3388981434595384E-2</v>
      </c>
      <c r="X1448">
        <v>-1.5690767006652746E-2</v>
      </c>
      <c r="Y1448">
        <v>2.6114988777980516E-2</v>
      </c>
    </row>
    <row r="1449" spans="1:25" x14ac:dyDescent="0.25">
      <c r="A1449" s="879"/>
      <c r="B1449" s="1133">
        <v>1199</v>
      </c>
      <c r="C1449" s="883">
        <v>1.0089974474799153</v>
      </c>
      <c r="D1449" s="883">
        <v>0.99282589977723124</v>
      </c>
      <c r="E1449" s="883">
        <v>0.97698794988643511</v>
      </c>
      <c r="F1449" s="883">
        <v>0.98754629680606987</v>
      </c>
      <c r="G1449" s="883">
        <v>0.98208941308364617</v>
      </c>
      <c r="H1449" s="883">
        <v>1.0150022895698998</v>
      </c>
      <c r="I1449" s="883">
        <v>0.97497219492728304</v>
      </c>
      <c r="K1449">
        <v>1.5935015790783884</v>
      </c>
      <c r="L1449">
        <v>0</v>
      </c>
      <c r="M1449">
        <v>6.6003150254779893E-3</v>
      </c>
      <c r="N1449">
        <v>0.11892720071662242</v>
      </c>
      <c r="O1449">
        <v>3.0679470111594088E-2</v>
      </c>
      <c r="P1449">
        <v>1.7758897782425582E-2</v>
      </c>
      <c r="Q1449">
        <v>0</v>
      </c>
      <c r="R1449">
        <v>6.6003150254779893E-3</v>
      </c>
      <c r="S1449">
        <v>0.16390275680868588</v>
      </c>
      <c r="T1449">
        <v>1.1716084728093372</v>
      </c>
      <c r="U1449">
        <v>0</v>
      </c>
      <c r="V1449">
        <v>1.5805298307903674E-2</v>
      </c>
      <c r="W1449">
        <v>6.3317910650381851E-2</v>
      </c>
      <c r="X1449">
        <v>-1.5677350571202019E-2</v>
      </c>
      <c r="Y1449">
        <v>2.7178922462638977E-2</v>
      </c>
    </row>
    <row r="1450" spans="1:25" x14ac:dyDescent="0.25">
      <c r="A1450" s="879"/>
      <c r="B1450" s="1133">
        <v>1200</v>
      </c>
      <c r="C1450" s="883">
        <v>1.0148753455805226</v>
      </c>
      <c r="D1450" s="883">
        <v>1.0301765335472546</v>
      </c>
      <c r="E1450" s="883">
        <v>1.007975479306281</v>
      </c>
      <c r="F1450" s="883">
        <v>1.0229456516445288</v>
      </c>
      <c r="G1450" s="883">
        <v>0.99043728421563926</v>
      </c>
      <c r="H1450" s="883">
        <v>0.99584911524131126</v>
      </c>
      <c r="I1450" s="883">
        <v>1.0021456989264705</v>
      </c>
      <c r="K1450">
        <v>1.6316234434126557</v>
      </c>
      <c r="L1450">
        <v>0</v>
      </c>
      <c r="M1450">
        <v>6.1641442100090031E-3</v>
      </c>
      <c r="N1450">
        <v>0.11628877446708487</v>
      </c>
      <c r="O1450">
        <v>3.0029500512491189E-2</v>
      </c>
      <c r="P1450">
        <v>1.8769569655963426E-2</v>
      </c>
      <c r="Q1450">
        <v>0</v>
      </c>
      <c r="R1450">
        <v>6.1641442100090031E-3</v>
      </c>
      <c r="S1450">
        <v>0.16606900899578694</v>
      </c>
      <c r="T1450">
        <v>1.2130155112857131</v>
      </c>
      <c r="U1450">
        <v>0</v>
      </c>
      <c r="V1450">
        <v>1.5774005443088449E-2</v>
      </c>
      <c r="W1450">
        <v>6.0964779197496724E-2</v>
      </c>
      <c r="X1450">
        <v>-1.4670554825016991E-2</v>
      </c>
      <c r="Y1450">
        <v>2.5382848680048708E-2</v>
      </c>
    </row>
    <row r="1451" spans="1:25" x14ac:dyDescent="0.25">
      <c r="A1451" s="879"/>
      <c r="B1451" s="1133">
        <v>1201</v>
      </c>
      <c r="C1451" s="883">
        <v>0.9770500281410206</v>
      </c>
      <c r="D1451" s="883">
        <v>0.96480005203631269</v>
      </c>
      <c r="E1451" s="883">
        <v>1.028485725178941</v>
      </c>
      <c r="F1451" s="883">
        <v>1.009352203470719</v>
      </c>
      <c r="G1451" s="883">
        <v>1.0075499793365146</v>
      </c>
      <c r="H1451" s="883">
        <v>1.028715580874237</v>
      </c>
      <c r="I1451" s="883">
        <v>0.99360949487703809</v>
      </c>
      <c r="K1451">
        <v>1.6451650918416016</v>
      </c>
      <c r="L1451">
        <v>0</v>
      </c>
      <c r="M1451">
        <v>6.6892402899227134E-3</v>
      </c>
      <c r="N1451">
        <v>0.13008292166657953</v>
      </c>
      <c r="O1451">
        <v>3.2001665235874818E-2</v>
      </c>
      <c r="P1451">
        <v>1.8940696477054261E-2</v>
      </c>
      <c r="Q1451">
        <v>0</v>
      </c>
      <c r="R1451">
        <v>6.6892402899227134E-3</v>
      </c>
      <c r="S1451">
        <v>0.17369512339258353</v>
      </c>
      <c r="T1451">
        <v>1.1965132236623464</v>
      </c>
      <c r="U1451">
        <v>0</v>
      </c>
      <c r="V1451">
        <v>1.598196511257708E-2</v>
      </c>
      <c r="W1451">
        <v>6.75103782529866E-2</v>
      </c>
      <c r="X1451">
        <v>-1.7105982831916961E-2</v>
      </c>
      <c r="Y1451">
        <v>2.7545100873515322E-2</v>
      </c>
    </row>
    <row r="1452" spans="1:25" x14ac:dyDescent="0.25">
      <c r="A1452" s="879"/>
      <c r="B1452" s="1133">
        <v>1202</v>
      </c>
      <c r="C1452" s="883">
        <v>0.9952251563619392</v>
      </c>
      <c r="D1452" s="883">
        <v>0.96994092870337134</v>
      </c>
      <c r="E1452" s="883">
        <v>1.0132585076644882</v>
      </c>
      <c r="F1452" s="883">
        <v>1.0113320272791557</v>
      </c>
      <c r="G1452" s="883">
        <v>0.99069136152085435</v>
      </c>
      <c r="H1452" s="883">
        <v>0.99866944759177101</v>
      </c>
      <c r="I1452" s="883">
        <v>0.99027082232531172</v>
      </c>
      <c r="K1452">
        <v>1.6305356952223244</v>
      </c>
      <c r="L1452">
        <v>0</v>
      </c>
      <c r="M1452">
        <v>6.4455102766603437E-3</v>
      </c>
      <c r="N1452">
        <v>0.12255152889618762</v>
      </c>
      <c r="O1452">
        <v>3.1364647287250608E-2</v>
      </c>
      <c r="P1452">
        <v>1.8685950706857874E-2</v>
      </c>
      <c r="Q1452">
        <v>0</v>
      </c>
      <c r="R1452">
        <v>6.4455102766603437E-3</v>
      </c>
      <c r="S1452">
        <v>0.16811523871598247</v>
      </c>
      <c r="T1452">
        <v>1.1991449515044774</v>
      </c>
      <c r="U1452">
        <v>0</v>
      </c>
      <c r="V1452">
        <v>1.5880067178828054E-2</v>
      </c>
      <c r="W1452">
        <v>6.4080428151094576E-2</v>
      </c>
      <c r="X1452">
        <v>-1.5828581279580135E-2</v>
      </c>
      <c r="Y1452">
        <v>2.6541464061226018E-2</v>
      </c>
    </row>
    <row r="1453" spans="1:25" x14ac:dyDescent="0.25">
      <c r="A1453" s="879"/>
      <c r="B1453" s="1133">
        <v>1203</v>
      </c>
      <c r="C1453" s="883">
        <v>1.0224454317641345</v>
      </c>
      <c r="D1453" s="883">
        <v>1.0338644345168728</v>
      </c>
      <c r="E1453" s="883">
        <v>0.99055696062922061</v>
      </c>
      <c r="F1453" s="883">
        <v>0.98501536760904929</v>
      </c>
      <c r="G1453" s="883">
        <v>0.99692353133298084</v>
      </c>
      <c r="H1453" s="883">
        <v>1.0154958404132506</v>
      </c>
      <c r="I1453" s="883">
        <v>0.9957007781299253</v>
      </c>
      <c r="K1453">
        <v>1.5853373151821326</v>
      </c>
      <c r="L1453">
        <v>0</v>
      </c>
      <c r="M1453">
        <v>6.3247994205411495E-3</v>
      </c>
      <c r="N1453">
        <v>0.11627974965772764</v>
      </c>
      <c r="O1453">
        <v>2.9778862506799116E-2</v>
      </c>
      <c r="P1453">
        <v>1.791322957912294E-2</v>
      </c>
      <c r="Q1453">
        <v>0</v>
      </c>
      <c r="R1453">
        <v>6.3247994205411495E-3</v>
      </c>
      <c r="S1453">
        <v>0.16482109065881981</v>
      </c>
      <c r="T1453">
        <v>1.1683564685500247</v>
      </c>
      <c r="U1453">
        <v>0</v>
      </c>
      <c r="V1453">
        <v>1.5734233755098921E-2</v>
      </c>
      <c r="W1453">
        <v>6.1489838637389028E-2</v>
      </c>
      <c r="X1453">
        <v>-1.5080556404308346E-2</v>
      </c>
      <c r="Y1453">
        <v>2.6044398241458606E-2</v>
      </c>
    </row>
    <row r="1454" spans="1:25" x14ac:dyDescent="0.25">
      <c r="A1454" s="879"/>
      <c r="B1454" s="1133">
        <v>1204</v>
      </c>
      <c r="C1454" s="883">
        <v>1.0281914674113597</v>
      </c>
      <c r="D1454" s="883">
        <v>0.97500059020051688</v>
      </c>
      <c r="E1454" s="883">
        <v>0.98646808321209356</v>
      </c>
      <c r="F1454" s="883">
        <v>1.0135075409328229</v>
      </c>
      <c r="G1454" s="883">
        <v>0.98444463290621709</v>
      </c>
      <c r="H1454" s="883">
        <v>1.0083315938215942</v>
      </c>
      <c r="I1454" s="883">
        <v>1.0164585259563772</v>
      </c>
      <c r="K1454">
        <v>1.6252708306174657</v>
      </c>
      <c r="L1454">
        <v>0</v>
      </c>
      <c r="M1454">
        <v>6.4333989684409419E-3</v>
      </c>
      <c r="N1454">
        <v>0.11756141233216548</v>
      </c>
      <c r="O1454">
        <v>3.0318297392059407E-2</v>
      </c>
      <c r="P1454">
        <v>1.8340738047382354E-2</v>
      </c>
      <c r="Q1454">
        <v>0</v>
      </c>
      <c r="R1454">
        <v>6.4333989684409419E-3</v>
      </c>
      <c r="S1454">
        <v>0.16750507121769356</v>
      </c>
      <c r="T1454">
        <v>1.2022291231125397</v>
      </c>
      <c r="U1454">
        <v>0</v>
      </c>
      <c r="V1454">
        <v>1.5704436228057315E-2</v>
      </c>
      <c r="W1454">
        <v>6.2294559728507642E-2</v>
      </c>
      <c r="X1454">
        <v>-1.5174399290651201E-2</v>
      </c>
      <c r="Y1454">
        <v>2.6491591849711022E-2</v>
      </c>
    </row>
    <row r="1455" spans="1:25" x14ac:dyDescent="0.25">
      <c r="A1455" s="879"/>
      <c r="B1455" s="1133">
        <v>1205</v>
      </c>
      <c r="C1455" s="883">
        <v>0.98798208049771763</v>
      </c>
      <c r="D1455" s="883">
        <v>1.0477440791244479</v>
      </c>
      <c r="E1455" s="883">
        <v>0.95805341279777401</v>
      </c>
      <c r="F1455" s="883">
        <v>0.99339284610245493</v>
      </c>
      <c r="G1455" s="883">
        <v>0.98874080461696057</v>
      </c>
      <c r="H1455" s="883">
        <v>0.98960907653319297</v>
      </c>
      <c r="I1455" s="883">
        <v>1.0136070345132773</v>
      </c>
      <c r="K1455">
        <v>1.6028564327330324</v>
      </c>
      <c r="L1455">
        <v>0</v>
      </c>
      <c r="M1455">
        <v>6.5229256479972424E-3</v>
      </c>
      <c r="N1455">
        <v>0.11427391636225465</v>
      </c>
      <c r="O1455">
        <v>3.0678721367871524E-2</v>
      </c>
      <c r="P1455">
        <v>1.7698860870589781E-2</v>
      </c>
      <c r="Q1455">
        <v>0</v>
      </c>
      <c r="R1455">
        <v>6.5229256479972424E-3</v>
      </c>
      <c r="S1455">
        <v>0.17196021732564509</v>
      </c>
      <c r="T1455">
        <v>1.1788969578530788</v>
      </c>
      <c r="U1455">
        <v>0</v>
      </c>
      <c r="V1455">
        <v>1.5920225787897747E-2</v>
      </c>
      <c r="W1455">
        <v>6.1422994366807759E-2</v>
      </c>
      <c r="X1455">
        <v>-1.4855707982082455E-2</v>
      </c>
      <c r="Y1455">
        <v>2.6860246780968954E-2</v>
      </c>
    </row>
    <row r="1456" spans="1:25" x14ac:dyDescent="0.25">
      <c r="A1456" s="879"/>
      <c r="B1456" s="1133">
        <v>1206</v>
      </c>
      <c r="C1456" s="883">
        <v>1.0052789674764677</v>
      </c>
      <c r="D1456" s="883">
        <v>0.98401709458821851</v>
      </c>
      <c r="E1456" s="883">
        <v>1.0047848724731077</v>
      </c>
      <c r="F1456" s="883">
        <v>0.98093338190908408</v>
      </c>
      <c r="G1456" s="883">
        <v>0.96358512892257053</v>
      </c>
      <c r="H1456" s="883">
        <v>0.95750644731171097</v>
      </c>
      <c r="I1456" s="883">
        <v>1.0094598064771814</v>
      </c>
      <c r="K1456">
        <v>1.5810885929012257</v>
      </c>
      <c r="L1456">
        <v>0</v>
      </c>
      <c r="M1456">
        <v>6.1239994515752605E-3</v>
      </c>
      <c r="N1456">
        <v>0.11498687783841439</v>
      </c>
      <c r="O1456">
        <v>3.0879973011925278E-2</v>
      </c>
      <c r="P1456">
        <v>1.8071004164692747E-2</v>
      </c>
      <c r="Q1456">
        <v>0</v>
      </c>
      <c r="R1456">
        <v>6.1239994515752605E-3</v>
      </c>
      <c r="S1456">
        <v>0.16708312872141448</v>
      </c>
      <c r="T1456">
        <v>1.1632551723746731</v>
      </c>
      <c r="U1456">
        <v>0</v>
      </c>
      <c r="V1456">
        <v>1.5825283799137099E-2</v>
      </c>
      <c r="W1456">
        <v>6.0377603249073465E-2</v>
      </c>
      <c r="X1456">
        <v>-1.4607989968424542E-2</v>
      </c>
      <c r="Y1456">
        <v>2.5217539710319179E-2</v>
      </c>
    </row>
    <row r="1457" spans="1:25" x14ac:dyDescent="0.25">
      <c r="A1457" s="879"/>
      <c r="B1457" s="1133">
        <v>1207</v>
      </c>
      <c r="C1457" s="883">
        <v>0.99811973256370556</v>
      </c>
      <c r="D1457" s="883">
        <v>1.0003299625723918</v>
      </c>
      <c r="E1457" s="883">
        <v>0.9786417599758731</v>
      </c>
      <c r="F1457" s="883">
        <v>0.99181684154956073</v>
      </c>
      <c r="G1457" s="883">
        <v>1.0470665275936524</v>
      </c>
      <c r="H1457" s="883">
        <v>1.0212592398832943</v>
      </c>
      <c r="I1457" s="883">
        <v>1.0040752068519643</v>
      </c>
      <c r="K1457">
        <v>1.6087392208454208</v>
      </c>
      <c r="L1457">
        <v>0</v>
      </c>
      <c r="M1457">
        <v>6.681227314979098E-3</v>
      </c>
      <c r="N1457">
        <v>0.12068091431867503</v>
      </c>
      <c r="O1457">
        <v>3.0919247272157311E-2</v>
      </c>
      <c r="P1457">
        <v>1.7941145639179513E-2</v>
      </c>
      <c r="Q1457">
        <v>0</v>
      </c>
      <c r="R1457">
        <v>6.681227314979098E-3</v>
      </c>
      <c r="S1457">
        <v>0.17092104796313509</v>
      </c>
      <c r="T1457">
        <v>1.1766443322135314</v>
      </c>
      <c r="U1457">
        <v>0</v>
      </c>
      <c r="V1457">
        <v>1.5864181453781299E-2</v>
      </c>
      <c r="W1457">
        <v>6.4198372638573448E-2</v>
      </c>
      <c r="X1457">
        <v>-1.5942125522566873E-2</v>
      </c>
      <c r="Y1457">
        <v>2.751210486895388E-2</v>
      </c>
    </row>
    <row r="1458" spans="1:25" x14ac:dyDescent="0.25">
      <c r="A1458" s="879"/>
      <c r="B1458" s="1133">
        <v>1208</v>
      </c>
      <c r="C1458" s="883">
        <v>0.99469928116478723</v>
      </c>
      <c r="D1458" s="883">
        <v>1.0158385545203941</v>
      </c>
      <c r="E1458" s="883">
        <v>1.0033778545805789</v>
      </c>
      <c r="F1458" s="883">
        <v>1.0092082219856486</v>
      </c>
      <c r="G1458" s="883">
        <v>0.97007607695273901</v>
      </c>
      <c r="H1458" s="883">
        <v>0.96243628210134158</v>
      </c>
      <c r="I1458" s="883">
        <v>0.966228292937509</v>
      </c>
      <c r="K1458">
        <v>1.6098595347486089</v>
      </c>
      <c r="L1458">
        <v>0</v>
      </c>
      <c r="M1458">
        <v>6.1408571804966224E-3</v>
      </c>
      <c r="N1458">
        <v>0.11506338210279736</v>
      </c>
      <c r="O1458">
        <v>3.0814843927344845E-2</v>
      </c>
      <c r="P1458">
        <v>1.8429112679236331E-2</v>
      </c>
      <c r="Q1458">
        <v>0</v>
      </c>
      <c r="R1458">
        <v>6.1408571804966224E-3</v>
      </c>
      <c r="S1458">
        <v>0.16162248187395822</v>
      </c>
      <c r="T1458">
        <v>1.1968116982260966</v>
      </c>
      <c r="U1458">
        <v>0</v>
      </c>
      <c r="V1458">
        <v>1.5882963158970306E-2</v>
      </c>
      <c r="W1458">
        <v>6.0459936956831752E-2</v>
      </c>
      <c r="X1458">
        <v>-1.4511841014081686E-2</v>
      </c>
      <c r="Y1458">
        <v>2.528695683745346E-2</v>
      </c>
    </row>
    <row r="1459" spans="1:25" x14ac:dyDescent="0.25">
      <c r="A1459" s="879"/>
      <c r="B1459" s="1133">
        <v>1209</v>
      </c>
      <c r="C1459" s="883">
        <v>0.96778161834020338</v>
      </c>
      <c r="D1459" s="883">
        <v>0.96950333170027647</v>
      </c>
      <c r="E1459" s="883">
        <v>1.0115787271259151</v>
      </c>
      <c r="F1459" s="883">
        <v>0.98954612925248786</v>
      </c>
      <c r="G1459" s="883">
        <v>0.98131221418417347</v>
      </c>
      <c r="H1459" s="883">
        <v>1.0252127328479763</v>
      </c>
      <c r="I1459" s="883">
        <v>0.98872555603028345</v>
      </c>
      <c r="K1459">
        <v>1.622015816032762</v>
      </c>
      <c r="L1459">
        <v>0</v>
      </c>
      <c r="M1459">
        <v>6.8158373880464864E-3</v>
      </c>
      <c r="N1459">
        <v>0.12927092986978683</v>
      </c>
      <c r="O1459">
        <v>3.2261441399520197E-2</v>
      </c>
      <c r="P1459">
        <v>1.8398867691246872E-2</v>
      </c>
      <c r="Q1459">
        <v>0</v>
      </c>
      <c r="R1459">
        <v>6.8158373880464864E-3</v>
      </c>
      <c r="S1459">
        <v>0.17421004045485419</v>
      </c>
      <c r="T1459">
        <v>1.1733440296290827</v>
      </c>
      <c r="U1459">
        <v>0</v>
      </c>
      <c r="V1459">
        <v>1.6035401501016875E-2</v>
      </c>
      <c r="W1459">
        <v>6.7650033278498653E-2</v>
      </c>
      <c r="X1459">
        <v>-1.7221332981391457E-2</v>
      </c>
      <c r="Y1459">
        <v>2.8066405190145558E-2</v>
      </c>
    </row>
    <row r="1460" spans="1:25" x14ac:dyDescent="0.25">
      <c r="A1460" s="879"/>
      <c r="B1460" s="1133">
        <v>1210</v>
      </c>
      <c r="C1460" s="883">
        <v>0.97265199200935093</v>
      </c>
      <c r="D1460" s="883">
        <v>1.0098827707846874</v>
      </c>
      <c r="E1460" s="883">
        <v>1.0190920189358332</v>
      </c>
      <c r="F1460" s="883">
        <v>1.0160407138600116</v>
      </c>
      <c r="G1460" s="883">
        <v>1.0103191655023684</v>
      </c>
      <c r="H1460" s="883">
        <v>1.0266411520901455</v>
      </c>
      <c r="I1460" s="883">
        <v>1.0115656703487561</v>
      </c>
      <c r="K1460">
        <v>1.6521261806265501</v>
      </c>
      <c r="L1460">
        <v>0</v>
      </c>
      <c r="M1460">
        <v>6.6248989151530208E-3</v>
      </c>
      <c r="N1460">
        <v>0.12705432978424619</v>
      </c>
      <c r="O1460">
        <v>3.1573315533033226E-2</v>
      </c>
      <c r="P1460">
        <v>1.8963876974474485E-2</v>
      </c>
      <c r="Q1460">
        <v>0</v>
      </c>
      <c r="R1460">
        <v>6.6248989151530208E-3</v>
      </c>
      <c r="S1460">
        <v>0.17696858230905207</v>
      </c>
      <c r="T1460">
        <v>1.2046183468923191</v>
      </c>
      <c r="U1460">
        <v>0</v>
      </c>
      <c r="V1460">
        <v>1.6007194723422699E-2</v>
      </c>
      <c r="W1460">
        <v>6.6243950447921154E-2</v>
      </c>
      <c r="X1460">
        <v>-1.6583570582471528E-2</v>
      </c>
      <c r="Y1460">
        <v>2.7280154544551509E-2</v>
      </c>
    </row>
    <row r="1461" spans="1:25" x14ac:dyDescent="0.25">
      <c r="A1461" s="879"/>
      <c r="B1461" s="1133">
        <v>1211</v>
      </c>
      <c r="C1461" s="883">
        <v>1.0445568580573479</v>
      </c>
      <c r="D1461" s="883">
        <v>0.9897374394875772</v>
      </c>
      <c r="E1461" s="883">
        <v>0.99206692762524673</v>
      </c>
      <c r="F1461" s="883">
        <v>0.9669950268496823</v>
      </c>
      <c r="G1461" s="883">
        <v>1.0243477518217161</v>
      </c>
      <c r="H1461" s="883">
        <v>0.98761807687523184</v>
      </c>
      <c r="I1461" s="883">
        <v>1.0059611822668766</v>
      </c>
      <c r="K1461">
        <v>1.5551048797659499</v>
      </c>
      <c r="L1461">
        <v>0</v>
      </c>
      <c r="M1461">
        <v>6.1310866139464154E-3</v>
      </c>
      <c r="N1461">
        <v>0.11297098608342893</v>
      </c>
      <c r="O1461">
        <v>2.9660335646133091E-2</v>
      </c>
      <c r="P1461">
        <v>1.7608591897192778E-2</v>
      </c>
      <c r="Q1461">
        <v>0</v>
      </c>
      <c r="R1461">
        <v>6.1310866139464154E-3</v>
      </c>
      <c r="S1461">
        <v>0.16186712953810725</v>
      </c>
      <c r="T1461">
        <v>1.1469548058657901</v>
      </c>
      <c r="U1461">
        <v>0</v>
      </c>
      <c r="V1461">
        <v>1.5621365821263066E-2</v>
      </c>
      <c r="W1461">
        <v>5.9695191378293239E-2</v>
      </c>
      <c r="X1461">
        <v>-1.4520249847755467E-2</v>
      </c>
      <c r="Y1461">
        <v>2.5246723383495717E-2</v>
      </c>
    </row>
    <row r="1462" spans="1:25" x14ac:dyDescent="0.25">
      <c r="A1462" s="879"/>
      <c r="B1462" s="1133">
        <v>1212</v>
      </c>
      <c r="C1462" s="883">
        <v>1.0014988419263244</v>
      </c>
      <c r="D1462" s="883">
        <v>1.0400010224269938</v>
      </c>
      <c r="E1462" s="883">
        <v>1.0034089841900085</v>
      </c>
      <c r="F1462" s="883">
        <v>0.98676925760587453</v>
      </c>
      <c r="G1462" s="883">
        <v>0.99860133396540129</v>
      </c>
      <c r="H1462" s="883">
        <v>0.97972150085166132</v>
      </c>
      <c r="I1462" s="883">
        <v>0.98882758506951529</v>
      </c>
      <c r="K1462">
        <v>1.5857832599205322</v>
      </c>
      <c r="L1462">
        <v>0</v>
      </c>
      <c r="M1462">
        <v>6.1438787605755307E-3</v>
      </c>
      <c r="N1462">
        <v>0.11512530638761152</v>
      </c>
      <c r="O1462">
        <v>3.0319170094709975E-2</v>
      </c>
      <c r="P1462">
        <v>1.811832859916996E-2</v>
      </c>
      <c r="Q1462">
        <v>0</v>
      </c>
      <c r="R1462">
        <v>6.1438787605755307E-3</v>
      </c>
      <c r="S1462">
        <v>0.16505033184342466</v>
      </c>
      <c r="T1462">
        <v>1.1702009451896769</v>
      </c>
      <c r="U1462">
        <v>0</v>
      </c>
      <c r="V1462">
        <v>1.5845752732759129E-2</v>
      </c>
      <c r="W1462">
        <v>6.0491541097513597E-2</v>
      </c>
      <c r="X1462">
        <v>-1.4667515190731862E-2</v>
      </c>
      <c r="Y1462">
        <v>2.5299399166397198E-2</v>
      </c>
    </row>
    <row r="1463" spans="1:25" x14ac:dyDescent="0.25">
      <c r="A1463" s="879"/>
      <c r="B1463" s="1133">
        <v>1213</v>
      </c>
      <c r="C1463" s="883">
        <v>0.99168911512354552</v>
      </c>
      <c r="D1463" s="883">
        <v>1.00646571818426</v>
      </c>
      <c r="E1463" s="883">
        <v>1.0047996701602668</v>
      </c>
      <c r="F1463" s="883">
        <v>1.0494365440550784</v>
      </c>
      <c r="G1463" s="883">
        <v>0.98399584811651408</v>
      </c>
      <c r="H1463" s="883">
        <v>0.98722436761935184</v>
      </c>
      <c r="I1463" s="883">
        <v>1.0269897273038546</v>
      </c>
      <c r="K1463">
        <v>1.6770990296927937</v>
      </c>
      <c r="L1463">
        <v>0</v>
      </c>
      <c r="M1463">
        <v>6.3364201786313646E-3</v>
      </c>
      <c r="N1463">
        <v>0.11897798916019607</v>
      </c>
      <c r="O1463">
        <v>3.1021960185860467E-2</v>
      </c>
      <c r="P1463">
        <v>1.925383276966066E-2</v>
      </c>
      <c r="Q1463">
        <v>0</v>
      </c>
      <c r="R1463">
        <v>6.3364201786313646E-3</v>
      </c>
      <c r="S1463">
        <v>0.17387951417013228</v>
      </c>
      <c r="T1463">
        <v>1.244490428885342</v>
      </c>
      <c r="U1463">
        <v>0</v>
      </c>
      <c r="V1463">
        <v>1.5899599167811876E-2</v>
      </c>
      <c r="W1463">
        <v>6.2472807948492075E-2</v>
      </c>
      <c r="X1463">
        <v>-1.4989353049557813E-2</v>
      </c>
      <c r="Y1463">
        <v>2.6092250454856279E-2</v>
      </c>
    </row>
    <row r="1464" spans="1:25" x14ac:dyDescent="0.25">
      <c r="A1464" s="879"/>
      <c r="B1464" s="1133">
        <v>1214</v>
      </c>
      <c r="C1464" s="883">
        <v>1.0000466573217961</v>
      </c>
      <c r="D1464" s="883">
        <v>1.011546760103784</v>
      </c>
      <c r="E1464" s="883">
        <v>1.0216655844550804</v>
      </c>
      <c r="F1464" s="883">
        <v>0.99458338256839685</v>
      </c>
      <c r="G1464" s="883">
        <v>0.97054212160836695</v>
      </c>
      <c r="H1464" s="883">
        <v>1.0243242261275833</v>
      </c>
      <c r="I1464" s="883">
        <v>0.95977572144037648</v>
      </c>
      <c r="K1464">
        <v>1.605273200232388</v>
      </c>
      <c r="L1464">
        <v>0</v>
      </c>
      <c r="M1464">
        <v>6.4097043787239866E-3</v>
      </c>
      <c r="N1464">
        <v>0.12339613239113562</v>
      </c>
      <c r="O1464">
        <v>3.0685867563402764E-2</v>
      </c>
      <c r="P1464">
        <v>1.8463795732379332E-2</v>
      </c>
      <c r="Q1464">
        <v>0</v>
      </c>
      <c r="R1464">
        <v>6.4097043787239866E-3</v>
      </c>
      <c r="S1464">
        <v>0.16316618217054973</v>
      </c>
      <c r="T1464">
        <v>1.1791311834742015</v>
      </c>
      <c r="U1464">
        <v>0</v>
      </c>
      <c r="V1464">
        <v>1.5853657282837823E-2</v>
      </c>
      <c r="W1464">
        <v>6.4255132387991021E-2</v>
      </c>
      <c r="X1464">
        <v>-1.6072772516846353E-2</v>
      </c>
      <c r="Y1464">
        <v>2.6394021746736353E-2</v>
      </c>
    </row>
    <row r="1465" spans="1:25" x14ac:dyDescent="0.25">
      <c r="A1465" s="879"/>
      <c r="B1465" s="1133">
        <v>1215</v>
      </c>
      <c r="C1465" s="883">
        <v>0.99160934912194787</v>
      </c>
      <c r="D1465" s="883">
        <v>1.0337225203314371</v>
      </c>
      <c r="E1465" s="883">
        <v>0.99856098886278399</v>
      </c>
      <c r="F1465" s="883">
        <v>0.99899326373247466</v>
      </c>
      <c r="G1465" s="883">
        <v>1.0088257029387504</v>
      </c>
      <c r="H1465" s="883">
        <v>0.97272258976732895</v>
      </c>
      <c r="I1465" s="883">
        <v>1.0001108276928077</v>
      </c>
      <c r="K1465">
        <v>1.6050055826865226</v>
      </c>
      <c r="L1465">
        <v>0</v>
      </c>
      <c r="M1465">
        <v>6.2036726752998823E-3</v>
      </c>
      <c r="N1465">
        <v>0.11541388708394168</v>
      </c>
      <c r="O1465">
        <v>3.0699928335496063E-2</v>
      </c>
      <c r="P1465">
        <v>1.8290259370992094E-2</v>
      </c>
      <c r="Q1465">
        <v>0</v>
      </c>
      <c r="R1465">
        <v>6.2036726752998823E-3</v>
      </c>
      <c r="S1465">
        <v>0.16824489026762476</v>
      </c>
      <c r="T1465">
        <v>1.1847872755840725</v>
      </c>
      <c r="U1465">
        <v>0</v>
      </c>
      <c r="V1465">
        <v>1.5900041376941666E-2</v>
      </c>
      <c r="W1465">
        <v>6.0789299489446072E-2</v>
      </c>
      <c r="X1465">
        <v>-1.4665618686304274E-2</v>
      </c>
      <c r="Y1465">
        <v>2.554561986431202E-2</v>
      </c>
    </row>
    <row r="1466" spans="1:25" x14ac:dyDescent="0.25">
      <c r="A1466" s="879"/>
      <c r="B1466" s="1133">
        <v>1216</v>
      </c>
      <c r="C1466" s="883">
        <v>1.0021562801767196</v>
      </c>
      <c r="D1466" s="883">
        <v>0.98425302153038907</v>
      </c>
      <c r="E1466" s="883">
        <v>1.0185146947842114</v>
      </c>
      <c r="F1466" s="883">
        <v>0.99123197107075711</v>
      </c>
      <c r="G1466" s="883">
        <v>1.0001485279592128</v>
      </c>
      <c r="H1466" s="883">
        <v>1.006324987432845</v>
      </c>
      <c r="I1466" s="883">
        <v>0.99942844544229181</v>
      </c>
      <c r="K1466">
        <v>1.6056465935605173</v>
      </c>
      <c r="L1466">
        <v>0</v>
      </c>
      <c r="M1466">
        <v>6.3785341723661499E-3</v>
      </c>
      <c r="N1466">
        <v>0.12222503403143231</v>
      </c>
      <c r="O1466">
        <v>3.0961021113779096E-2</v>
      </c>
      <c r="P1466">
        <v>1.8443727658475725E-2</v>
      </c>
      <c r="Q1466">
        <v>0</v>
      </c>
      <c r="R1466">
        <v>6.3785341723661499E-3</v>
      </c>
      <c r="S1466">
        <v>0.16879357601683587</v>
      </c>
      <c r="T1466">
        <v>1.1752156780309799</v>
      </c>
      <c r="U1466">
        <v>0</v>
      </c>
      <c r="V1466">
        <v>1.5842181689548453E-2</v>
      </c>
      <c r="W1466">
        <v>6.3744172622190662E-2</v>
      </c>
      <c r="X1466">
        <v>-1.5844465987770333E-2</v>
      </c>
      <c r="Y1466">
        <v>2.6265668385044693E-2</v>
      </c>
    </row>
    <row r="1467" spans="1:25" x14ac:dyDescent="0.25">
      <c r="A1467" s="879"/>
      <c r="B1467" s="1133">
        <v>1217</v>
      </c>
      <c r="C1467" s="883">
        <v>1.003754825670313</v>
      </c>
      <c r="D1467" s="883">
        <v>0.99570138727927149</v>
      </c>
      <c r="E1467" s="883">
        <v>0.99321750275337439</v>
      </c>
      <c r="F1467" s="883">
        <v>1.0117467637995343</v>
      </c>
      <c r="G1467" s="883">
        <v>0.98445634768614798</v>
      </c>
      <c r="H1467" s="883">
        <v>0.9767339818523797</v>
      </c>
      <c r="I1467" s="883">
        <v>1.0043738996410954</v>
      </c>
      <c r="K1467">
        <v>1.6209677412352872</v>
      </c>
      <c r="L1467">
        <v>0</v>
      </c>
      <c r="M1467">
        <v>6.2867869402003784E-3</v>
      </c>
      <c r="N1467">
        <v>0.11603764156037109</v>
      </c>
      <c r="O1467">
        <v>3.0790973128386166E-2</v>
      </c>
      <c r="P1467">
        <v>1.8407680286179163E-2</v>
      </c>
      <c r="Q1467">
        <v>0</v>
      </c>
      <c r="R1467">
        <v>6.2867869402003784E-3</v>
      </c>
      <c r="S1467">
        <v>0.16748978540194467</v>
      </c>
      <c r="T1467">
        <v>1.2000132614162904</v>
      </c>
      <c r="U1467">
        <v>0</v>
      </c>
      <c r="V1467">
        <v>1.5833518298003817E-2</v>
      </c>
      <c r="W1467">
        <v>6.1280515947993108E-2</v>
      </c>
      <c r="X1467">
        <v>-1.4773504417265848E-2</v>
      </c>
      <c r="Y1467">
        <v>2.5887869613384584E-2</v>
      </c>
    </row>
    <row r="1468" spans="1:25" x14ac:dyDescent="0.25">
      <c r="A1468" s="879"/>
      <c r="B1468" s="1133">
        <v>1218</v>
      </c>
      <c r="C1468" s="883">
        <v>1.0277830839647533</v>
      </c>
      <c r="D1468" s="883">
        <v>0.99199428822215818</v>
      </c>
      <c r="E1468" s="883">
        <v>1.0144560044907363</v>
      </c>
      <c r="F1468" s="883">
        <v>1.0129360249249364</v>
      </c>
      <c r="G1468" s="883">
        <v>0.98743460674614303</v>
      </c>
      <c r="H1468" s="883">
        <v>0.98997379139662345</v>
      </c>
      <c r="I1468" s="883">
        <v>0.98796499278366579</v>
      </c>
      <c r="K1468">
        <v>1.6150868140533903</v>
      </c>
      <c r="L1468">
        <v>0</v>
      </c>
      <c r="M1468">
        <v>6.1187712642568745E-3</v>
      </c>
      <c r="N1468">
        <v>0.11654545062835597</v>
      </c>
      <c r="O1468">
        <v>3.0098142228026144E-2</v>
      </c>
      <c r="P1468">
        <v>1.8638861568170607E-2</v>
      </c>
      <c r="Q1468">
        <v>0</v>
      </c>
      <c r="R1468">
        <v>6.1187712642568745E-3</v>
      </c>
      <c r="S1468">
        <v>0.16169876250973397</v>
      </c>
      <c r="T1468">
        <v>1.2010243553984485</v>
      </c>
      <c r="U1468">
        <v>0</v>
      </c>
      <c r="V1468">
        <v>1.5706543005744682E-2</v>
      </c>
      <c r="W1468">
        <v>6.090390957594613E-2</v>
      </c>
      <c r="X1468">
        <v>-1.4725221826562416E-2</v>
      </c>
      <c r="Y1468">
        <v>2.5196010965524731E-2</v>
      </c>
    </row>
    <row r="1469" spans="1:25" x14ac:dyDescent="0.25">
      <c r="A1469" s="879"/>
      <c r="B1469" s="1133">
        <v>1219</v>
      </c>
      <c r="C1469" s="883">
        <v>0.98278837157664678</v>
      </c>
      <c r="D1469" s="883">
        <v>0.97871903876663746</v>
      </c>
      <c r="E1469" s="883">
        <v>0.99779976920901348</v>
      </c>
      <c r="F1469" s="883">
        <v>1.0203482557687202</v>
      </c>
      <c r="G1469" s="883">
        <v>0.98072111243129789</v>
      </c>
      <c r="H1469" s="883">
        <v>0.95515948283369312</v>
      </c>
      <c r="I1469" s="883">
        <v>1.0194819433729239</v>
      </c>
      <c r="K1469">
        <v>1.6388860722266119</v>
      </c>
      <c r="L1469">
        <v>0</v>
      </c>
      <c r="M1469">
        <v>6.3022154559328426E-3</v>
      </c>
      <c r="N1469">
        <v>0.1171150222780257</v>
      </c>
      <c r="O1469">
        <v>3.1661058233736772E-2</v>
      </c>
      <c r="P1469">
        <v>1.8675648041634192E-2</v>
      </c>
      <c r="Q1469">
        <v>0</v>
      </c>
      <c r="R1469">
        <v>6.3022154559328426E-3</v>
      </c>
      <c r="S1469">
        <v>0.17250602845435881</v>
      </c>
      <c r="T1469">
        <v>1.2101283371702527</v>
      </c>
      <c r="U1469">
        <v>0</v>
      </c>
      <c r="V1469">
        <v>1.5949386261303346E-2</v>
      </c>
      <c r="W1469">
        <v>6.1708640990494772E-2</v>
      </c>
      <c r="X1469">
        <v>-1.4809450698192644E-2</v>
      </c>
      <c r="Y1469">
        <v>2.5951401494997459E-2</v>
      </c>
    </row>
    <row r="1470" spans="1:25" x14ac:dyDescent="0.25">
      <c r="A1470" s="879"/>
      <c r="B1470" s="1133">
        <v>1220</v>
      </c>
      <c r="C1470" s="883">
        <v>0.97650571077950699</v>
      </c>
      <c r="D1470" s="883">
        <v>1.007540444967806</v>
      </c>
      <c r="E1470" s="883">
        <v>1.0098667878903109</v>
      </c>
      <c r="F1470" s="883">
        <v>0.96691525779040011</v>
      </c>
      <c r="G1470" s="883">
        <v>1.0223293281348527</v>
      </c>
      <c r="H1470" s="883">
        <v>1.0212169241823399</v>
      </c>
      <c r="I1470" s="883">
        <v>1.0040099228502162</v>
      </c>
      <c r="K1470">
        <v>1.5882761882172176</v>
      </c>
      <c r="L1470">
        <v>0</v>
      </c>
      <c r="M1470">
        <v>6.6239384350576221E-3</v>
      </c>
      <c r="N1470">
        <v>0.12531335382507555</v>
      </c>
      <c r="O1470">
        <v>3.1486351177327732E-2</v>
      </c>
      <c r="P1470">
        <v>1.8019347843586758E-2</v>
      </c>
      <c r="Q1470">
        <v>0</v>
      </c>
      <c r="R1470">
        <v>6.6239384350576221E-3</v>
      </c>
      <c r="S1470">
        <v>0.17464649760663079</v>
      </c>
      <c r="T1470">
        <v>1.146540395298977</v>
      </c>
      <c r="U1470">
        <v>0</v>
      </c>
      <c r="V1470">
        <v>1.598507530055784E-2</v>
      </c>
      <c r="W1470">
        <v>6.563449097602328E-2</v>
      </c>
      <c r="X1470">
        <v>-1.6625523269439019E-2</v>
      </c>
      <c r="Y1470">
        <v>2.727619945847775E-2</v>
      </c>
    </row>
    <row r="1471" spans="1:25" x14ac:dyDescent="0.25">
      <c r="A1471" s="879"/>
      <c r="B1471" s="1133">
        <v>1221</v>
      </c>
      <c r="C1471" s="883">
        <v>1.0184393455080352</v>
      </c>
      <c r="D1471" s="883">
        <v>0.99286990799232311</v>
      </c>
      <c r="E1471" s="883">
        <v>0.99959278764224824</v>
      </c>
      <c r="F1471" s="883">
        <v>0.98797119827143953</v>
      </c>
      <c r="G1471" s="883">
        <v>0.99672246362990791</v>
      </c>
      <c r="H1471" s="883">
        <v>0.98078144482140972</v>
      </c>
      <c r="I1471" s="883">
        <v>0.99558424864927131</v>
      </c>
      <c r="K1471">
        <v>1.5867373013335397</v>
      </c>
      <c r="L1471">
        <v>0</v>
      </c>
      <c r="M1471">
        <v>6.1951418061583904E-3</v>
      </c>
      <c r="N1471">
        <v>0.11543150253784759</v>
      </c>
      <c r="O1471">
        <v>3.0376319066770317E-2</v>
      </c>
      <c r="P1471">
        <v>1.8069363067481727E-2</v>
      </c>
      <c r="Q1471">
        <v>0</v>
      </c>
      <c r="R1471">
        <v>6.1951418061583904E-3</v>
      </c>
      <c r="S1471">
        <v>0.16389385557614991</v>
      </c>
      <c r="T1471">
        <v>1.1716963629660799</v>
      </c>
      <c r="U1471">
        <v>0</v>
      </c>
      <c r="V1471">
        <v>1.5755207260825833E-2</v>
      </c>
      <c r="W1471">
        <v>6.0767419125422537E-2</v>
      </c>
      <c r="X1471">
        <v>-1.4763219530663197E-2</v>
      </c>
      <c r="Y1471">
        <v>2.5510491263625451E-2</v>
      </c>
    </row>
    <row r="1472" spans="1:25" x14ac:dyDescent="0.25">
      <c r="A1472" s="879"/>
      <c r="B1472" s="1133">
        <v>1222</v>
      </c>
      <c r="C1472" s="883">
        <v>0.99962007370103223</v>
      </c>
      <c r="D1472" s="883">
        <v>0.99314875153502014</v>
      </c>
      <c r="E1472" s="883">
        <v>1.0051525711778213</v>
      </c>
      <c r="F1472" s="883">
        <v>0.98689711491419108</v>
      </c>
      <c r="G1472" s="883">
        <v>0.96352398625929503</v>
      </c>
      <c r="H1472" s="883">
        <v>1.0043471668071287</v>
      </c>
      <c r="I1472" s="883">
        <v>1.0303981201006429</v>
      </c>
      <c r="K1472">
        <v>1.6046487008889441</v>
      </c>
      <c r="L1472">
        <v>0</v>
      </c>
      <c r="M1472">
        <v>6.431300625061722E-3</v>
      </c>
      <c r="N1472">
        <v>0.12082267303296187</v>
      </c>
      <c r="O1472">
        <v>3.0939934584942659E-2</v>
      </c>
      <c r="P1472">
        <v>1.8267465031942258E-2</v>
      </c>
      <c r="Q1472">
        <v>0</v>
      </c>
      <c r="R1472">
        <v>6.431300625061722E-3</v>
      </c>
      <c r="S1472">
        <v>0.17423437543051812</v>
      </c>
      <c r="T1472">
        <v>1.1703206219986741</v>
      </c>
      <c r="U1472">
        <v>0</v>
      </c>
      <c r="V1472">
        <v>1.5855983632467093E-2</v>
      </c>
      <c r="W1472">
        <v>6.3430316806608655E-2</v>
      </c>
      <c r="X1472">
        <v>-1.570562087433704E-2</v>
      </c>
      <c r="Y1472">
        <v>2.6482951245166593E-2</v>
      </c>
    </row>
    <row r="1473" spans="1:25" x14ac:dyDescent="0.25">
      <c r="A1473" s="879"/>
      <c r="B1473" s="1133">
        <v>1223</v>
      </c>
      <c r="C1473" s="883">
        <v>1.0022697862310719</v>
      </c>
      <c r="D1473" s="883">
        <v>0.999529842566802</v>
      </c>
      <c r="E1473" s="883">
        <v>1.0322969018921293</v>
      </c>
      <c r="F1473" s="883">
        <v>1.0065886874052798</v>
      </c>
      <c r="G1473" s="883">
        <v>0.99136245660733835</v>
      </c>
      <c r="H1473" s="883">
        <v>0.97331393952103085</v>
      </c>
      <c r="I1473" s="883">
        <v>1.0256098797842306</v>
      </c>
      <c r="K1473">
        <v>1.6195311313538778</v>
      </c>
      <c r="L1473">
        <v>0</v>
      </c>
      <c r="M1473">
        <v>6.0528277499514484E-3</v>
      </c>
      <c r="N1473">
        <v>0.1183718407364175</v>
      </c>
      <c r="O1473">
        <v>3.0754659220896756E-2</v>
      </c>
      <c r="P1473">
        <v>1.8910470659046809E-2</v>
      </c>
      <c r="Q1473">
        <v>0</v>
      </c>
      <c r="R1473">
        <v>6.0528277499514484E-3</v>
      </c>
      <c r="S1473">
        <v>0.17108652046971312</v>
      </c>
      <c r="T1473">
        <v>1.1931664941144109</v>
      </c>
      <c r="U1473">
        <v>0</v>
      </c>
      <c r="V1473">
        <v>1.5841565626760062E-2</v>
      </c>
      <c r="W1473">
        <v>6.1317831024489906E-2</v>
      </c>
      <c r="X1473">
        <v>-1.4842717808980046E-2</v>
      </c>
      <c r="Y1473">
        <v>2.492446731112297E-2</v>
      </c>
    </row>
    <row r="1474" spans="1:25" x14ac:dyDescent="0.25">
      <c r="A1474" s="879"/>
      <c r="B1474" s="1133">
        <v>1224</v>
      </c>
      <c r="C1474" s="883">
        <v>1.0382081609991054</v>
      </c>
      <c r="D1474" s="883">
        <v>1.0277533374656822</v>
      </c>
      <c r="E1474" s="883">
        <v>0.97149524066860415</v>
      </c>
      <c r="F1474" s="883">
        <v>0.9607823741308269</v>
      </c>
      <c r="G1474" s="883">
        <v>0.99680008257931596</v>
      </c>
      <c r="H1474" s="883">
        <v>0.96712377612973299</v>
      </c>
      <c r="I1474" s="883">
        <v>0.99753297718361933</v>
      </c>
      <c r="K1474">
        <v>1.5391189259571962</v>
      </c>
      <c r="L1474">
        <v>0</v>
      </c>
      <c r="M1474">
        <v>6.0474111210048294E-3</v>
      </c>
      <c r="N1474">
        <v>0.10807998249548768</v>
      </c>
      <c r="O1474">
        <v>2.941081690075353E-2</v>
      </c>
      <c r="P1474">
        <v>1.7216065730141714E-2</v>
      </c>
      <c r="Q1474">
        <v>0</v>
      </c>
      <c r="R1474">
        <v>6.0474111210048294E-3</v>
      </c>
      <c r="S1474">
        <v>0.15999313874145113</v>
      </c>
      <c r="T1474">
        <v>1.1399548733608067</v>
      </c>
      <c r="U1474">
        <v>0</v>
      </c>
      <c r="V1474">
        <v>1.5653280767861523E-2</v>
      </c>
      <c r="W1474">
        <v>5.7701603251883948E-2</v>
      </c>
      <c r="X1474">
        <v>-1.3792997888436105E-2</v>
      </c>
      <c r="Y1474">
        <v>2.4902162597244811E-2</v>
      </c>
    </row>
    <row r="1475" spans="1:25" x14ac:dyDescent="0.25">
      <c r="A1475" s="879"/>
      <c r="B1475" s="1133">
        <v>1225</v>
      </c>
      <c r="C1475" s="883">
        <v>0.99029972796903531</v>
      </c>
      <c r="D1475" s="883">
        <v>0.99730514601903508</v>
      </c>
      <c r="E1475" s="883">
        <v>1.0088598136905682</v>
      </c>
      <c r="F1475" s="883">
        <v>0.97377315520156427</v>
      </c>
      <c r="G1475" s="883">
        <v>1.005247107096368</v>
      </c>
      <c r="H1475" s="883">
        <v>0.98995606136066305</v>
      </c>
      <c r="I1475" s="883">
        <v>0.97201107404082721</v>
      </c>
      <c r="K1475">
        <v>1.578648764264388</v>
      </c>
      <c r="L1475">
        <v>0</v>
      </c>
      <c r="M1475">
        <v>6.366231220035129E-3</v>
      </c>
      <c r="N1475">
        <v>0.12025857038719193</v>
      </c>
      <c r="O1475">
        <v>3.1175734530119854E-2</v>
      </c>
      <c r="P1475">
        <v>1.7984945669159185E-2</v>
      </c>
      <c r="Q1475">
        <v>0</v>
      </c>
      <c r="R1475">
        <v>6.366231220035129E-3</v>
      </c>
      <c r="S1475">
        <v>0.16504982314560726</v>
      </c>
      <c r="T1475">
        <v>1.1546904771281779</v>
      </c>
      <c r="U1475">
        <v>0</v>
      </c>
      <c r="V1475">
        <v>1.5907311879802297E-2</v>
      </c>
      <c r="W1475">
        <v>6.3018369912144517E-2</v>
      </c>
      <c r="X1475">
        <v>-1.5651475405004701E-2</v>
      </c>
      <c r="Y1475">
        <v>2.6215007017189419E-2</v>
      </c>
    </row>
    <row r="1476" spans="1:25" x14ac:dyDescent="0.25">
      <c r="A1476" s="879"/>
      <c r="B1476" s="1133">
        <v>1226</v>
      </c>
      <c r="C1476" s="883">
        <v>0.97833371241422329</v>
      </c>
      <c r="D1476" s="883">
        <v>0.99320047495387009</v>
      </c>
      <c r="E1476" s="883">
        <v>1.0160024083298573</v>
      </c>
      <c r="F1476" s="883">
        <v>0.98698025237596509</v>
      </c>
      <c r="G1476" s="883">
        <v>0.95741251103998604</v>
      </c>
      <c r="H1476" s="883">
        <v>0.97392276348762641</v>
      </c>
      <c r="I1476" s="883">
        <v>0.98656509550237304</v>
      </c>
      <c r="K1476">
        <v>1.5987274628645756</v>
      </c>
      <c r="L1476">
        <v>0</v>
      </c>
      <c r="M1476">
        <v>6.3118451745877331E-3</v>
      </c>
      <c r="N1476">
        <v>0.12049839943792739</v>
      </c>
      <c r="O1476">
        <v>3.1602652399232899E-2</v>
      </c>
      <c r="P1476">
        <v>1.8341811573522576E-2</v>
      </c>
      <c r="Q1476">
        <v>0</v>
      </c>
      <c r="R1476">
        <v>6.3118451745877331E-3</v>
      </c>
      <c r="S1476">
        <v>0.16867902945411939</v>
      </c>
      <c r="T1476">
        <v>1.1702206880122574</v>
      </c>
      <c r="U1476">
        <v>0</v>
      </c>
      <c r="V1476">
        <v>1.5974643943430001E-2</v>
      </c>
      <c r="W1476">
        <v>6.2921585391976884E-2</v>
      </c>
      <c r="X1476">
        <v>-1.5502402310284196E-2</v>
      </c>
      <c r="Y1476">
        <v>2.599105496239227E-2</v>
      </c>
    </row>
    <row r="1477" spans="1:25" x14ac:dyDescent="0.25">
      <c r="A1477" s="879"/>
      <c r="B1477" s="1133">
        <v>1227</v>
      </c>
      <c r="C1477" s="883">
        <v>1.015747193359047</v>
      </c>
      <c r="D1477" s="883">
        <v>1.0290404027644762</v>
      </c>
      <c r="E1477" s="883">
        <v>1.0041175209923812</v>
      </c>
      <c r="F1477" s="883">
        <v>0.97179372842441714</v>
      </c>
      <c r="G1477" s="883">
        <v>0.96739670074788298</v>
      </c>
      <c r="H1477" s="883">
        <v>0.99021739858435542</v>
      </c>
      <c r="I1477" s="883">
        <v>0.9828744951440761</v>
      </c>
      <c r="K1477">
        <v>1.564891497194741</v>
      </c>
      <c r="L1477">
        <v>0</v>
      </c>
      <c r="M1477">
        <v>6.1477314105030491E-3</v>
      </c>
      <c r="N1477">
        <v>0.11531844890194866</v>
      </c>
      <c r="O1477">
        <v>3.0020233660056857E-2</v>
      </c>
      <c r="P1477">
        <v>1.7853391531116265E-2</v>
      </c>
      <c r="Q1477">
        <v>0</v>
      </c>
      <c r="R1477">
        <v>6.1477314105030491E-3</v>
      </c>
      <c r="S1477">
        <v>0.16242991930755124</v>
      </c>
      <c r="T1477">
        <v>1.1524288119092212</v>
      </c>
      <c r="U1477">
        <v>0</v>
      </c>
      <c r="V1477">
        <v>1.5769394727081942E-2</v>
      </c>
      <c r="W1477">
        <v>6.057174088959185E-2</v>
      </c>
      <c r="X1477">
        <v>-1.4815707424879761E-2</v>
      </c>
      <c r="Y1477">
        <v>2.5315263693052596E-2</v>
      </c>
    </row>
    <row r="1478" spans="1:25" x14ac:dyDescent="0.25">
      <c r="A1478" s="879"/>
      <c r="B1478" s="1133">
        <v>1228</v>
      </c>
      <c r="C1478" s="883">
        <v>0.97300744461177613</v>
      </c>
      <c r="D1478" s="883">
        <v>0.95617894188860764</v>
      </c>
      <c r="E1478" s="883">
        <v>0.98207229828657749</v>
      </c>
      <c r="F1478" s="883">
        <v>1.0119804771571854</v>
      </c>
      <c r="G1478" s="883">
        <v>1.0102852672249145</v>
      </c>
      <c r="H1478" s="883">
        <v>1.0172124734938963</v>
      </c>
      <c r="I1478" s="883">
        <v>0.95737842656767924</v>
      </c>
      <c r="K1478">
        <v>1.6393271452810085</v>
      </c>
      <c r="L1478">
        <v>0</v>
      </c>
      <c r="M1478">
        <v>6.9447260627150701E-3</v>
      </c>
      <c r="N1478">
        <v>0.12608048923828169</v>
      </c>
      <c r="O1478">
        <v>3.2292282090010796E-2</v>
      </c>
      <c r="P1478">
        <v>1.8259212296738932E-2</v>
      </c>
      <c r="Q1478">
        <v>0</v>
      </c>
      <c r="R1478">
        <v>6.9447260627150701E-3</v>
      </c>
      <c r="S1478">
        <v>0.16744089100039905</v>
      </c>
      <c r="T1478">
        <v>1.2005006915900824</v>
      </c>
      <c r="U1478">
        <v>0</v>
      </c>
      <c r="V1478">
        <v>1.6005147175404025E-2</v>
      </c>
      <c r="W1478">
        <v>6.695568107424682E-2</v>
      </c>
      <c r="X1478">
        <v>-1.6804394995256738E-2</v>
      </c>
      <c r="Y1478">
        <v>2.8597145811101902E-2</v>
      </c>
    </row>
    <row r="1479" spans="1:25" x14ac:dyDescent="0.25">
      <c r="A1479" s="879"/>
      <c r="B1479" s="1133">
        <v>1229</v>
      </c>
      <c r="C1479" s="883">
        <v>1.0349969602783085</v>
      </c>
      <c r="D1479" s="883">
        <v>1.0152763364690105</v>
      </c>
      <c r="E1479" s="883">
        <v>0.97894034141774167</v>
      </c>
      <c r="F1479" s="883">
        <v>0.98927373447909928</v>
      </c>
      <c r="G1479" s="883">
        <v>0.99394088396870883</v>
      </c>
      <c r="H1479" s="883">
        <v>0.97006109744373226</v>
      </c>
      <c r="I1479" s="883">
        <v>0.98452735117268408</v>
      </c>
      <c r="K1479">
        <v>1.5747192699652093</v>
      </c>
      <c r="L1479">
        <v>0</v>
      </c>
      <c r="M1479">
        <v>6.0782453418908476E-3</v>
      </c>
      <c r="N1479">
        <v>0.10983809175315808</v>
      </c>
      <c r="O1479">
        <v>2.9640994092810818E-2</v>
      </c>
      <c r="P1479">
        <v>1.7741417012773947E-2</v>
      </c>
      <c r="Q1479">
        <v>0</v>
      </c>
      <c r="R1479">
        <v>6.0782453418908476E-3</v>
      </c>
      <c r="S1479">
        <v>0.15866915128910175</v>
      </c>
      <c r="T1479">
        <v>1.1736217939010354</v>
      </c>
      <c r="U1479">
        <v>0</v>
      </c>
      <c r="V1479">
        <v>1.5669572602033381E-2</v>
      </c>
      <c r="W1479">
        <v>5.8421599924242756E-2</v>
      </c>
      <c r="X1479">
        <v>-1.3912483040513792E-2</v>
      </c>
      <c r="Y1479">
        <v>2.5029132430566699E-2</v>
      </c>
    </row>
    <row r="1480" spans="1:25" x14ac:dyDescent="0.25">
      <c r="A1480" s="879"/>
      <c r="B1480" s="1133">
        <v>1230</v>
      </c>
      <c r="C1480" s="883">
        <v>1.0031257652854326</v>
      </c>
      <c r="D1480" s="883">
        <v>1.02834599565453</v>
      </c>
      <c r="E1480" s="883">
        <v>1.0099336988072503</v>
      </c>
      <c r="F1480" s="883">
        <v>0.9853008611893278</v>
      </c>
      <c r="G1480" s="883">
        <v>1.0073349651129815</v>
      </c>
      <c r="H1480" s="883">
        <v>0.97618065690135813</v>
      </c>
      <c r="I1480" s="883">
        <v>1.0063106714091457</v>
      </c>
      <c r="K1480">
        <v>1.5869471569097189</v>
      </c>
      <c r="L1480">
        <v>0</v>
      </c>
      <c r="M1480">
        <v>6.1075506205353078E-3</v>
      </c>
      <c r="N1480">
        <v>0.11555564342930565</v>
      </c>
      <c r="O1480">
        <v>3.0401162549265774E-2</v>
      </c>
      <c r="P1480">
        <v>1.8216865036163734E-2</v>
      </c>
      <c r="Q1480">
        <v>0</v>
      </c>
      <c r="R1480">
        <v>6.1075506205353078E-3</v>
      </c>
      <c r="S1480">
        <v>0.16760168531304764</v>
      </c>
      <c r="T1480">
        <v>1.1683402943648367</v>
      </c>
      <c r="U1480">
        <v>0</v>
      </c>
      <c r="V1480">
        <v>1.5836924225084585E-2</v>
      </c>
      <c r="W1480">
        <v>6.0521760796672056E-2</v>
      </c>
      <c r="X1480">
        <v>-1.4676985156536794E-2</v>
      </c>
      <c r="Y1480">
        <v>2.5149806351879442E-2</v>
      </c>
    </row>
    <row r="1481" spans="1:25" x14ac:dyDescent="0.25">
      <c r="A1481" s="879"/>
      <c r="B1481" s="1133">
        <v>1231</v>
      </c>
      <c r="C1481" s="883">
        <v>1.0030925315053136</v>
      </c>
      <c r="D1481" s="883">
        <v>1.000115857859885</v>
      </c>
      <c r="E1481" s="883">
        <v>0.99164934150855077</v>
      </c>
      <c r="F1481" s="883">
        <v>0.97744339280990433</v>
      </c>
      <c r="G1481" s="883">
        <v>0.97455731967039494</v>
      </c>
      <c r="H1481" s="883">
        <v>0.98521531558255759</v>
      </c>
      <c r="I1481" s="883">
        <v>0.99801558643953148</v>
      </c>
      <c r="K1481">
        <v>1.5802574944016348</v>
      </c>
      <c r="L1481">
        <v>0</v>
      </c>
      <c r="M1481">
        <v>6.3417287034109576E-3</v>
      </c>
      <c r="N1481">
        <v>0.11677995149845488</v>
      </c>
      <c r="O1481">
        <v>3.0758126804868138E-2</v>
      </c>
      <c r="P1481">
        <v>1.783875148627426E-2</v>
      </c>
      <c r="Q1481">
        <v>0</v>
      </c>
      <c r="R1481">
        <v>6.3417287034109576E-3</v>
      </c>
      <c r="S1481">
        <v>0.1669846306917511</v>
      </c>
      <c r="T1481">
        <v>1.159355234818348</v>
      </c>
      <c r="U1481">
        <v>0</v>
      </c>
      <c r="V1481">
        <v>1.5837104281832076E-2</v>
      </c>
      <c r="W1481">
        <v>6.1720734709727644E-2</v>
      </c>
      <c r="X1481">
        <v>-1.5131149904638741E-2</v>
      </c>
      <c r="Y1481">
        <v>2.6114110015016467E-2</v>
      </c>
    </row>
    <row r="1482" spans="1:25" x14ac:dyDescent="0.25">
      <c r="A1482" s="879"/>
      <c r="B1482" s="1133">
        <v>1232</v>
      </c>
      <c r="C1482" s="883">
        <v>1.0106777006370837</v>
      </c>
      <c r="D1482" s="883">
        <v>1.0179242944113287</v>
      </c>
      <c r="E1482" s="883">
        <v>1.0213240905742809</v>
      </c>
      <c r="F1482" s="883">
        <v>0.99242579294937427</v>
      </c>
      <c r="G1482" s="883">
        <v>1.0382855469512158</v>
      </c>
      <c r="H1482" s="883">
        <v>0.95538128650961018</v>
      </c>
      <c r="I1482" s="883">
        <v>0.99704476043706203</v>
      </c>
      <c r="K1482">
        <v>1.5876621738694729</v>
      </c>
      <c r="L1482">
        <v>0</v>
      </c>
      <c r="M1482">
        <v>5.9006284114116094E-3</v>
      </c>
      <c r="N1482">
        <v>0.11353831543276602</v>
      </c>
      <c r="O1482">
        <v>3.0287161342404591E-2</v>
      </c>
      <c r="P1482">
        <v>1.8431479150873141E-2</v>
      </c>
      <c r="Q1482">
        <v>0</v>
      </c>
      <c r="R1482">
        <v>5.9006284114116094E-3</v>
      </c>
      <c r="S1482">
        <v>0.16374094463730768</v>
      </c>
      <c r="T1482">
        <v>1.1765795134716557</v>
      </c>
      <c r="U1482">
        <v>0</v>
      </c>
      <c r="V1482">
        <v>1.5796315791687939E-2</v>
      </c>
      <c r="W1482">
        <v>5.9131886226124024E-2</v>
      </c>
      <c r="X1482">
        <v>-1.41411797088347E-2</v>
      </c>
      <c r="Y1482">
        <v>2.4297737525488281E-2</v>
      </c>
    </row>
    <row r="1483" spans="1:25" x14ac:dyDescent="0.25">
      <c r="A1483" s="879"/>
      <c r="B1483" s="1133">
        <v>1233</v>
      </c>
      <c r="C1483" s="883">
        <v>0.99078840177554917</v>
      </c>
      <c r="D1483" s="883">
        <v>0.97527906455195179</v>
      </c>
      <c r="E1483" s="883">
        <v>0.96304728894003522</v>
      </c>
      <c r="F1483" s="883">
        <v>0.96370351718080238</v>
      </c>
      <c r="G1483" s="883">
        <v>0.96305197766043271</v>
      </c>
      <c r="H1483" s="883">
        <v>0.99149900401492741</v>
      </c>
      <c r="I1483" s="883">
        <v>1.0060612522696035</v>
      </c>
      <c r="K1483">
        <v>1.5727739046604625</v>
      </c>
      <c r="L1483">
        <v>0</v>
      </c>
      <c r="M1483">
        <v>6.6992769286072298E-3</v>
      </c>
      <c r="N1483">
        <v>0.11823745872687755</v>
      </c>
      <c r="O1483">
        <v>3.1477797731724363E-2</v>
      </c>
      <c r="P1483">
        <v>1.7296843536382094E-2</v>
      </c>
      <c r="Q1483">
        <v>0</v>
      </c>
      <c r="R1483">
        <v>6.6992769286072298E-3</v>
      </c>
      <c r="S1483">
        <v>0.17101989010805632</v>
      </c>
      <c r="T1483">
        <v>1.1435732368835627</v>
      </c>
      <c r="U1483">
        <v>0</v>
      </c>
      <c r="V1483">
        <v>1.5904596706665899E-2</v>
      </c>
      <c r="W1483">
        <v>6.3393443378529868E-2</v>
      </c>
      <c r="X1483">
        <v>-1.5715792376500413E-2</v>
      </c>
      <c r="Y1483">
        <v>2.7586429965163077E-2</v>
      </c>
    </row>
    <row r="1484" spans="1:25" x14ac:dyDescent="0.25">
      <c r="A1484" s="879"/>
      <c r="B1484" s="1133">
        <v>1234</v>
      </c>
      <c r="C1484" s="883">
        <v>0.9838517371151243</v>
      </c>
      <c r="D1484" s="883">
        <v>0.99618024720023579</v>
      </c>
      <c r="E1484" s="883">
        <v>0.99514027715719156</v>
      </c>
      <c r="F1484" s="883">
        <v>1.0285852177179375</v>
      </c>
      <c r="G1484" s="883">
        <v>0.99758199053709828</v>
      </c>
      <c r="H1484" s="883">
        <v>0.98683816170076222</v>
      </c>
      <c r="I1484" s="883">
        <v>1.0094214015314102</v>
      </c>
      <c r="K1484">
        <v>1.6525896509690825</v>
      </c>
      <c r="L1484">
        <v>0</v>
      </c>
      <c r="M1484">
        <v>6.468062397803954E-3</v>
      </c>
      <c r="N1484">
        <v>0.11972421471168609</v>
      </c>
      <c r="O1484">
        <v>3.1406193311741062E-2</v>
      </c>
      <c r="P1484">
        <v>1.8766410893823301E-2</v>
      </c>
      <c r="Q1484">
        <v>0</v>
      </c>
      <c r="R1484">
        <v>6.468062397803954E-3</v>
      </c>
      <c r="S1484">
        <v>0.1723362092797992</v>
      </c>
      <c r="T1484">
        <v>1.2199482186626476</v>
      </c>
      <c r="U1484">
        <v>0</v>
      </c>
      <c r="V1484">
        <v>1.5943390850355774E-2</v>
      </c>
      <c r="W1484">
        <v>6.3166936557366909E-2</v>
      </c>
      <c r="X1484">
        <v>-1.5336252980306581E-2</v>
      </c>
      <c r="Y1484">
        <v>2.6634329681967491E-2</v>
      </c>
    </row>
    <row r="1485" spans="1:25" x14ac:dyDescent="0.25">
      <c r="A1485" s="879"/>
      <c r="B1485" s="1133">
        <v>1235</v>
      </c>
      <c r="C1485" s="883">
        <v>0.99137050955220241</v>
      </c>
      <c r="D1485" s="883">
        <v>1.0018996207222457</v>
      </c>
      <c r="E1485" s="883">
        <v>1.001280159409466</v>
      </c>
      <c r="F1485" s="883">
        <v>1.0046064762761826</v>
      </c>
      <c r="G1485" s="883">
        <v>0.99812191453743482</v>
      </c>
      <c r="H1485" s="883">
        <v>1.0386766179875953</v>
      </c>
      <c r="I1485" s="883">
        <v>0.97838590925648772</v>
      </c>
      <c r="K1485">
        <v>1.6276139475838727</v>
      </c>
      <c r="L1485">
        <v>0</v>
      </c>
      <c r="M1485">
        <v>6.7029243131659678E-3</v>
      </c>
      <c r="N1485">
        <v>0.12520539167196201</v>
      </c>
      <c r="O1485">
        <v>3.1091474476602279E-2</v>
      </c>
      <c r="P1485">
        <v>1.8422341711906147E-2</v>
      </c>
      <c r="Q1485">
        <v>0</v>
      </c>
      <c r="R1485">
        <v>6.7029243131659678E-3</v>
      </c>
      <c r="S1485">
        <v>0.16868522742289987</v>
      </c>
      <c r="T1485">
        <v>1.1913936702021197</v>
      </c>
      <c r="U1485">
        <v>0</v>
      </c>
      <c r="V1485">
        <v>1.5901365888378483E-2</v>
      </c>
      <c r="W1485">
        <v>6.5857554144728173E-2</v>
      </c>
      <c r="X1485">
        <v>-1.6544527180289596E-2</v>
      </c>
      <c r="Y1485">
        <v>2.7601449245565696E-2</v>
      </c>
    </row>
    <row r="1486" spans="1:25" x14ac:dyDescent="0.25">
      <c r="A1486" s="879"/>
      <c r="B1486" s="1133">
        <v>1236</v>
      </c>
      <c r="C1486" s="883">
        <v>0.99669433973910015</v>
      </c>
      <c r="D1486" s="883">
        <v>0.99771031321629855</v>
      </c>
      <c r="E1486" s="883">
        <v>1.0272734670164931</v>
      </c>
      <c r="F1486" s="883">
        <v>0.98526767335654974</v>
      </c>
      <c r="G1486" s="883">
        <v>1.0040766262642247</v>
      </c>
      <c r="H1486" s="883">
        <v>0.95759872573557503</v>
      </c>
      <c r="I1486" s="883">
        <v>0.98594404063743379</v>
      </c>
      <c r="K1486">
        <v>1.5853098881638286</v>
      </c>
      <c r="L1486">
        <v>0</v>
      </c>
      <c r="M1486">
        <v>6.0197228863643178E-3</v>
      </c>
      <c r="N1486">
        <v>0.11685347350963908</v>
      </c>
      <c r="O1486">
        <v>3.0953975494699196E-2</v>
      </c>
      <c r="P1486">
        <v>1.8407114749009846E-2</v>
      </c>
      <c r="Q1486">
        <v>0</v>
      </c>
      <c r="R1486">
        <v>6.0197228863643178E-3</v>
      </c>
      <c r="S1486">
        <v>0.16449914977136987</v>
      </c>
      <c r="T1486">
        <v>1.1679848256940641</v>
      </c>
      <c r="U1486">
        <v>0</v>
      </c>
      <c r="V1486">
        <v>1.5871992621731102E-2</v>
      </c>
      <c r="W1486">
        <v>6.0680673330250061E-2</v>
      </c>
      <c r="X1486">
        <v>-1.4729464382251541E-2</v>
      </c>
      <c r="Y1486">
        <v>2.4788147375317229E-2</v>
      </c>
    </row>
    <row r="1487" spans="1:25" x14ac:dyDescent="0.25">
      <c r="A1487" s="879"/>
      <c r="B1487" s="1133">
        <v>1237</v>
      </c>
      <c r="C1487" s="883">
        <v>0.97104234759468511</v>
      </c>
      <c r="D1487" s="883">
        <v>0.98658829361851397</v>
      </c>
      <c r="E1487" s="883">
        <v>1.0189686866538836</v>
      </c>
      <c r="F1487" s="883">
        <v>0.99084708892175521</v>
      </c>
      <c r="G1487" s="883">
        <v>1.0246119473305269</v>
      </c>
      <c r="H1487" s="883">
        <v>1.0036837284605209</v>
      </c>
      <c r="I1487" s="883">
        <v>0.97534008554749341</v>
      </c>
      <c r="K1487">
        <v>1.6127655789025583</v>
      </c>
      <c r="L1487">
        <v>0</v>
      </c>
      <c r="M1487">
        <v>6.5560877433583709E-3</v>
      </c>
      <c r="N1487">
        <v>0.12571170905668921</v>
      </c>
      <c r="O1487">
        <v>3.1922366938863418E-2</v>
      </c>
      <c r="P1487">
        <v>1.8460038288985056E-2</v>
      </c>
      <c r="Q1487">
        <v>0</v>
      </c>
      <c r="R1487">
        <v>6.5560877433583709E-3</v>
      </c>
      <c r="S1487">
        <v>0.16982387470971386</v>
      </c>
      <c r="T1487">
        <v>1.1747510342837777</v>
      </c>
      <c r="U1487">
        <v>0</v>
      </c>
      <c r="V1487">
        <v>1.6016485678009226E-2</v>
      </c>
      <c r="W1487">
        <v>6.5547914672033872E-2</v>
      </c>
      <c r="X1487">
        <v>-1.6464647112547741E-2</v>
      </c>
      <c r="Y1487">
        <v>2.6996802387033138E-2</v>
      </c>
    </row>
    <row r="1488" spans="1:25" x14ac:dyDescent="0.25">
      <c r="A1488" s="879"/>
      <c r="B1488" s="1133">
        <v>1238</v>
      </c>
      <c r="C1488" s="883">
        <v>1.0076156282704178</v>
      </c>
      <c r="D1488" s="883">
        <v>0.98461590025552936</v>
      </c>
      <c r="E1488" s="883">
        <v>0.99251434005845751</v>
      </c>
      <c r="F1488" s="883">
        <v>1.0113035564524482</v>
      </c>
      <c r="G1488" s="883">
        <v>1.0273457561513182</v>
      </c>
      <c r="H1488" s="883">
        <v>1.0113266893614541</v>
      </c>
      <c r="I1488" s="883">
        <v>0.98780934646718399</v>
      </c>
      <c r="K1488">
        <v>1.6256541096802843</v>
      </c>
      <c r="L1488">
        <v>0</v>
      </c>
      <c r="M1488">
        <v>6.5209852954854382E-3</v>
      </c>
      <c r="N1488">
        <v>0.12023494756277724</v>
      </c>
      <c r="O1488">
        <v>3.0811248449960579E-2</v>
      </c>
      <c r="P1488">
        <v>1.8373301934526683E-2</v>
      </c>
      <c r="Q1488">
        <v>0</v>
      </c>
      <c r="R1488">
        <v>6.5209852954854382E-3</v>
      </c>
      <c r="S1488">
        <v>0.1661822312728635</v>
      </c>
      <c r="T1488">
        <v>1.1995008201421617</v>
      </c>
      <c r="U1488">
        <v>0</v>
      </c>
      <c r="V1488">
        <v>1.581270786594495E-2</v>
      </c>
      <c r="W1488">
        <v>6.3519393520563752E-2</v>
      </c>
      <c r="X1488">
        <v>-1.5632797823208259E-2</v>
      </c>
      <c r="Y1488">
        <v>2.6852256754695211E-2</v>
      </c>
    </row>
    <row r="1489" spans="1:25" x14ac:dyDescent="0.25">
      <c r="A1489" s="879"/>
      <c r="B1489" s="1133">
        <v>1239</v>
      </c>
      <c r="C1489" s="883">
        <v>0.9813592705869989</v>
      </c>
      <c r="D1489" s="883">
        <v>0.99998155540629707</v>
      </c>
      <c r="E1489" s="883">
        <v>0.95898504038707688</v>
      </c>
      <c r="F1489" s="883">
        <v>1.0093316402092698</v>
      </c>
      <c r="G1489" s="883">
        <v>0.99600868577618462</v>
      </c>
      <c r="H1489" s="883">
        <v>1.0195197350320659</v>
      </c>
      <c r="I1489" s="883">
        <v>1.0036222574535314</v>
      </c>
      <c r="K1489">
        <v>1.6353148819714136</v>
      </c>
      <c r="L1489">
        <v>0</v>
      </c>
      <c r="M1489">
        <v>6.9019188899820507E-3</v>
      </c>
      <c r="N1489">
        <v>0.12108094186753607</v>
      </c>
      <c r="O1489">
        <v>3.1466906536065979E-2</v>
      </c>
      <c r="P1489">
        <v>1.7978957335855653E-2</v>
      </c>
      <c r="Q1489">
        <v>0</v>
      </c>
      <c r="R1489">
        <v>6.9019188899820507E-3</v>
      </c>
      <c r="S1489">
        <v>0.17364081425291666</v>
      </c>
      <c r="T1489">
        <v>1.1977944836887404</v>
      </c>
      <c r="U1489">
        <v>0</v>
      </c>
      <c r="V1489">
        <v>1.5957464206868478E-2</v>
      </c>
      <c r="W1489">
        <v>6.5051196411779699E-2</v>
      </c>
      <c r="X1489">
        <v>-1.6076755821531251E-2</v>
      </c>
      <c r="Y1489">
        <v>2.8420873493180052E-2</v>
      </c>
    </row>
    <row r="1490" spans="1:25" x14ac:dyDescent="0.25">
      <c r="A1490" s="879"/>
      <c r="B1490" s="1133">
        <v>1240</v>
      </c>
      <c r="C1490" s="883">
        <v>1.0055865183425252</v>
      </c>
      <c r="D1490" s="883">
        <v>1.0334721032980494</v>
      </c>
      <c r="E1490" s="883">
        <v>0.98900924812873325</v>
      </c>
      <c r="F1490" s="883">
        <v>0.99023104384177907</v>
      </c>
      <c r="G1490" s="883">
        <v>1.0114516212299887</v>
      </c>
      <c r="H1490" s="883">
        <v>1.0125156798645225</v>
      </c>
      <c r="I1490" s="883">
        <v>1.0069723240825381</v>
      </c>
      <c r="K1490">
        <v>1.5992838842741131</v>
      </c>
      <c r="L1490">
        <v>0</v>
      </c>
      <c r="M1490">
        <v>6.4217141725159297E-3</v>
      </c>
      <c r="N1490">
        <v>0.11779090297708641</v>
      </c>
      <c r="O1490">
        <v>3.0283957524966335E-2</v>
      </c>
      <c r="P1490">
        <v>1.8035325176524373E-2</v>
      </c>
      <c r="Q1490">
        <v>0</v>
      </c>
      <c r="R1490">
        <v>6.4217141725159297E-3</v>
      </c>
      <c r="S1490">
        <v>0.16931307122651554</v>
      </c>
      <c r="T1490">
        <v>1.1745714917412935</v>
      </c>
      <c r="U1490">
        <v>0</v>
      </c>
      <c r="V1490">
        <v>1.5823625217102906E-2</v>
      </c>
      <c r="W1490">
        <v>6.2337047944140217E-2</v>
      </c>
      <c r="X1490">
        <v>-1.5315013473423787E-2</v>
      </c>
      <c r="Y1490">
        <v>2.6443475939907958E-2</v>
      </c>
    </row>
    <row r="1491" spans="1:25" x14ac:dyDescent="0.25">
      <c r="A1491" s="879"/>
      <c r="B1491" s="1133">
        <v>1241</v>
      </c>
      <c r="C1491" s="883">
        <v>0.98747066982941212</v>
      </c>
      <c r="D1491" s="883">
        <v>0.99454230991048875</v>
      </c>
      <c r="E1491" s="883">
        <v>0.98372294888172418</v>
      </c>
      <c r="F1491" s="883">
        <v>1.012937514652466</v>
      </c>
      <c r="G1491" s="883">
        <v>0.95906346056544189</v>
      </c>
      <c r="H1491" s="883">
        <v>1.0319493018481511</v>
      </c>
      <c r="I1491" s="883">
        <v>1.0256991783239986</v>
      </c>
      <c r="K1491">
        <v>1.6458841568467151</v>
      </c>
      <c r="L1491">
        <v>0</v>
      </c>
      <c r="M1491">
        <v>6.8114172852007738E-3</v>
      </c>
      <c r="N1491">
        <v>0.12396344227600475</v>
      </c>
      <c r="O1491">
        <v>3.1321203196971542E-2</v>
      </c>
      <c r="P1491">
        <v>1.8425063002345362E-2</v>
      </c>
      <c r="Q1491">
        <v>0</v>
      </c>
      <c r="R1491">
        <v>6.8114172852007738E-3</v>
      </c>
      <c r="S1491">
        <v>0.17720080818048028</v>
      </c>
      <c r="T1491">
        <v>1.2016048144971763</v>
      </c>
      <c r="U1491">
        <v>0</v>
      </c>
      <c r="V1491">
        <v>1.5923083526832381E-2</v>
      </c>
      <c r="W1491">
        <v>6.5777089951264162E-2</v>
      </c>
      <c r="X1491">
        <v>-1.6379551777735455E-2</v>
      </c>
      <c r="Y1491">
        <v>2.8048203993375903E-2</v>
      </c>
    </row>
    <row r="1492" spans="1:25" x14ac:dyDescent="0.25">
      <c r="A1492" s="879"/>
      <c r="B1492" s="1133">
        <v>1242</v>
      </c>
      <c r="C1492" s="883">
        <v>0.95912299760385444</v>
      </c>
      <c r="D1492" s="883">
        <v>0.96569939431461915</v>
      </c>
      <c r="E1492" s="883">
        <v>1.0190132048774043</v>
      </c>
      <c r="F1492" s="883">
        <v>1.0123005027554</v>
      </c>
      <c r="G1492" s="883">
        <v>1.0039218920594897</v>
      </c>
      <c r="H1492" s="883">
        <v>0.99212096869751443</v>
      </c>
      <c r="I1492" s="883">
        <v>1.0212759395475737</v>
      </c>
      <c r="K1492">
        <v>1.6513707527613415</v>
      </c>
      <c r="L1492">
        <v>0</v>
      </c>
      <c r="M1492">
        <v>6.6238533436297382E-3</v>
      </c>
      <c r="N1492">
        <v>0.12701946654104507</v>
      </c>
      <c r="O1492">
        <v>3.2596876728726527E-2</v>
      </c>
      <c r="P1492">
        <v>1.8938803640783996E-2</v>
      </c>
      <c r="Q1492">
        <v>0</v>
      </c>
      <c r="R1492">
        <v>6.6238533436297382E-3</v>
      </c>
      <c r="S1492">
        <v>0.17955109325456789</v>
      </c>
      <c r="T1492">
        <v>1.2001854269511931</v>
      </c>
      <c r="U1492">
        <v>0</v>
      </c>
      <c r="V1492">
        <v>1.6086255262832218E-2</v>
      </c>
      <c r="W1492">
        <v>6.6228345496318203E-2</v>
      </c>
      <c r="X1492">
        <v>-1.6511364181248236E-2</v>
      </c>
      <c r="Y1492">
        <v>2.7275849067123419E-2</v>
      </c>
    </row>
    <row r="1493" spans="1:25" x14ac:dyDescent="0.25">
      <c r="A1493" s="879"/>
      <c r="B1493" s="1133">
        <v>1243</v>
      </c>
      <c r="C1493" s="883">
        <v>0.98474652087357584</v>
      </c>
      <c r="D1493" s="883">
        <v>1.011596421262148</v>
      </c>
      <c r="E1493" s="883">
        <v>0.96280650545668567</v>
      </c>
      <c r="F1493" s="883">
        <v>0.96177015558320256</v>
      </c>
      <c r="G1493" s="883">
        <v>0.9714327067515085</v>
      </c>
      <c r="H1493" s="883">
        <v>1.0043036303985631</v>
      </c>
      <c r="I1493" s="883">
        <v>1.0175802958278672</v>
      </c>
      <c r="K1493">
        <v>1.5741278297330272</v>
      </c>
      <c r="L1493">
        <v>0</v>
      </c>
      <c r="M1493">
        <v>6.7183555138269025E-3</v>
      </c>
      <c r="N1493">
        <v>0.11853177591558046</v>
      </c>
      <c r="O1493">
        <v>3.1211306317230601E-2</v>
      </c>
      <c r="P1493">
        <v>1.7308556904312232E-2</v>
      </c>
      <c r="Q1493">
        <v>0</v>
      </c>
      <c r="R1493">
        <v>6.7183555138269025E-3</v>
      </c>
      <c r="S1493">
        <v>0.174421735100945</v>
      </c>
      <c r="T1493">
        <v>1.1412833657282793</v>
      </c>
      <c r="U1493">
        <v>0</v>
      </c>
      <c r="V1493">
        <v>1.5938355959951706E-2</v>
      </c>
      <c r="W1493">
        <v>6.3558958661709505E-2</v>
      </c>
      <c r="X1493">
        <v>-1.5791217038217609E-2</v>
      </c>
      <c r="Y1493">
        <v>2.7664992183236103E-2</v>
      </c>
    </row>
    <row r="1494" spans="1:25" x14ac:dyDescent="0.25">
      <c r="A1494" s="879"/>
      <c r="B1494" s="1133">
        <v>1244</v>
      </c>
      <c r="C1494" s="883">
        <v>1.0126044722750127</v>
      </c>
      <c r="D1494" s="883">
        <v>0.96550774420116814</v>
      </c>
      <c r="E1494" s="883">
        <v>0.98684661417213215</v>
      </c>
      <c r="F1494" s="883">
        <v>1.0031136811206118</v>
      </c>
      <c r="G1494" s="883">
        <v>0.97691931584862979</v>
      </c>
      <c r="H1494" s="883">
        <v>0.97738642853082891</v>
      </c>
      <c r="I1494" s="883">
        <v>0.99645591551153379</v>
      </c>
      <c r="K1494">
        <v>1.6088586057710714</v>
      </c>
      <c r="L1494">
        <v>0</v>
      </c>
      <c r="M1494">
        <v>6.3575933006468389E-3</v>
      </c>
      <c r="N1494">
        <v>0.11624140205877712</v>
      </c>
      <c r="O1494">
        <v>3.0905394147353955E-2</v>
      </c>
      <c r="P1494">
        <v>1.8151249927187432E-2</v>
      </c>
      <c r="Q1494">
        <v>0</v>
      </c>
      <c r="R1494">
        <v>6.3575933006468389E-3</v>
      </c>
      <c r="S1494">
        <v>0.16504903007907124</v>
      </c>
      <c r="T1494">
        <v>1.1898927810201307</v>
      </c>
      <c r="U1494">
        <v>0</v>
      </c>
      <c r="V1494">
        <v>1.5786052096140063E-2</v>
      </c>
      <c r="W1494">
        <v>6.1583458574940818E-2</v>
      </c>
      <c r="X1494">
        <v>-1.4930199735171675E-2</v>
      </c>
      <c r="Y1494">
        <v>2.6179437602640781E-2</v>
      </c>
    </row>
    <row r="1495" spans="1:25" x14ac:dyDescent="0.25">
      <c r="A1495" s="879"/>
      <c r="B1495" s="1133">
        <v>1245</v>
      </c>
      <c r="C1495" s="883">
        <v>1.0214122065313778</v>
      </c>
      <c r="D1495" s="883">
        <v>0.95497771740456028</v>
      </c>
      <c r="E1495" s="883">
        <v>1.0198746366852496</v>
      </c>
      <c r="F1495" s="883">
        <v>0.98962451293541365</v>
      </c>
      <c r="G1495" s="883">
        <v>0.99832346516952708</v>
      </c>
      <c r="H1495" s="883">
        <v>1.0313006364427642</v>
      </c>
      <c r="I1495" s="883">
        <v>0.99832815768339411</v>
      </c>
      <c r="K1495">
        <v>1.6054095069544116</v>
      </c>
      <c r="L1495">
        <v>0</v>
      </c>
      <c r="M1495">
        <v>6.4929925322250908E-3</v>
      </c>
      <c r="N1495">
        <v>0.12466884241234109</v>
      </c>
      <c r="O1495">
        <v>3.0745228870482002E-2</v>
      </c>
      <c r="P1495">
        <v>1.8413123565374404E-2</v>
      </c>
      <c r="Q1495">
        <v>0</v>
      </c>
      <c r="R1495">
        <v>6.4929925322250908E-3</v>
      </c>
      <c r="S1495">
        <v>0.16719755696935887</v>
      </c>
      <c r="T1495">
        <v>1.1732849589477505</v>
      </c>
      <c r="U1495">
        <v>0</v>
      </c>
      <c r="V1495">
        <v>1.5739627369095319E-2</v>
      </c>
      <c r="W1495">
        <v>6.4975139382043925E-2</v>
      </c>
      <c r="X1495">
        <v>-1.6351958100150509E-2</v>
      </c>
      <c r="Y1495">
        <v>2.6736987538115209E-2</v>
      </c>
    </row>
    <row r="1496" spans="1:25" x14ac:dyDescent="0.25">
      <c r="A1496" s="879"/>
      <c r="B1496" s="1133">
        <v>1246</v>
      </c>
      <c r="C1496" s="883">
        <v>0.99880620370714945</v>
      </c>
      <c r="D1496" s="883">
        <v>1.0063000220811615</v>
      </c>
      <c r="E1496" s="883">
        <v>0.99339706931450966</v>
      </c>
      <c r="F1496" s="883">
        <v>1.0084930475452525</v>
      </c>
      <c r="G1496" s="883">
        <v>0.96413902667720619</v>
      </c>
      <c r="H1496" s="883">
        <v>0.97993851402468291</v>
      </c>
      <c r="I1496" s="883">
        <v>1.0036415331142694</v>
      </c>
      <c r="K1496">
        <v>1.6185341617370763</v>
      </c>
      <c r="L1496">
        <v>0</v>
      </c>
      <c r="M1496">
        <v>6.3078110059581177E-3</v>
      </c>
      <c r="N1496">
        <v>0.11645668239486223</v>
      </c>
      <c r="O1496">
        <v>3.0812602108300429E-2</v>
      </c>
      <c r="P1496">
        <v>1.8369724118996462E-2</v>
      </c>
      <c r="Q1496">
        <v>0</v>
      </c>
      <c r="R1496">
        <v>6.3078110059581177E-3</v>
      </c>
      <c r="S1496">
        <v>0.16828171112259485</v>
      </c>
      <c r="T1496">
        <v>1.1961507205796085</v>
      </c>
      <c r="U1496">
        <v>0</v>
      </c>
      <c r="V1496">
        <v>1.5860427538612273E-2</v>
      </c>
      <c r="W1496">
        <v>6.1496315725778558E-2</v>
      </c>
      <c r="X1496">
        <v>-1.4868464825707214E-2</v>
      </c>
      <c r="Y1496">
        <v>2.5974442974030763E-2</v>
      </c>
    </row>
    <row r="1497" spans="1:25" x14ac:dyDescent="0.25">
      <c r="A1497" s="879"/>
      <c r="B1497" s="1133">
        <v>1247</v>
      </c>
      <c r="C1497" s="883">
        <v>1.0161156750859328</v>
      </c>
      <c r="D1497" s="883">
        <v>0.99817904586793993</v>
      </c>
      <c r="E1497" s="883">
        <v>0.9842846900717761</v>
      </c>
      <c r="F1497" s="883">
        <v>0.97494460794525351</v>
      </c>
      <c r="G1497" s="883">
        <v>1.0376647039341456</v>
      </c>
      <c r="H1497" s="883">
        <v>1.008997973447797</v>
      </c>
      <c r="I1497" s="883">
        <v>1.0034519251125227</v>
      </c>
      <c r="K1497">
        <v>1.5787224409054448</v>
      </c>
      <c r="L1497">
        <v>0</v>
      </c>
      <c r="M1497">
        <v>6.4584831053728529E-3</v>
      </c>
      <c r="N1497">
        <v>0.11763824065862941</v>
      </c>
      <c r="O1497">
        <v>3.0393383975357749E-2</v>
      </c>
      <c r="P1497">
        <v>1.7701831938125894E-2</v>
      </c>
      <c r="Q1497">
        <v>0</v>
      </c>
      <c r="R1497">
        <v>6.4584831053728529E-3</v>
      </c>
      <c r="S1497">
        <v>0.16711602124776859</v>
      </c>
      <c r="T1497">
        <v>1.1565252237675305</v>
      </c>
      <c r="U1497">
        <v>0</v>
      </c>
      <c r="V1497">
        <v>1.5767448411700191E-2</v>
      </c>
      <c r="W1497">
        <v>6.2403305565645877E-2</v>
      </c>
      <c r="X1497">
        <v>-1.541789852010177E-2</v>
      </c>
      <c r="Y1497">
        <v>2.6594883860786702E-2</v>
      </c>
    </row>
    <row r="1498" spans="1:25" x14ac:dyDescent="0.25">
      <c r="A1498" s="879"/>
      <c r="B1498" s="1133">
        <v>1248</v>
      </c>
      <c r="C1498" s="883">
        <v>1.0129861445979345</v>
      </c>
      <c r="D1498" s="883">
        <v>0.99707920798092831</v>
      </c>
      <c r="E1498" s="883">
        <v>0.9993042900024498</v>
      </c>
      <c r="F1498" s="883">
        <v>0.9924296121667614</v>
      </c>
      <c r="G1498" s="883">
        <v>1.0040996900131542</v>
      </c>
      <c r="H1498" s="883">
        <v>1.0247284421924323</v>
      </c>
      <c r="I1498" s="883">
        <v>1.0353912490485973</v>
      </c>
      <c r="K1498">
        <v>1.6111211261632441</v>
      </c>
      <c r="L1498">
        <v>0</v>
      </c>
      <c r="M1498">
        <v>6.496944552826212E-3</v>
      </c>
      <c r="N1498">
        <v>0.12100313730422922</v>
      </c>
      <c r="O1498">
        <v>3.0488449191198697E-2</v>
      </c>
      <c r="P1498">
        <v>1.8270922872990546E-2</v>
      </c>
      <c r="Q1498">
        <v>0</v>
      </c>
      <c r="R1498">
        <v>6.496944552826212E-3</v>
      </c>
      <c r="S1498">
        <v>0.17392963833238403</v>
      </c>
      <c r="T1498">
        <v>1.1769891946183926</v>
      </c>
      <c r="U1498">
        <v>0</v>
      </c>
      <c r="V1498">
        <v>1.5784023603843688E-2</v>
      </c>
      <c r="W1498">
        <v>6.3709663644397743E-2</v>
      </c>
      <c r="X1498">
        <v>-1.5807164659709702E-2</v>
      </c>
      <c r="Y1498">
        <v>2.6753261255517191E-2</v>
      </c>
    </row>
    <row r="1499" spans="1:25" x14ac:dyDescent="0.25">
      <c r="A1499" s="879"/>
      <c r="B1499" s="1133">
        <v>1249</v>
      </c>
      <c r="C1499" s="883">
        <v>1.0405241081258092</v>
      </c>
      <c r="D1499" s="883">
        <v>0.98467087978807943</v>
      </c>
      <c r="E1499" s="883">
        <v>1.0149696772300705</v>
      </c>
      <c r="F1499" s="883">
        <v>1.0408193677920572</v>
      </c>
      <c r="G1499" s="883">
        <v>1.0115718766189679</v>
      </c>
      <c r="H1499" s="883">
        <v>1.0131466178016444</v>
      </c>
      <c r="I1499" s="883">
        <v>1.0010204687633306</v>
      </c>
      <c r="K1499">
        <v>1.6524891014580014</v>
      </c>
      <c r="L1499">
        <v>0</v>
      </c>
      <c r="M1499">
        <v>6.2030217536639997E-3</v>
      </c>
      <c r="N1499">
        <v>0.11824003457960966</v>
      </c>
      <c r="O1499">
        <v>2.9817400229607775E-2</v>
      </c>
      <c r="P1499">
        <v>1.9112509209588104E-2</v>
      </c>
      <c r="Q1499">
        <v>0</v>
      </c>
      <c r="R1499">
        <v>6.2030217536639997E-3</v>
      </c>
      <c r="S1499">
        <v>0.16320364840650084</v>
      </c>
      <c r="T1499">
        <v>1.2340753508984457</v>
      </c>
      <c r="U1499">
        <v>0</v>
      </c>
      <c r="V1499">
        <v>1.5641593362805465E-2</v>
      </c>
      <c r="W1499">
        <v>6.1773792766605023E-2</v>
      </c>
      <c r="X1499">
        <v>-1.4918167480036755E-2</v>
      </c>
      <c r="Y1499">
        <v>2.5542939484875179E-2</v>
      </c>
    </row>
    <row r="1500" spans="1:25" x14ac:dyDescent="0.25">
      <c r="A1500" s="879"/>
      <c r="B1500" s="1133">
        <v>1250</v>
      </c>
      <c r="C1500" s="883">
        <v>1.0260322395654222</v>
      </c>
      <c r="D1500" s="883">
        <v>0.97406305558373729</v>
      </c>
      <c r="E1500" s="883">
        <v>0.9979186412223171</v>
      </c>
      <c r="F1500" s="883">
        <v>0.99287812102888684</v>
      </c>
      <c r="G1500" s="883">
        <v>0.98795310508005241</v>
      </c>
      <c r="H1500" s="883">
        <v>1.0113681815228015</v>
      </c>
      <c r="I1500" s="883">
        <v>0.98536877220769825</v>
      </c>
      <c r="K1500">
        <v>1.5973269359431361</v>
      </c>
      <c r="L1500">
        <v>0</v>
      </c>
      <c r="M1500">
        <v>6.4047997693319923E-3</v>
      </c>
      <c r="N1500">
        <v>0.11904232770599463</v>
      </c>
      <c r="O1500">
        <v>3.0384451597989259E-2</v>
      </c>
      <c r="P1500">
        <v>1.8110930187449529E-2</v>
      </c>
      <c r="Q1500">
        <v>0</v>
      </c>
      <c r="R1500">
        <v>6.4047997693319923E-3</v>
      </c>
      <c r="S1500">
        <v>0.16291638631217931</v>
      </c>
      <c r="T1500">
        <v>1.17754668910794</v>
      </c>
      <c r="U1500">
        <v>0</v>
      </c>
      <c r="V1500">
        <v>1.5715594309079827E-2</v>
      </c>
      <c r="W1500">
        <v>6.2720444223390612E-2</v>
      </c>
      <c r="X1500">
        <v>-1.5483712939136611E-2</v>
      </c>
      <c r="Y1500">
        <v>2.6373825438248042E-2</v>
      </c>
    </row>
    <row r="1501" spans="1:25" x14ac:dyDescent="0.25">
      <c r="A1501" s="879"/>
      <c r="B1501" s="1133">
        <v>1251</v>
      </c>
      <c r="C1501" s="883">
        <v>0.98347549789506417</v>
      </c>
      <c r="D1501" s="883">
        <v>0.98480155814495851</v>
      </c>
      <c r="E1501" s="883">
        <v>1.0131625649070675</v>
      </c>
      <c r="F1501" s="883">
        <v>1.0232293876235117</v>
      </c>
      <c r="G1501" s="883">
        <v>1.001693298320433</v>
      </c>
      <c r="H1501" s="883">
        <v>1.0147071691110268</v>
      </c>
      <c r="I1501" s="883">
        <v>1.0181694788243525</v>
      </c>
      <c r="K1501">
        <v>1.6569049690577593</v>
      </c>
      <c r="L1501">
        <v>0</v>
      </c>
      <c r="M1501">
        <v>6.5829604232615869E-3</v>
      </c>
      <c r="N1501">
        <v>0.12514716143758184</v>
      </c>
      <c r="O1501">
        <v>3.1546997301567965E-2</v>
      </c>
      <c r="P1501">
        <v>1.897893163598589E-2</v>
      </c>
      <c r="Q1501">
        <v>0</v>
      </c>
      <c r="R1501">
        <v>6.5829604232615869E-3</v>
      </c>
      <c r="S1501">
        <v>0.17571954841509702</v>
      </c>
      <c r="T1501">
        <v>1.2132535712784724</v>
      </c>
      <c r="U1501">
        <v>0</v>
      </c>
      <c r="V1501">
        <v>1.5945510660202764E-2</v>
      </c>
      <c r="W1501">
        <v>6.5440748289372172E-2</v>
      </c>
      <c r="X1501">
        <v>-1.623495926023847E-2</v>
      </c>
      <c r="Y1501">
        <v>2.710745929971586E-2</v>
      </c>
    </row>
    <row r="1502" spans="1:25" x14ac:dyDescent="0.25">
      <c r="A1502" s="879"/>
      <c r="B1502" s="1133">
        <v>1252</v>
      </c>
      <c r="C1502" s="883">
        <v>0.97873791710544156</v>
      </c>
      <c r="D1502" s="883">
        <v>0.97450328563086852</v>
      </c>
      <c r="E1502" s="883">
        <v>0.99768439094360428</v>
      </c>
      <c r="F1502" s="883">
        <v>1.0209203592712268</v>
      </c>
      <c r="G1502" s="883">
        <v>0.96904679557194362</v>
      </c>
      <c r="H1502" s="883">
        <v>0.97972553813955587</v>
      </c>
      <c r="I1502" s="883">
        <v>0.9668462236635218</v>
      </c>
      <c r="K1502">
        <v>1.6386964947921097</v>
      </c>
      <c r="L1502">
        <v>0</v>
      </c>
      <c r="M1502">
        <v>6.504238873793416E-3</v>
      </c>
      <c r="N1502">
        <v>0.12084859202041466</v>
      </c>
      <c r="O1502">
        <v>3.1847129017338355E-2</v>
      </c>
      <c r="P1502">
        <v>1.8592913886501489E-2</v>
      </c>
      <c r="Q1502">
        <v>0</v>
      </c>
      <c r="R1502">
        <v>6.504238873793416E-3</v>
      </c>
      <c r="S1502">
        <v>0.1657399848772074</v>
      </c>
      <c r="T1502">
        <v>1.2108090396515041</v>
      </c>
      <c r="U1502">
        <v>0</v>
      </c>
      <c r="V1502">
        <v>1.597234263961228E-2</v>
      </c>
      <c r="W1502">
        <v>6.3679534491133213E-2</v>
      </c>
      <c r="X1502">
        <v>-1.5576339762522446E-2</v>
      </c>
      <c r="Y1502">
        <v>2.6783297970919401E-2</v>
      </c>
    </row>
    <row r="1503" spans="1:25" x14ac:dyDescent="0.25">
      <c r="A1503" s="879"/>
      <c r="B1503" s="1133">
        <v>1253</v>
      </c>
      <c r="C1503" s="883">
        <v>0.99302854048574796</v>
      </c>
      <c r="D1503" s="883">
        <v>1.000326879281954</v>
      </c>
      <c r="E1503" s="883">
        <v>0.95512014984293669</v>
      </c>
      <c r="F1503" s="883">
        <v>1.0119189288348449</v>
      </c>
      <c r="G1503" s="883">
        <v>0.99556744690787835</v>
      </c>
      <c r="H1503" s="883">
        <v>0.99680821050933333</v>
      </c>
      <c r="I1503" s="883">
        <v>1.011199693623158</v>
      </c>
      <c r="K1503">
        <v>1.6292249379816801</v>
      </c>
      <c r="L1503">
        <v>0</v>
      </c>
      <c r="M1503">
        <v>6.6902842003571019E-3</v>
      </c>
      <c r="N1503">
        <v>0.11669598187031126</v>
      </c>
      <c r="O1503">
        <v>3.109565781763329E-2</v>
      </c>
      <c r="P1503">
        <v>1.793698803300544E-2</v>
      </c>
      <c r="Q1503">
        <v>0</v>
      </c>
      <c r="R1503">
        <v>6.6902842003571019E-3</v>
      </c>
      <c r="S1503">
        <v>0.17154767999498696</v>
      </c>
      <c r="T1503">
        <v>1.2009382872374859</v>
      </c>
      <c r="U1503">
        <v>0</v>
      </c>
      <c r="V1503">
        <v>1.5892184233943622E-2</v>
      </c>
      <c r="W1503">
        <v>6.2817950940047884E-2</v>
      </c>
      <c r="X1503">
        <v>-1.5249191656607809E-2</v>
      </c>
      <c r="Y1503">
        <v>2.7549399510874994E-2</v>
      </c>
    </row>
    <row r="1504" spans="1:25" x14ac:dyDescent="0.25">
      <c r="A1504" s="879"/>
      <c r="B1504" s="1133">
        <v>1254</v>
      </c>
      <c r="C1504" s="883">
        <v>0.98424854632520453</v>
      </c>
      <c r="D1504" s="883">
        <v>0.97771153060083116</v>
      </c>
      <c r="E1504" s="883">
        <v>1.0189528861776993</v>
      </c>
      <c r="F1504" s="883">
        <v>0.98218962144479327</v>
      </c>
      <c r="G1504" s="883">
        <v>1.0150100505036497</v>
      </c>
      <c r="H1504" s="883">
        <v>0.96919714739250351</v>
      </c>
      <c r="I1504" s="883">
        <v>1.0388359405137182</v>
      </c>
      <c r="K1504">
        <v>1.6002261793082602</v>
      </c>
      <c r="L1504">
        <v>0</v>
      </c>
      <c r="M1504">
        <v>6.2712196430225421E-3</v>
      </c>
      <c r="N1504">
        <v>0.12024660773288358</v>
      </c>
      <c r="O1504">
        <v>3.1608127377582625E-2</v>
      </c>
      <c r="P1504">
        <v>1.8409240581455801E-2</v>
      </c>
      <c r="Q1504">
        <v>0</v>
      </c>
      <c r="R1504">
        <v>6.2712196430225421E-3</v>
      </c>
      <c r="S1504">
        <v>0.17642182452033431</v>
      </c>
      <c r="T1504">
        <v>1.1644870041569848</v>
      </c>
      <c r="U1504">
        <v>0</v>
      </c>
      <c r="V1504">
        <v>1.594115690088372E-2</v>
      </c>
      <c r="W1504">
        <v>6.2698819507545994E-2</v>
      </c>
      <c r="X1504">
        <v>-1.5410367723892354E-2</v>
      </c>
      <c r="Y1504">
        <v>2.5823766254481868E-2</v>
      </c>
    </row>
    <row r="1505" spans="1:25" x14ac:dyDescent="0.25">
      <c r="A1505" s="879"/>
      <c r="B1505" s="1133">
        <v>1255</v>
      </c>
      <c r="C1505" s="883">
        <v>0.96213078231242333</v>
      </c>
      <c r="D1505" s="883">
        <v>0.99154793876743452</v>
      </c>
      <c r="E1505" s="883">
        <v>0.97653843362530224</v>
      </c>
      <c r="F1505" s="883">
        <v>1.0241287849440945</v>
      </c>
      <c r="G1505" s="883">
        <v>0.96562133183279852</v>
      </c>
      <c r="H1505" s="883">
        <v>1.031189250488155</v>
      </c>
      <c r="I1505" s="883">
        <v>0.9606262903969367</v>
      </c>
      <c r="K1505">
        <v>1.6583029115630104</v>
      </c>
      <c r="L1505">
        <v>0</v>
      </c>
      <c r="M1505">
        <v>7.0390119252602924E-3</v>
      </c>
      <c r="N1505">
        <v>0.12674724147692124</v>
      </c>
      <c r="O1505">
        <v>3.219085545666469E-2</v>
      </c>
      <c r="P1505">
        <v>1.8410657276520474E-2</v>
      </c>
      <c r="Q1505">
        <v>0</v>
      </c>
      <c r="R1505">
        <v>7.0390119252602924E-3</v>
      </c>
      <c r="S1505">
        <v>0.17031120542112391</v>
      </c>
      <c r="T1505">
        <v>1.2150179298432593</v>
      </c>
      <c r="U1505">
        <v>0</v>
      </c>
      <c r="V1505">
        <v>1.6068486206102215E-2</v>
      </c>
      <c r="W1505">
        <v>6.7496580988745683E-2</v>
      </c>
      <c r="X1505">
        <v>-1.6925443317131528E-2</v>
      </c>
      <c r="Y1505">
        <v>2.8985398210805233E-2</v>
      </c>
    </row>
    <row r="1506" spans="1:25" x14ac:dyDescent="0.25">
      <c r="A1506" s="879"/>
      <c r="B1506" s="1133">
        <v>1256</v>
      </c>
      <c r="C1506" s="883">
        <v>0.96189508957988812</v>
      </c>
      <c r="D1506" s="883">
        <v>0.9943830945853307</v>
      </c>
      <c r="E1506" s="883">
        <v>1.0024212915080921</v>
      </c>
      <c r="F1506" s="883">
        <v>0.95879032430215849</v>
      </c>
      <c r="G1506" s="883">
        <v>1.003245633078429</v>
      </c>
      <c r="H1506" s="883">
        <v>0.99735174567046159</v>
      </c>
      <c r="I1506" s="883">
        <v>0.97125426582050134</v>
      </c>
      <c r="K1506">
        <v>1.5738821230543565</v>
      </c>
      <c r="L1506">
        <v>0</v>
      </c>
      <c r="M1506">
        <v>6.6491557216782887E-3</v>
      </c>
      <c r="N1506">
        <v>0.12441115518515337</v>
      </c>
      <c r="O1506">
        <v>3.2139864278754579E-2</v>
      </c>
      <c r="P1506">
        <v>1.7733314322730041E-2</v>
      </c>
      <c r="Q1506">
        <v>0</v>
      </c>
      <c r="R1506">
        <v>6.6491557216782887E-3</v>
      </c>
      <c r="S1506">
        <v>0.17024807297263239</v>
      </c>
      <c r="T1506">
        <v>1.1370385632830049</v>
      </c>
      <c r="U1506">
        <v>0</v>
      </c>
      <c r="V1506">
        <v>1.6069874592707711E-2</v>
      </c>
      <c r="W1506">
        <v>6.5402740983885405E-2</v>
      </c>
      <c r="X1506">
        <v>-1.6541502320785322E-2</v>
      </c>
      <c r="Y1506">
        <v>2.7380039756271953E-2</v>
      </c>
    </row>
    <row r="1507" spans="1:25" x14ac:dyDescent="0.25">
      <c r="A1507" s="879"/>
      <c r="B1507" s="1133">
        <v>1257</v>
      </c>
      <c r="C1507" s="883">
        <v>1.0403656548308033</v>
      </c>
      <c r="D1507" s="883">
        <v>0.99039625545293997</v>
      </c>
      <c r="E1507" s="883">
        <v>1.0070589012113023</v>
      </c>
      <c r="F1507" s="883">
        <v>1.0029290155081454</v>
      </c>
      <c r="G1507" s="883">
        <v>0.97828104304398478</v>
      </c>
      <c r="H1507" s="883">
        <v>1.0266487262931148</v>
      </c>
      <c r="I1507" s="883">
        <v>0.98635145246040157</v>
      </c>
      <c r="K1507">
        <v>1.6065636134642738</v>
      </c>
      <c r="L1507">
        <v>0</v>
      </c>
      <c r="M1507">
        <v>6.3139326508524904E-3</v>
      </c>
      <c r="N1507">
        <v>0.11895304145485447</v>
      </c>
      <c r="O1507">
        <v>2.9759604316764235E-2</v>
      </c>
      <c r="P1507">
        <v>1.8374640167072666E-2</v>
      </c>
      <c r="Q1507">
        <v>0</v>
      </c>
      <c r="R1507">
        <v>6.3139326508524904E-3</v>
      </c>
      <c r="S1507">
        <v>0.16151479822237463</v>
      </c>
      <c r="T1507">
        <v>1.1892967101951979</v>
      </c>
      <c r="U1507">
        <v>0</v>
      </c>
      <c r="V1507">
        <v>1.5642391337579022E-2</v>
      </c>
      <c r="W1507">
        <v>6.2389836656744482E-2</v>
      </c>
      <c r="X1507">
        <v>-1.5367059704406253E-2</v>
      </c>
      <c r="Y1507">
        <v>2.5999650818093616E-2</v>
      </c>
    </row>
    <row r="1508" spans="1:25" x14ac:dyDescent="0.25">
      <c r="A1508" s="879"/>
      <c r="B1508" s="1133">
        <v>1258</v>
      </c>
      <c r="C1508" s="883">
        <v>0.98385642354380298</v>
      </c>
      <c r="D1508" s="883">
        <v>1.0002225623605328</v>
      </c>
      <c r="E1508" s="883">
        <v>1.0057414338822654</v>
      </c>
      <c r="F1508" s="883">
        <v>0.97065907289355713</v>
      </c>
      <c r="G1508" s="883">
        <v>0.9771848505781453</v>
      </c>
      <c r="H1508" s="883">
        <v>0.99856661006808278</v>
      </c>
      <c r="I1508" s="883">
        <v>1.0424116209160836</v>
      </c>
      <c r="K1508">
        <v>1.5914029385971644</v>
      </c>
      <c r="L1508">
        <v>0</v>
      </c>
      <c r="M1508">
        <v>6.472865574803398E-3</v>
      </c>
      <c r="N1508">
        <v>0.12170962878503119</v>
      </c>
      <c r="O1508">
        <v>3.1346027052436887E-2</v>
      </c>
      <c r="P1508">
        <v>1.8077520587414179E-2</v>
      </c>
      <c r="Q1508">
        <v>0</v>
      </c>
      <c r="R1508">
        <v>6.472865574803398E-3</v>
      </c>
      <c r="S1508">
        <v>0.17865784193459122</v>
      </c>
      <c r="T1508">
        <v>1.1510539877094417</v>
      </c>
      <c r="U1508">
        <v>0</v>
      </c>
      <c r="V1508">
        <v>1.594336445626713E-2</v>
      </c>
      <c r="W1508">
        <v>6.3877314871125121E-2</v>
      </c>
      <c r="X1508">
        <v>-1.5916855109061271E-2</v>
      </c>
      <c r="Y1508">
        <v>2.6654108309917556E-2</v>
      </c>
    </row>
    <row r="1509" spans="1:25" x14ac:dyDescent="0.25">
      <c r="A1509" s="879"/>
      <c r="B1509" s="1133">
        <v>1259</v>
      </c>
      <c r="C1509" s="883">
        <v>0.96199079980705759</v>
      </c>
      <c r="D1509" s="883">
        <v>0.98635974141133897</v>
      </c>
      <c r="E1509" s="883">
        <v>1.0175257615300832</v>
      </c>
      <c r="F1509" s="883">
        <v>1.0062744540209685</v>
      </c>
      <c r="G1509" s="883">
        <v>1.0160011736368981</v>
      </c>
      <c r="H1509" s="883">
        <v>1.001866844634135</v>
      </c>
      <c r="I1509" s="883">
        <v>0.96451315589917697</v>
      </c>
      <c r="K1509">
        <v>1.6327638078749567</v>
      </c>
      <c r="L1509">
        <v>0</v>
      </c>
      <c r="M1509">
        <v>6.6148279236892997E-3</v>
      </c>
      <c r="N1509">
        <v>0.12656755793081503</v>
      </c>
      <c r="O1509">
        <v>3.222708031904678E-2</v>
      </c>
      <c r="P1509">
        <v>1.8683524806649188E-2</v>
      </c>
      <c r="Q1509">
        <v>0</v>
      </c>
      <c r="R1509">
        <v>6.6148279236892997E-3</v>
      </c>
      <c r="S1509">
        <v>0.1694134872482603</v>
      </c>
      <c r="T1509">
        <v>1.1930686294510617</v>
      </c>
      <c r="U1509">
        <v>0</v>
      </c>
      <c r="V1509">
        <v>1.6069310713914334E-2</v>
      </c>
      <c r="W1509">
        <v>6.604112402883576E-2</v>
      </c>
      <c r="X1509">
        <v>-1.654559061790158E-2</v>
      </c>
      <c r="Y1509">
        <v>2.7238683994273559E-2</v>
      </c>
    </row>
    <row r="1510" spans="1:25" x14ac:dyDescent="0.25">
      <c r="A1510" s="879"/>
      <c r="B1510" s="1133">
        <v>1260</v>
      </c>
      <c r="C1510" s="883">
        <v>1.0110183068894569</v>
      </c>
      <c r="D1510" s="883">
        <v>0.96541969070283717</v>
      </c>
      <c r="E1510" s="883">
        <v>0.98691942792528431</v>
      </c>
      <c r="F1510" s="883">
        <v>0.97335865898040852</v>
      </c>
      <c r="G1510" s="883">
        <v>0.99585624476250745</v>
      </c>
      <c r="H1510" s="883">
        <v>0.99418874659745338</v>
      </c>
      <c r="I1510" s="883">
        <v>1.0151549195210434</v>
      </c>
      <c r="K1510">
        <v>1.5808325353193284</v>
      </c>
      <c r="L1510">
        <v>0</v>
      </c>
      <c r="M1510">
        <v>6.4768855185993179E-3</v>
      </c>
      <c r="N1510">
        <v>0.11843531294170177</v>
      </c>
      <c r="O1510">
        <v>3.0954950861831552E-2</v>
      </c>
      <c r="P1510">
        <v>1.7742843571844486E-2</v>
      </c>
      <c r="Q1510">
        <v>0</v>
      </c>
      <c r="R1510">
        <v>6.4768855185993179E-3</v>
      </c>
      <c r="S1510">
        <v>0.16940462203706497</v>
      </c>
      <c r="T1510">
        <v>1.1545960722840789</v>
      </c>
      <c r="U1510">
        <v>0</v>
      </c>
      <c r="V1510">
        <v>1.5794498574007301E-2</v>
      </c>
      <c r="W1510">
        <v>6.2743488076410531E-2</v>
      </c>
      <c r="X1510">
        <v>-1.5509914750558395E-2</v>
      </c>
      <c r="Y1510">
        <v>2.667066172294584E-2</v>
      </c>
    </row>
    <row r="1511" spans="1:25" x14ac:dyDescent="0.25">
      <c r="A1511" s="879"/>
      <c r="B1511" s="1133">
        <v>1261</v>
      </c>
      <c r="C1511" s="883">
        <v>1.0167886824104175</v>
      </c>
      <c r="D1511" s="883">
        <v>1.0060366521363822</v>
      </c>
      <c r="E1511" s="883">
        <v>1.0120897422545239</v>
      </c>
      <c r="F1511" s="883">
        <v>0.97518904062078238</v>
      </c>
      <c r="G1511" s="883">
        <v>1.0069992172158928</v>
      </c>
      <c r="H1511" s="883">
        <v>1.0153989154702328</v>
      </c>
      <c r="I1511" s="883">
        <v>1.0028448657775491</v>
      </c>
      <c r="K1511">
        <v>1.5806806110345368</v>
      </c>
      <c r="L1511">
        <v>0</v>
      </c>
      <c r="M1511">
        <v>6.3171898707509314E-3</v>
      </c>
      <c r="N1511">
        <v>0.11990411318933517</v>
      </c>
      <c r="O1511">
        <v>3.0255075895206825E-2</v>
      </c>
      <c r="P1511">
        <v>1.8077874756011827E-2</v>
      </c>
      <c r="Q1511">
        <v>0</v>
      </c>
      <c r="R1511">
        <v>6.3171898707509314E-3</v>
      </c>
      <c r="S1511">
        <v>0.16721889584637512</v>
      </c>
      <c r="T1511">
        <v>1.1563110253629043</v>
      </c>
      <c r="U1511">
        <v>0</v>
      </c>
      <c r="V1511">
        <v>1.5763897237497236E-2</v>
      </c>
      <c r="W1511">
        <v>6.273234703029118E-2</v>
      </c>
      <c r="X1511">
        <v>-1.5595681752957153E-2</v>
      </c>
      <c r="Y1511">
        <v>2.6013063469871867E-2</v>
      </c>
    </row>
    <row r="1512" spans="1:25" x14ac:dyDescent="0.25">
      <c r="A1512" s="879"/>
      <c r="B1512" s="1133">
        <v>1262</v>
      </c>
      <c r="C1512" s="883">
        <v>1.0306852431432749</v>
      </c>
      <c r="D1512" s="883">
        <v>1.0076252307307325</v>
      </c>
      <c r="E1512" s="883">
        <v>1.0051109352229686</v>
      </c>
      <c r="F1512" s="883">
        <v>0.99267051917827953</v>
      </c>
      <c r="G1512" s="883">
        <v>1.0237263818940325</v>
      </c>
      <c r="H1512" s="883">
        <v>0.9784127991614926</v>
      </c>
      <c r="I1512" s="883">
        <v>0.96959519186570042</v>
      </c>
      <c r="K1512">
        <v>1.5817643064547475</v>
      </c>
      <c r="L1512">
        <v>0</v>
      </c>
      <c r="M1512">
        <v>6.0375204024422412E-3</v>
      </c>
      <c r="N1512">
        <v>0.11341786346819717</v>
      </c>
      <c r="O1512">
        <v>2.9834235347730467E-2</v>
      </c>
      <c r="P1512">
        <v>1.813101217198701E-2</v>
      </c>
      <c r="Q1512">
        <v>0</v>
      </c>
      <c r="R1512">
        <v>6.0375204024422412E-3</v>
      </c>
      <c r="S1512">
        <v>0.15746177945062673</v>
      </c>
      <c r="T1512">
        <v>1.1771678314248213</v>
      </c>
      <c r="U1512">
        <v>0</v>
      </c>
      <c r="V1512">
        <v>1.5691607506420343E-2</v>
      </c>
      <c r="W1512">
        <v>5.9544117669769664E-2</v>
      </c>
      <c r="X1512">
        <v>-1.434557496349201E-2</v>
      </c>
      <c r="Y1512">
        <v>2.4861434378686337E-2</v>
      </c>
    </row>
    <row r="1513" spans="1:25" x14ac:dyDescent="0.25">
      <c r="A1513" s="879"/>
      <c r="B1513" s="1133">
        <v>1263</v>
      </c>
      <c r="C1513" s="883">
        <v>0.99910327237677721</v>
      </c>
      <c r="D1513" s="883">
        <v>1.0116265867765619</v>
      </c>
      <c r="E1513" s="883">
        <v>0.99397745620855016</v>
      </c>
      <c r="F1513" s="883">
        <v>0.98998256687824349</v>
      </c>
      <c r="G1513" s="883">
        <v>0.98093339885981989</v>
      </c>
      <c r="H1513" s="883">
        <v>0.99317346156996555</v>
      </c>
      <c r="I1513" s="883">
        <v>1.0234593888914998</v>
      </c>
      <c r="K1513">
        <v>1.6021598648244015</v>
      </c>
      <c r="L1513">
        <v>0</v>
      </c>
      <c r="M1513">
        <v>6.3728489648267432E-3</v>
      </c>
      <c r="N1513">
        <v>0.1177586890812574</v>
      </c>
      <c r="O1513">
        <v>3.073797967505075E-2</v>
      </c>
      <c r="P1513">
        <v>1.8138833550986312E-2</v>
      </c>
      <c r="Q1513">
        <v>0</v>
      </c>
      <c r="R1513">
        <v>6.3728489648267432E-3</v>
      </c>
      <c r="S1513">
        <v>0.17228490191097359</v>
      </c>
      <c r="T1513">
        <v>1.1741851650071122</v>
      </c>
      <c r="U1513">
        <v>0</v>
      </c>
      <c r="V1513">
        <v>1.5858804640407911E-2</v>
      </c>
      <c r="W1513">
        <v>6.2165888056376357E-2</v>
      </c>
      <c r="X1513">
        <v>-1.5212654810089574E-2</v>
      </c>
      <c r="Y1513">
        <v>2.6242257712326637E-2</v>
      </c>
    </row>
    <row r="1514" spans="1:25" x14ac:dyDescent="0.25">
      <c r="A1514" s="879"/>
      <c r="B1514" s="1133">
        <v>1264</v>
      </c>
      <c r="C1514" s="883">
        <v>1.0121284779417832</v>
      </c>
      <c r="D1514" s="883">
        <v>1.0049720683830536</v>
      </c>
      <c r="E1514" s="883">
        <v>1.0063261390307616</v>
      </c>
      <c r="F1514" s="883">
        <v>1.0486669633830918</v>
      </c>
      <c r="G1514" s="883">
        <v>1.0034229436083308</v>
      </c>
      <c r="H1514" s="883">
        <v>0.97167663793108394</v>
      </c>
      <c r="I1514" s="883">
        <v>0.98146144575927075</v>
      </c>
      <c r="K1514">
        <v>1.6569111973477546</v>
      </c>
      <c r="L1514">
        <v>0</v>
      </c>
      <c r="M1514">
        <v>6.1065778070637728E-3</v>
      </c>
      <c r="N1514">
        <v>0.11492176191876817</v>
      </c>
      <c r="O1514">
        <v>3.041224583978816E-2</v>
      </c>
      <c r="P1514">
        <v>1.9101378103922984E-2</v>
      </c>
      <c r="Q1514">
        <v>0</v>
      </c>
      <c r="R1514">
        <v>6.1065778070637728E-3</v>
      </c>
      <c r="S1514">
        <v>0.1619587797940058</v>
      </c>
      <c r="T1514">
        <v>1.2435480984834493</v>
      </c>
      <c r="U1514">
        <v>0</v>
      </c>
      <c r="V1514">
        <v>1.5788584029888742E-2</v>
      </c>
      <c r="W1514">
        <v>6.0297344759137346E-2</v>
      </c>
      <c r="X1514">
        <v>-1.4262796060364982E-2</v>
      </c>
      <c r="Y1514">
        <v>2.5145800479158011E-2</v>
      </c>
    </row>
    <row r="1515" spans="1:25" x14ac:dyDescent="0.25">
      <c r="A1515" s="879"/>
      <c r="B1515" s="1133">
        <v>1265</v>
      </c>
      <c r="C1515" s="883">
        <v>1.0108328303556593</v>
      </c>
      <c r="D1515" s="883">
        <v>0.98657529091733442</v>
      </c>
      <c r="E1515" s="883">
        <v>1.0055322904347868</v>
      </c>
      <c r="F1515" s="883">
        <v>1.0093605870153362</v>
      </c>
      <c r="G1515" s="883">
        <v>0.99521425956679355</v>
      </c>
      <c r="H1515" s="883">
        <v>0.99419186406976012</v>
      </c>
      <c r="I1515" s="883">
        <v>0.99835901236044255</v>
      </c>
      <c r="K1515">
        <v>1.6201052964873404</v>
      </c>
      <c r="L1515">
        <v>0</v>
      </c>
      <c r="M1515">
        <v>6.3122443576617256E-3</v>
      </c>
      <c r="N1515">
        <v>0.11865270571113186</v>
      </c>
      <c r="O1515">
        <v>3.0677786164842125E-2</v>
      </c>
      <c r="P1515">
        <v>1.8524471382193777E-2</v>
      </c>
      <c r="Q1515">
        <v>0</v>
      </c>
      <c r="R1515">
        <v>6.3122443576617256E-3</v>
      </c>
      <c r="S1515">
        <v>0.16642814034368789</v>
      </c>
      <c r="T1515">
        <v>1.1969520136817235</v>
      </c>
      <c r="U1515">
        <v>0</v>
      </c>
      <c r="V1515">
        <v>1.5795487984823713E-2</v>
      </c>
      <c r="W1515">
        <v>6.2279392224839608E-2</v>
      </c>
      <c r="X1515">
        <v>-1.5197399733141392E-2</v>
      </c>
      <c r="Y1515">
        <v>2.5992698727239031E-2</v>
      </c>
    </row>
    <row r="1516" spans="1:25" x14ac:dyDescent="0.25">
      <c r="A1516" s="879"/>
      <c r="B1516" s="1133">
        <v>1266</v>
      </c>
      <c r="C1516" s="883">
        <v>0.98835760713344878</v>
      </c>
      <c r="D1516" s="883">
        <v>0.99244136267936023</v>
      </c>
      <c r="E1516" s="883">
        <v>1.000761400729874</v>
      </c>
      <c r="F1516" s="883">
        <v>1.0346455486529065</v>
      </c>
      <c r="G1516" s="883">
        <v>0.98870179944499725</v>
      </c>
      <c r="H1516" s="883">
        <v>0.99484139469323607</v>
      </c>
      <c r="I1516" s="883">
        <v>0.97746205193917735</v>
      </c>
      <c r="K1516">
        <v>1.6551885879172092</v>
      </c>
      <c r="L1516">
        <v>0</v>
      </c>
      <c r="M1516">
        <v>6.4698501196320934E-3</v>
      </c>
      <c r="N1516">
        <v>0.12075891208839758</v>
      </c>
      <c r="O1516">
        <v>3.1305250940224974E-2</v>
      </c>
      <c r="P1516">
        <v>1.8864459292830739E-2</v>
      </c>
      <c r="Q1516">
        <v>0</v>
      </c>
      <c r="R1516">
        <v>6.4698501196320934E-3</v>
      </c>
      <c r="S1516">
        <v>0.16662238137934049</v>
      </c>
      <c r="T1516">
        <v>1.2270279014677792</v>
      </c>
      <c r="U1516">
        <v>0</v>
      </c>
      <c r="V1516">
        <v>1.591812924568756E-2</v>
      </c>
      <c r="W1516">
        <v>6.3535082804433027E-2</v>
      </c>
      <c r="X1516">
        <v>-1.5485220503738174E-2</v>
      </c>
      <c r="Y1516">
        <v>2.6641691202253147E-2</v>
      </c>
    </row>
    <row r="1517" spans="1:25" x14ac:dyDescent="0.25">
      <c r="A1517" s="879"/>
      <c r="B1517" s="1133">
        <v>1267</v>
      </c>
      <c r="C1517" s="883">
        <v>0.99664604574361693</v>
      </c>
      <c r="D1517" s="883">
        <v>1.0054496249215688</v>
      </c>
      <c r="E1517" s="883">
        <v>1.0075647378425312</v>
      </c>
      <c r="F1517" s="883">
        <v>0.96905840800248788</v>
      </c>
      <c r="G1517" s="883">
        <v>1.0375490482054619</v>
      </c>
      <c r="H1517" s="883">
        <v>1.0013788331872424</v>
      </c>
      <c r="I1517" s="883">
        <v>0.98842156346706966</v>
      </c>
      <c r="K1517">
        <v>1.575143058675885</v>
      </c>
      <c r="L1517">
        <v>0</v>
      </c>
      <c r="M1517">
        <v>6.3827373818991584E-3</v>
      </c>
      <c r="N1517">
        <v>0.12033940508612039</v>
      </c>
      <c r="O1517">
        <v>3.0877736745782682E-2</v>
      </c>
      <c r="P1517">
        <v>1.7922966084960745E-2</v>
      </c>
      <c r="Q1517">
        <v>0</v>
      </c>
      <c r="R1517">
        <v>6.3827373818991584E-3</v>
      </c>
      <c r="S1517">
        <v>0.16734181978089266</v>
      </c>
      <c r="T1517">
        <v>1.1491230562711729</v>
      </c>
      <c r="U1517">
        <v>0</v>
      </c>
      <c r="V1517">
        <v>1.5872257664669834E-2</v>
      </c>
      <c r="W1517">
        <v>6.3101165642433205E-2</v>
      </c>
      <c r="X1517">
        <v>-1.5718325053905753E-2</v>
      </c>
      <c r="Y1517">
        <v>2.6282976453758208E-2</v>
      </c>
    </row>
    <row r="1518" spans="1:25" x14ac:dyDescent="0.25">
      <c r="A1518" s="879"/>
      <c r="B1518" s="1133">
        <v>1268</v>
      </c>
      <c r="C1518" s="883">
        <v>0.96667875002789783</v>
      </c>
      <c r="D1518" s="883">
        <v>1.0143745523752921</v>
      </c>
      <c r="E1518" s="883">
        <v>1.0348306781591827</v>
      </c>
      <c r="F1518" s="883">
        <v>1.0190113300236643</v>
      </c>
      <c r="G1518" s="883">
        <v>0.9768511800667673</v>
      </c>
      <c r="H1518" s="883">
        <v>1.0105730263442148</v>
      </c>
      <c r="I1518" s="883">
        <v>0.98363306318331012</v>
      </c>
      <c r="K1518">
        <v>1.6495480990520652</v>
      </c>
      <c r="L1518">
        <v>0</v>
      </c>
      <c r="M1518">
        <v>6.4588635166569694E-3</v>
      </c>
      <c r="N1518">
        <v>0.12678631525340531</v>
      </c>
      <c r="O1518">
        <v>3.1697024375140048E-2</v>
      </c>
      <c r="P1518">
        <v>1.9164897120353821E-2</v>
      </c>
      <c r="Q1518">
        <v>0</v>
      </c>
      <c r="R1518">
        <v>6.4588635166569694E-3</v>
      </c>
      <c r="S1518">
        <v>0.17217254972083468</v>
      </c>
      <c r="T1518">
        <v>1.2078441518580267</v>
      </c>
      <c r="U1518">
        <v>0</v>
      </c>
      <c r="V1518">
        <v>1.604182823255796E-2</v>
      </c>
      <c r="W1518">
        <v>6.559514622482783E-2</v>
      </c>
      <c r="X1518">
        <v>-1.6350264059825748E-2</v>
      </c>
      <c r="Y1518">
        <v>2.6596450326744004E-2</v>
      </c>
    </row>
    <row r="1519" spans="1:25" x14ac:dyDescent="0.25">
      <c r="A1519" s="879"/>
      <c r="B1519" s="1133">
        <v>1269</v>
      </c>
      <c r="C1519" s="883">
        <v>0.99194557711254949</v>
      </c>
      <c r="D1519" s="883">
        <v>1.023781927195903</v>
      </c>
      <c r="E1519" s="883">
        <v>0.98171279447806048</v>
      </c>
      <c r="F1519" s="883">
        <v>1.0284764942770923</v>
      </c>
      <c r="G1519" s="883">
        <v>1.0058035211327272</v>
      </c>
      <c r="H1519" s="883">
        <v>1.0251014888169081</v>
      </c>
      <c r="I1519" s="883">
        <v>1.0003188666496541</v>
      </c>
      <c r="K1519">
        <v>1.6534159977456173</v>
      </c>
      <c r="L1519">
        <v>0</v>
      </c>
      <c r="M1519">
        <v>6.6609068770900779E-3</v>
      </c>
      <c r="N1519">
        <v>0.12086331806136115</v>
      </c>
      <c r="O1519">
        <v>3.0822208562453966E-2</v>
      </c>
      <c r="P1519">
        <v>1.8562163375107694E-2</v>
      </c>
      <c r="Q1519">
        <v>0</v>
      </c>
      <c r="R1519">
        <v>6.6609068770900779E-3</v>
      </c>
      <c r="S1519">
        <v>0.171322080011304</v>
      </c>
      <c r="T1519">
        <v>1.2200766261637734</v>
      </c>
      <c r="U1519">
        <v>0</v>
      </c>
      <c r="V1519">
        <v>1.5898177868141246E-2</v>
      </c>
      <c r="W1519">
        <v>6.4196621823847347E-2</v>
      </c>
      <c r="X1519">
        <v>-1.575362704300233E-2</v>
      </c>
      <c r="Y1519">
        <v>2.7428428922630022E-2</v>
      </c>
    </row>
    <row r="1520" spans="1:25" x14ac:dyDescent="0.25">
      <c r="A1520" s="879"/>
      <c r="B1520" s="1133">
        <v>1270</v>
      </c>
      <c r="C1520" s="883">
        <v>1.0154787583290281</v>
      </c>
      <c r="D1520" s="883">
        <v>1.000420262257578</v>
      </c>
      <c r="E1520" s="883">
        <v>1.0047994596052043</v>
      </c>
      <c r="F1520" s="883">
        <v>1.0152930859126741</v>
      </c>
      <c r="G1520" s="883">
        <v>0.9621016132487844</v>
      </c>
      <c r="H1520" s="883">
        <v>1.0136590124529596</v>
      </c>
      <c r="I1520" s="883">
        <v>1.0224846271735952</v>
      </c>
      <c r="K1520">
        <v>1.6327668181216339</v>
      </c>
      <c r="L1520">
        <v>0</v>
      </c>
      <c r="M1520">
        <v>6.3707653248298067E-3</v>
      </c>
      <c r="N1520">
        <v>0.11962284539785319</v>
      </c>
      <c r="O1520">
        <v>3.0368304608754042E-2</v>
      </c>
      <c r="P1520">
        <v>1.8665451314244057E-2</v>
      </c>
      <c r="Q1520">
        <v>0</v>
      </c>
      <c r="R1520">
        <v>6.3707653248298067E-3</v>
      </c>
      <c r="S1520">
        <v>0.17066334708807873</v>
      </c>
      <c r="T1520">
        <v>1.2040008891001803</v>
      </c>
      <c r="U1520">
        <v>0</v>
      </c>
      <c r="V1520">
        <v>1.577081348649545E-2</v>
      </c>
      <c r="W1520">
        <v>6.2811414779081004E-2</v>
      </c>
      <c r="X1520">
        <v>-1.5369925306747145E-2</v>
      </c>
      <c r="Y1520">
        <v>2.6233677653693336E-2</v>
      </c>
    </row>
    <row r="1521" spans="1:25" x14ac:dyDescent="0.25">
      <c r="A1521" s="879"/>
      <c r="B1521" s="1133">
        <v>1271</v>
      </c>
      <c r="C1521" s="883">
        <v>1.01224630328082</v>
      </c>
      <c r="D1521" s="883">
        <v>1.017231652942622</v>
      </c>
      <c r="E1521" s="883">
        <v>1.0317799109927637</v>
      </c>
      <c r="F1521" s="883">
        <v>0.99107759479041713</v>
      </c>
      <c r="G1521" s="883">
        <v>0.99351360143462553</v>
      </c>
      <c r="H1521" s="883">
        <v>1.0291820518643466</v>
      </c>
      <c r="I1521" s="883">
        <v>1.0002082265556431</v>
      </c>
      <c r="K1521">
        <v>1.6042761232562941</v>
      </c>
      <c r="L1521">
        <v>0</v>
      </c>
      <c r="M1521">
        <v>6.2906249377377094E-3</v>
      </c>
      <c r="N1521">
        <v>0.12292834490736282</v>
      </c>
      <c r="O1521">
        <v>3.0238941684570267E-2</v>
      </c>
      <c r="P1521">
        <v>1.8611552413850513E-2</v>
      </c>
      <c r="Q1521">
        <v>0</v>
      </c>
      <c r="R1521">
        <v>6.2906249377377094E-3</v>
      </c>
      <c r="S1521">
        <v>0.16821939313249593</v>
      </c>
      <c r="T1521">
        <v>1.1747897690162956</v>
      </c>
      <c r="U1521">
        <v>0</v>
      </c>
      <c r="V1521">
        <v>1.5787957065469337E-2</v>
      </c>
      <c r="W1521">
        <v>6.3694286264701722E-2</v>
      </c>
      <c r="X1521">
        <v>-1.5897795032557178E-2</v>
      </c>
      <c r="Y1521">
        <v>2.5903673804105222E-2</v>
      </c>
    </row>
    <row r="1522" spans="1:25" x14ac:dyDescent="0.25">
      <c r="A1522" s="879"/>
      <c r="B1522" s="1133">
        <v>1272</v>
      </c>
      <c r="C1522" s="883">
        <v>1.0020274765089865</v>
      </c>
      <c r="D1522" s="883">
        <v>0.9862300497693357</v>
      </c>
      <c r="E1522" s="883">
        <v>1.0269102250130007</v>
      </c>
      <c r="F1522" s="883">
        <v>0.98521577342953659</v>
      </c>
      <c r="G1522" s="883">
        <v>1.023154021751115</v>
      </c>
      <c r="H1522" s="883">
        <v>1.0067195943135301</v>
      </c>
      <c r="I1522" s="883">
        <v>0.98976489911704313</v>
      </c>
      <c r="K1522">
        <v>1.5970676907646499</v>
      </c>
      <c r="L1522">
        <v>0</v>
      </c>
      <c r="M1522">
        <v>6.3294353705780071E-3</v>
      </c>
      <c r="N1522">
        <v>0.12279957261345591</v>
      </c>
      <c r="O1522">
        <v>3.0932430786914801E-2</v>
      </c>
      <c r="P1522">
        <v>1.8437854371053324E-2</v>
      </c>
      <c r="Q1522">
        <v>0</v>
      </c>
      <c r="R1522">
        <v>6.3294353705780071E-3</v>
      </c>
      <c r="S1522">
        <v>0.16719367081604458</v>
      </c>
      <c r="T1522">
        <v>1.1679299093044544</v>
      </c>
      <c r="U1522">
        <v>0</v>
      </c>
      <c r="V1522">
        <v>1.5842880950357033E-2</v>
      </c>
      <c r="W1522">
        <v>6.3779792782353004E-2</v>
      </c>
      <c r="X1522">
        <v>-1.5911909118526309E-2</v>
      </c>
      <c r="Y1522">
        <v>2.6063488258542041E-2</v>
      </c>
    </row>
    <row r="1523" spans="1:25" x14ac:dyDescent="0.25">
      <c r="A1523" s="879"/>
      <c r="B1523" s="1133">
        <v>1273</v>
      </c>
      <c r="C1523" s="883">
        <v>0.99465592363447419</v>
      </c>
      <c r="D1523" s="883">
        <v>0.98773505805984885</v>
      </c>
      <c r="E1523" s="883">
        <v>1.0212704660615428</v>
      </c>
      <c r="F1523" s="883">
        <v>1.0163526875500668</v>
      </c>
      <c r="G1523" s="883">
        <v>0.99187190384501334</v>
      </c>
      <c r="H1523" s="883">
        <v>0.98569723519777996</v>
      </c>
      <c r="I1523" s="883">
        <v>0.99074879037546837</v>
      </c>
      <c r="K1523">
        <v>1.6321330764465078</v>
      </c>
      <c r="L1523">
        <v>0</v>
      </c>
      <c r="M1523">
        <v>6.2698384170754625E-3</v>
      </c>
      <c r="N1523">
        <v>0.12063298690252698</v>
      </c>
      <c r="O1523">
        <v>3.1147922557912124E-2</v>
      </c>
      <c r="P1523">
        <v>1.8866600261304902E-2</v>
      </c>
      <c r="Q1523">
        <v>0</v>
      </c>
      <c r="R1523">
        <v>6.2698384170754625E-3</v>
      </c>
      <c r="S1523">
        <v>0.16735714755106051</v>
      </c>
      <c r="T1523">
        <v>1.2049472709205036</v>
      </c>
      <c r="U1523">
        <v>0</v>
      </c>
      <c r="V1523">
        <v>1.5883202064333791E-2</v>
      </c>
      <c r="W1523">
        <v>6.2828520553830244E-2</v>
      </c>
      <c r="X1523">
        <v>-1.5348652976844811E-2</v>
      </c>
      <c r="Y1523">
        <v>2.5818078611880842E-2</v>
      </c>
    </row>
    <row r="1524" spans="1:25" x14ac:dyDescent="0.25">
      <c r="A1524" s="879"/>
      <c r="B1524" s="1133">
        <v>1274</v>
      </c>
      <c r="C1524" s="883">
        <v>1.048954743100877</v>
      </c>
      <c r="D1524" s="883">
        <v>0.99433400015459406</v>
      </c>
      <c r="E1524" s="883">
        <v>1.034897667836074</v>
      </c>
      <c r="F1524" s="883">
        <v>1.023621508611732</v>
      </c>
      <c r="G1524" s="883">
        <v>0.97434540438148931</v>
      </c>
      <c r="H1524" s="883">
        <v>1.0152961105514571</v>
      </c>
      <c r="I1524" s="883">
        <v>1.0245672151228977</v>
      </c>
      <c r="K1524">
        <v>1.6329451823709211</v>
      </c>
      <c r="L1524">
        <v>0</v>
      </c>
      <c r="M1524">
        <v>6.0331690491650181E-3</v>
      </c>
      <c r="N1524">
        <v>0.11844173410588099</v>
      </c>
      <c r="O1524">
        <v>2.9444856725370994E-2</v>
      </c>
      <c r="P1524">
        <v>1.9146305805619473E-2</v>
      </c>
      <c r="Q1524">
        <v>0</v>
      </c>
      <c r="R1524">
        <v>6.0331690491650181E-3</v>
      </c>
      <c r="S1524">
        <v>0.16574115138309251</v>
      </c>
      <c r="T1524">
        <v>1.2133073780230563</v>
      </c>
      <c r="U1524">
        <v>0</v>
      </c>
      <c r="V1524">
        <v>1.5599484120318172E-2</v>
      </c>
      <c r="W1524">
        <v>6.1275919519593186E-2</v>
      </c>
      <c r="X1524">
        <v>-1.4855163592414318E-2</v>
      </c>
      <c r="Y1524">
        <v>2.4843516280402749E-2</v>
      </c>
    </row>
    <row r="1525" spans="1:25" x14ac:dyDescent="0.25">
      <c r="A1525" s="879"/>
      <c r="B1525" s="1133">
        <v>1275</v>
      </c>
      <c r="C1525" s="883">
        <v>1.011825122680569</v>
      </c>
      <c r="D1525" s="883">
        <v>0.99336216227198715</v>
      </c>
      <c r="E1525" s="883">
        <v>0.98633466603155795</v>
      </c>
      <c r="F1525" s="883">
        <v>1.0378217072134086</v>
      </c>
      <c r="G1525" s="883">
        <v>0.9764575940904463</v>
      </c>
      <c r="H1525" s="883">
        <v>0.96805716198708536</v>
      </c>
      <c r="I1525" s="883">
        <v>0.96705201638241389</v>
      </c>
      <c r="K1525">
        <v>1.6409150535464225</v>
      </c>
      <c r="L1525">
        <v>0</v>
      </c>
      <c r="M1525">
        <v>6.225005398591419E-3</v>
      </c>
      <c r="N1525">
        <v>0.11373080551475578</v>
      </c>
      <c r="O1525">
        <v>3.0579738594320224E-2</v>
      </c>
      <c r="P1525">
        <v>1.8615730183382955E-2</v>
      </c>
      <c r="Q1525">
        <v>0</v>
      </c>
      <c r="R1525">
        <v>6.225005398591419E-3</v>
      </c>
      <c r="S1525">
        <v>0.15951225013971473</v>
      </c>
      <c r="T1525">
        <v>1.2310733241699481</v>
      </c>
      <c r="U1525">
        <v>0</v>
      </c>
      <c r="V1525">
        <v>1.5790198895809439E-2</v>
      </c>
      <c r="W1525">
        <v>6.0268776838895172E-2</v>
      </c>
      <c r="X1525">
        <v>-1.4289235012146845E-2</v>
      </c>
      <c r="Y1525">
        <v>2.5633464221743354E-2</v>
      </c>
    </row>
    <row r="1526" spans="1:25" x14ac:dyDescent="0.25">
      <c r="A1526" s="879"/>
      <c r="B1526" s="1133">
        <v>1276</v>
      </c>
      <c r="C1526" s="883">
        <v>0.97615390974852934</v>
      </c>
      <c r="D1526" s="883">
        <v>1.0087247956849967</v>
      </c>
      <c r="E1526" s="883">
        <v>0.98749927377080371</v>
      </c>
      <c r="F1526" s="883">
        <v>1.0031590245810793</v>
      </c>
      <c r="G1526" s="883">
        <v>1.0267986992649614</v>
      </c>
      <c r="H1526" s="883">
        <v>0.96395631731859288</v>
      </c>
      <c r="I1526" s="883">
        <v>1.022005596238704</v>
      </c>
      <c r="K1526">
        <v>1.6198379757981096</v>
      </c>
      <c r="L1526">
        <v>0</v>
      </c>
      <c r="M1526">
        <v>6.3748405061746227E-3</v>
      </c>
      <c r="N1526">
        <v>0.1166696085732806</v>
      </c>
      <c r="O1526">
        <v>3.150224941839825E-2</v>
      </c>
      <c r="P1526">
        <v>1.8286858121157382E-2</v>
      </c>
      <c r="Q1526">
        <v>0</v>
      </c>
      <c r="R1526">
        <v>6.3748405061746227E-3</v>
      </c>
      <c r="S1526">
        <v>0.17434054855210132</v>
      </c>
      <c r="T1526">
        <v>1.1899343625199372</v>
      </c>
      <c r="U1526">
        <v>0</v>
      </c>
      <c r="V1526">
        <v>1.5987087310226165E-2</v>
      </c>
      <c r="W1526">
        <v>6.1790181066178534E-2</v>
      </c>
      <c r="X1526">
        <v>-1.4923378288286633E-2</v>
      </c>
      <c r="Y1526">
        <v>2.6250458525116049E-2</v>
      </c>
    </row>
    <row r="1527" spans="1:25" x14ac:dyDescent="0.25">
      <c r="A1527" s="879"/>
      <c r="B1527" s="1133">
        <v>1277</v>
      </c>
      <c r="C1527" s="883">
        <v>1.0294713821055139</v>
      </c>
      <c r="D1527" s="883">
        <v>1.0251809026153189</v>
      </c>
      <c r="E1527" s="883">
        <v>0.99798122488326557</v>
      </c>
      <c r="F1527" s="883">
        <v>1.0374302705976153</v>
      </c>
      <c r="G1527" s="883">
        <v>0.98786084740074609</v>
      </c>
      <c r="H1527" s="883">
        <v>1.0225178610097538</v>
      </c>
      <c r="I1527" s="883">
        <v>0.96793717416052338</v>
      </c>
      <c r="K1527">
        <v>1.6441771662273774</v>
      </c>
      <c r="L1527">
        <v>0</v>
      </c>
      <c r="M1527">
        <v>6.3078544767184962E-3</v>
      </c>
      <c r="N1527">
        <v>0.11725133362316931</v>
      </c>
      <c r="O1527">
        <v>2.9669620655003816E-2</v>
      </c>
      <c r="P1527">
        <v>1.8772619890183893E-2</v>
      </c>
      <c r="Q1527">
        <v>0</v>
      </c>
      <c r="R1527">
        <v>6.3078544767184962E-3</v>
      </c>
      <c r="S1527">
        <v>0.15959730257211582</v>
      </c>
      <c r="T1527">
        <v>1.230384027802035</v>
      </c>
      <c r="U1527">
        <v>0</v>
      </c>
      <c r="V1527">
        <v>1.5697844203869726E-2</v>
      </c>
      <c r="W1527">
        <v>6.1774892273784972E-2</v>
      </c>
      <c r="X1527">
        <v>-1.4945096771669119E-2</v>
      </c>
      <c r="Y1527">
        <v>2.5974621978884491E-2</v>
      </c>
    </row>
    <row r="1528" spans="1:25" x14ac:dyDescent="0.25">
      <c r="A1528" s="879"/>
      <c r="B1528" s="1133">
        <v>1278</v>
      </c>
      <c r="C1528" s="883">
        <v>1.004595655325792</v>
      </c>
      <c r="D1528" s="883">
        <v>1.0168726916082615</v>
      </c>
      <c r="E1528" s="883">
        <v>0.99804534822791791</v>
      </c>
      <c r="F1528" s="883">
        <v>0.99034666903168855</v>
      </c>
      <c r="G1528" s="883">
        <v>1.0234833679580222</v>
      </c>
      <c r="H1528" s="883">
        <v>0.9911241261667072</v>
      </c>
      <c r="I1528" s="883">
        <v>0.98667286818868838</v>
      </c>
      <c r="K1528">
        <v>1.5933250834928192</v>
      </c>
      <c r="L1528">
        <v>0</v>
      </c>
      <c r="M1528">
        <v>6.2879904796426531E-3</v>
      </c>
      <c r="N1528">
        <v>0.1168932043769452</v>
      </c>
      <c r="O1528">
        <v>3.050336737454239E-2</v>
      </c>
      <c r="P1528">
        <v>1.8102257779725132E-2</v>
      </c>
      <c r="Q1528">
        <v>0</v>
      </c>
      <c r="R1528">
        <v>6.2879904796426531E-3</v>
      </c>
      <c r="S1528">
        <v>0.16502339785246981</v>
      </c>
      <c r="T1528">
        <v>1.1745420710226124</v>
      </c>
      <c r="U1528">
        <v>0</v>
      </c>
      <c r="V1528">
        <v>1.5828972447809227E-2</v>
      </c>
      <c r="W1528">
        <v>6.1584245918372985E-2</v>
      </c>
      <c r="X1528">
        <v>-1.5045258854243E-2</v>
      </c>
      <c r="Y1528">
        <v>2.5892825574585845E-2</v>
      </c>
    </row>
    <row r="1529" spans="1:25" x14ac:dyDescent="0.25">
      <c r="A1529" s="879"/>
      <c r="B1529" s="1133">
        <v>1279</v>
      </c>
      <c r="C1529" s="883">
        <v>0.96813671556947556</v>
      </c>
      <c r="D1529" s="883">
        <v>0.97265345232410316</v>
      </c>
      <c r="E1529" s="883">
        <v>0.99173784152726874</v>
      </c>
      <c r="F1529" s="883">
        <v>0.9848723977671161</v>
      </c>
      <c r="G1529" s="883">
        <v>1.0137226612152554</v>
      </c>
      <c r="H1529" s="883">
        <v>1.0020054790883965</v>
      </c>
      <c r="I1529" s="883">
        <v>0.99638972384086177</v>
      </c>
      <c r="K1529">
        <v>1.6103023612602094</v>
      </c>
      <c r="L1529">
        <v>0</v>
      </c>
      <c r="M1529">
        <v>6.7657388324430436E-3</v>
      </c>
      <c r="N1529">
        <v>0.12460424459895149</v>
      </c>
      <c r="O1529">
        <v>3.2225527997731575E-2</v>
      </c>
      <c r="P1529">
        <v>1.8053493779671491E-2</v>
      </c>
      <c r="Q1529">
        <v>0</v>
      </c>
      <c r="R1529">
        <v>6.7657388324430436E-3</v>
      </c>
      <c r="S1529">
        <v>0.17403395502593511</v>
      </c>
      <c r="T1529">
        <v>1.1681652276824506</v>
      </c>
      <c r="U1529">
        <v>0</v>
      </c>
      <c r="V1529">
        <v>1.6033335363303477E-2</v>
      </c>
      <c r="W1529">
        <v>6.5853138858397872E-2</v>
      </c>
      <c r="X1529">
        <v>-1.6526670301613221E-2</v>
      </c>
      <c r="Y1529">
        <v>2.7860108255381058E-2</v>
      </c>
    </row>
    <row r="1530" spans="1:25" x14ac:dyDescent="0.25">
      <c r="A1530" s="879"/>
      <c r="B1530" s="1133">
        <v>1280</v>
      </c>
      <c r="C1530" s="883">
        <v>0.98571738650296326</v>
      </c>
      <c r="D1530" s="883">
        <v>1.0022349010752254</v>
      </c>
      <c r="E1530" s="883">
        <v>1.0172077105031407</v>
      </c>
      <c r="F1530" s="883">
        <v>0.9714941444166989</v>
      </c>
      <c r="G1530" s="883">
        <v>0.96631020502937559</v>
      </c>
      <c r="H1530" s="883">
        <v>1.0182353763867997</v>
      </c>
      <c r="I1530" s="883">
        <v>1.0231537464587823</v>
      </c>
      <c r="K1530">
        <v>1.5935348834740326</v>
      </c>
      <c r="L1530">
        <v>0</v>
      </c>
      <c r="M1530">
        <v>6.516316673879901E-3</v>
      </c>
      <c r="N1530">
        <v>0.12462399248400047</v>
      </c>
      <c r="O1530">
        <v>3.1251424836725349E-2</v>
      </c>
      <c r="P1530">
        <v>1.8210825262968366E-2</v>
      </c>
      <c r="Q1530">
        <v>0</v>
      </c>
      <c r="R1530">
        <v>6.516316673879901E-3</v>
      </c>
      <c r="S1530">
        <v>0.17620052030298664</v>
      </c>
      <c r="T1530">
        <v>1.1518377889587164</v>
      </c>
      <c r="U1530">
        <v>0</v>
      </c>
      <c r="V1530">
        <v>1.5932903301492315E-2</v>
      </c>
      <c r="W1530">
        <v>6.503719917134354E-2</v>
      </c>
      <c r="X1530">
        <v>-1.6392803046108656E-2</v>
      </c>
      <c r="Y1530">
        <v>2.6833032201907268E-2</v>
      </c>
    </row>
    <row r="1531" spans="1:25" x14ac:dyDescent="0.25">
      <c r="A1531" s="879"/>
      <c r="B1531" s="1133">
        <v>1281</v>
      </c>
      <c r="C1531" s="883">
        <v>0.95601627082873941</v>
      </c>
      <c r="D1531" s="883">
        <v>0.98737882732874938</v>
      </c>
      <c r="E1531" s="883">
        <v>1.0387652731884944</v>
      </c>
      <c r="F1531" s="883">
        <v>1.0044328359372778</v>
      </c>
      <c r="G1531" s="883">
        <v>0.99534037944855003</v>
      </c>
      <c r="H1531" s="883">
        <v>0.98735826524405479</v>
      </c>
      <c r="I1531" s="883">
        <v>0.96824008429444564</v>
      </c>
      <c r="K1531">
        <v>1.6310196102205501</v>
      </c>
      <c r="L1531">
        <v>0</v>
      </c>
      <c r="M1531">
        <v>6.4358562260235412E-3</v>
      </c>
      <c r="N1531">
        <v>0.12707123190129949</v>
      </c>
      <c r="O1531">
        <v>3.239426396986976E-2</v>
      </c>
      <c r="P1531">
        <v>1.89563302196279E-2</v>
      </c>
      <c r="Q1531">
        <v>0</v>
      </c>
      <c r="R1531">
        <v>6.4358562260235412E-3</v>
      </c>
      <c r="S1531">
        <v>0.17028626135657327</v>
      </c>
      <c r="T1531">
        <v>1.1904913131466242</v>
      </c>
      <c r="U1531">
        <v>0</v>
      </c>
      <c r="V1531">
        <v>1.6104726224757081E-2</v>
      </c>
      <c r="W1531">
        <v>6.5616126112668982E-2</v>
      </c>
      <c r="X1531">
        <v>-1.6402353109930032E-2</v>
      </c>
      <c r="Y1531">
        <v>2.6501710399060623E-2</v>
      </c>
    </row>
    <row r="1532" spans="1:25" x14ac:dyDescent="0.25">
      <c r="A1532" s="879"/>
      <c r="B1532" s="1133">
        <v>1282</v>
      </c>
      <c r="C1532" s="883">
        <v>1.0191546353538459</v>
      </c>
      <c r="D1532" s="883">
        <v>1.0258964965844739</v>
      </c>
      <c r="E1532" s="883">
        <v>1.0345689577204467</v>
      </c>
      <c r="F1532" s="883">
        <v>0.97012376463374228</v>
      </c>
      <c r="G1532" s="883">
        <v>0.97790040579807735</v>
      </c>
      <c r="H1532" s="883">
        <v>1.0142158343031706</v>
      </c>
      <c r="I1532" s="883">
        <v>0.99606207257276957</v>
      </c>
      <c r="K1532">
        <v>1.5712570497712706</v>
      </c>
      <c r="L1532">
        <v>0</v>
      </c>
      <c r="M1532">
        <v>6.118924713294502E-3</v>
      </c>
      <c r="N1532">
        <v>0.12006693475828847</v>
      </c>
      <c r="O1532">
        <v>2.9929675353806258E-2</v>
      </c>
      <c r="P1532">
        <v>1.8269917622510484E-2</v>
      </c>
      <c r="Q1532">
        <v>0</v>
      </c>
      <c r="R1532">
        <v>6.118924713294502E-3</v>
      </c>
      <c r="S1532">
        <v>0.16546372430859477</v>
      </c>
      <c r="T1532">
        <v>1.1499019196358626</v>
      </c>
      <c r="U1532">
        <v>0</v>
      </c>
      <c r="V1532">
        <v>1.5751450333036987E-2</v>
      </c>
      <c r="W1532">
        <v>6.2126716743606751E-2</v>
      </c>
      <c r="X1532">
        <v>-1.5449931825784772E-2</v>
      </c>
      <c r="Y1532">
        <v>2.519664284134877E-2</v>
      </c>
    </row>
    <row r="1533" spans="1:25" x14ac:dyDescent="0.25">
      <c r="A1533" s="879"/>
      <c r="B1533" s="1133">
        <v>1283</v>
      </c>
      <c r="C1533" s="883">
        <v>0.97966236929268047</v>
      </c>
      <c r="D1533" s="883">
        <v>0.98821733223490071</v>
      </c>
      <c r="E1533" s="883">
        <v>0.98314413808244239</v>
      </c>
      <c r="F1533" s="883">
        <v>1.015016744371013</v>
      </c>
      <c r="G1533" s="883">
        <v>0.96146828086152214</v>
      </c>
      <c r="H1533" s="883">
        <v>1.0021969945793132</v>
      </c>
      <c r="I1533" s="883">
        <v>0.99838640674749257</v>
      </c>
      <c r="K1533">
        <v>1.6401089987137516</v>
      </c>
      <c r="L1533">
        <v>0</v>
      </c>
      <c r="M1533">
        <v>6.6901474889715581E-3</v>
      </c>
      <c r="N1533">
        <v>0.12165192024105298</v>
      </c>
      <c r="O1533">
        <v>3.1651994021948696E-2</v>
      </c>
      <c r="P1533">
        <v>1.8383500707081935E-2</v>
      </c>
      <c r="Q1533">
        <v>0</v>
      </c>
      <c r="R1533">
        <v>6.6901474889715581E-3</v>
      </c>
      <c r="S1533">
        <v>0.17216180239488518</v>
      </c>
      <c r="T1533">
        <v>1.2040822779370817</v>
      </c>
      <c r="U1533">
        <v>0</v>
      </c>
      <c r="V1533">
        <v>1.5967086490764001E-2</v>
      </c>
      <c r="W1533">
        <v>6.456924170119116E-2</v>
      </c>
      <c r="X1533">
        <v>-1.5907661337977993E-2</v>
      </c>
      <c r="Y1533">
        <v>2.7548836557723048E-2</v>
      </c>
    </row>
    <row r="1534" spans="1:25" x14ac:dyDescent="0.25">
      <c r="A1534" s="879"/>
      <c r="B1534" s="1133">
        <v>1284</v>
      </c>
      <c r="C1534" s="883">
        <v>0.96567880454656985</v>
      </c>
      <c r="D1534" s="883">
        <v>1.0011372414854878</v>
      </c>
      <c r="E1534" s="883">
        <v>1.0273323747884606</v>
      </c>
      <c r="F1534" s="883">
        <v>1.0394803592065303</v>
      </c>
      <c r="G1534" s="883">
        <v>0.98416703311516207</v>
      </c>
      <c r="H1534" s="883">
        <v>0.98401054943603861</v>
      </c>
      <c r="I1534" s="883">
        <v>0.9850236085436892</v>
      </c>
      <c r="K1534">
        <v>1.6692878530680089</v>
      </c>
      <c r="L1534">
        <v>0</v>
      </c>
      <c r="M1534">
        <v>6.3743415215090291E-3</v>
      </c>
      <c r="N1534">
        <v>0.12374802605737303</v>
      </c>
      <c r="O1534">
        <v>3.1904305226733695E-2</v>
      </c>
      <c r="P1534">
        <v>1.9378455395796669E-2</v>
      </c>
      <c r="Q1534">
        <v>0</v>
      </c>
      <c r="R1534">
        <v>6.3743415215090291E-3</v>
      </c>
      <c r="S1534">
        <v>0.17115376275034561</v>
      </c>
      <c r="T1534">
        <v>1.2322500828855678</v>
      </c>
      <c r="U1534">
        <v>0</v>
      </c>
      <c r="V1534">
        <v>1.6047667891616171E-2</v>
      </c>
      <c r="W1534">
        <v>6.4259076555992625E-2</v>
      </c>
      <c r="X1534">
        <v>-1.5701927490496068E-2</v>
      </c>
      <c r="Y1534">
        <v>2.6248403795079093E-2</v>
      </c>
    </row>
    <row r="1535" spans="1:25" x14ac:dyDescent="0.25">
      <c r="A1535" s="879"/>
      <c r="B1535" s="1133">
        <v>1285</v>
      </c>
      <c r="C1535" s="883">
        <v>0.96539946299534962</v>
      </c>
      <c r="D1535" s="883">
        <v>1.012566091224137</v>
      </c>
      <c r="E1535" s="883">
        <v>1.0101530773256415</v>
      </c>
      <c r="F1535" s="883">
        <v>1.0124387654096973</v>
      </c>
      <c r="G1535" s="883">
        <v>1.0349859933431989</v>
      </c>
      <c r="H1535" s="883">
        <v>1.0190987500262518</v>
      </c>
      <c r="I1535" s="883">
        <v>1.0144071843373255</v>
      </c>
      <c r="K1535">
        <v>1.6487423913448191</v>
      </c>
      <c r="L1535">
        <v>0</v>
      </c>
      <c r="M1535">
        <v>6.6697608539109535E-3</v>
      </c>
      <c r="N1535">
        <v>0.12623372283108589</v>
      </c>
      <c r="O1535">
        <v>3.1784996078909909E-2</v>
      </c>
      <c r="P1535">
        <v>1.8800756940986593E-2</v>
      </c>
      <c r="Q1535">
        <v>0</v>
      </c>
      <c r="R1535">
        <v>6.6697608539109535E-3</v>
      </c>
      <c r="S1535">
        <v>0.17830206457581521</v>
      </c>
      <c r="T1535">
        <v>1.200515491481027</v>
      </c>
      <c r="U1535">
        <v>0</v>
      </c>
      <c r="V1535">
        <v>1.6049301401735914E-2</v>
      </c>
      <c r="W1535">
        <v>6.6107184663434918E-2</v>
      </c>
      <c r="X1535">
        <v>-1.6516014651406095E-2</v>
      </c>
      <c r="Y1535">
        <v>2.7464888023229241E-2</v>
      </c>
    </row>
    <row r="1536" spans="1:25" x14ac:dyDescent="0.25">
      <c r="A1536" s="879"/>
      <c r="B1536" s="1133">
        <v>1286</v>
      </c>
      <c r="C1536" s="883">
        <v>0.96536290557423954</v>
      </c>
      <c r="D1536" s="883">
        <v>0.97182218989986324</v>
      </c>
      <c r="E1536" s="883">
        <v>0.99345070091733556</v>
      </c>
      <c r="F1536" s="883">
        <v>0.99596166596060431</v>
      </c>
      <c r="G1536" s="883">
        <v>1.0040841478296962</v>
      </c>
      <c r="H1536" s="883">
        <v>1.0081538706913125</v>
      </c>
      <c r="I1536" s="883">
        <v>1.0003437664525332</v>
      </c>
      <c r="K1536">
        <v>1.6273275676430152</v>
      </c>
      <c r="L1536">
        <v>0</v>
      </c>
      <c r="M1536">
        <v>6.8192187767301795E-3</v>
      </c>
      <c r="N1536">
        <v>0.12590845316038915</v>
      </c>
      <c r="O1536">
        <v>3.2327688527073177E-2</v>
      </c>
      <c r="P1536">
        <v>1.8272941650172386E-2</v>
      </c>
      <c r="Q1536">
        <v>0</v>
      </c>
      <c r="R1536">
        <v>6.8192187767301795E-3</v>
      </c>
      <c r="S1536">
        <v>0.17561216907667551</v>
      </c>
      <c r="T1536">
        <v>1.181286538954609</v>
      </c>
      <c r="U1536">
        <v>0</v>
      </c>
      <c r="V1536">
        <v>1.6049515249115378E-2</v>
      </c>
      <c r="W1536">
        <v>6.6485658378275456E-2</v>
      </c>
      <c r="X1536">
        <v>-1.6695726500174944E-2</v>
      </c>
      <c r="Y1536">
        <v>2.8080329146880259E-2</v>
      </c>
    </row>
    <row r="1537" spans="1:25" x14ac:dyDescent="0.25">
      <c r="A1537" s="879"/>
      <c r="B1537" s="1133">
        <v>1287</v>
      </c>
      <c r="C1537" s="883">
        <v>1.0296125600652666</v>
      </c>
      <c r="D1537" s="883">
        <v>0.99044887328511377</v>
      </c>
      <c r="E1537" s="883">
        <v>1.0036454271402158</v>
      </c>
      <c r="F1537" s="883">
        <v>0.99497509225487513</v>
      </c>
      <c r="G1537" s="883">
        <v>0.97041930715942881</v>
      </c>
      <c r="H1537" s="883">
        <v>0.98851995882187682</v>
      </c>
      <c r="I1537" s="883">
        <v>1.0079107372218103</v>
      </c>
      <c r="K1537">
        <v>1.5953544689864574</v>
      </c>
      <c r="L1537">
        <v>0</v>
      </c>
      <c r="M1537">
        <v>6.1611412612685192E-3</v>
      </c>
      <c r="N1537">
        <v>0.11548921138473874</v>
      </c>
      <c r="O1537">
        <v>3.0072654184540894E-2</v>
      </c>
      <c r="P1537">
        <v>1.8243830043455211E-2</v>
      </c>
      <c r="Q1537">
        <v>0</v>
      </c>
      <c r="R1537">
        <v>6.1611412612685192E-3</v>
      </c>
      <c r="S1537">
        <v>0.16459128190635533</v>
      </c>
      <c r="T1537">
        <v>1.1799278033818059</v>
      </c>
      <c r="U1537">
        <v>0</v>
      </c>
      <c r="V1537">
        <v>1.5697118089833179E-2</v>
      </c>
      <c r="W1537">
        <v>6.0675636628074126E-2</v>
      </c>
      <c r="X1537">
        <v>-1.4713549703987109E-2</v>
      </c>
      <c r="Y1537">
        <v>2.5370483071640346E-2</v>
      </c>
    </row>
    <row r="1538" spans="1:25" x14ac:dyDescent="0.25">
      <c r="A1538" s="879"/>
      <c r="B1538" s="1133">
        <v>1288</v>
      </c>
      <c r="C1538" s="883">
        <v>1.0164094375859443</v>
      </c>
      <c r="D1538" s="883">
        <v>0.99909291751931939</v>
      </c>
      <c r="E1538" s="883">
        <v>1.0160262583557846</v>
      </c>
      <c r="F1538" s="883">
        <v>1.022225654508893</v>
      </c>
      <c r="G1538" s="883">
        <v>1.0150382511565093</v>
      </c>
      <c r="H1538" s="883">
        <v>0.967760827744927</v>
      </c>
      <c r="I1538" s="883">
        <v>1.0311978153151038</v>
      </c>
      <c r="K1538">
        <v>1.6318020266181115</v>
      </c>
      <c r="L1538">
        <v>0</v>
      </c>
      <c r="M1538">
        <v>6.0209221822342951E-3</v>
      </c>
      <c r="N1538">
        <v>0.11494849301221302</v>
      </c>
      <c r="O1538">
        <v>3.0346875024175886E-2</v>
      </c>
      <c r="P1538">
        <v>1.8913114982441716E-2</v>
      </c>
      <c r="Q1538">
        <v>0</v>
      </c>
      <c r="R1538">
        <v>6.0209221822342951E-3</v>
      </c>
      <c r="S1538">
        <v>0.16928541707123035</v>
      </c>
      <c r="T1538">
        <v>1.2120092173366512</v>
      </c>
      <c r="U1538">
        <v>0</v>
      </c>
      <c r="V1538">
        <v>1.5765897773221932E-2</v>
      </c>
      <c r="W1538">
        <v>6.00228413133434E-2</v>
      </c>
      <c r="X1538">
        <v>-1.4282915757409307E-2</v>
      </c>
      <c r="Y1538">
        <v>2.4793085862243096E-2</v>
      </c>
    </row>
    <row r="1539" spans="1:25" x14ac:dyDescent="0.25">
      <c r="A1539" s="879"/>
      <c r="B1539" s="1133">
        <v>1289</v>
      </c>
      <c r="C1539" s="883">
        <v>1.0306505779588104</v>
      </c>
      <c r="D1539" s="883">
        <v>0.98797550621348096</v>
      </c>
      <c r="E1539" s="883">
        <v>0.9783387646889482</v>
      </c>
      <c r="F1539" s="883">
        <v>0.97622504033899216</v>
      </c>
      <c r="G1539" s="883">
        <v>0.98808829415812893</v>
      </c>
      <c r="H1539" s="883">
        <v>1.0224208463489737</v>
      </c>
      <c r="I1539" s="883">
        <v>1.004137512336982</v>
      </c>
      <c r="K1539">
        <v>1.5788453655937413</v>
      </c>
      <c r="L1539">
        <v>0</v>
      </c>
      <c r="M1539">
        <v>6.5154429557949169E-3</v>
      </c>
      <c r="N1539">
        <v>0.1176335037055497</v>
      </c>
      <c r="O1539">
        <v>3.0092779807310902E-2</v>
      </c>
      <c r="P1539">
        <v>1.76231000648551E-2</v>
      </c>
      <c r="Q1539">
        <v>0</v>
      </c>
      <c r="R1539">
        <v>6.5154429557949169E-3</v>
      </c>
      <c r="S1539">
        <v>0.16573314980718376</v>
      </c>
      <c r="T1539">
        <v>1.1581524858939365</v>
      </c>
      <c r="U1539">
        <v>0</v>
      </c>
      <c r="V1539">
        <v>1.5691785408918798E-2</v>
      </c>
      <c r="W1539">
        <v>6.2586748360177982E-2</v>
      </c>
      <c r="X1539">
        <v>-1.5497621840540913E-2</v>
      </c>
      <c r="Y1539">
        <v>2.682943438634933E-2</v>
      </c>
    </row>
    <row r="1540" spans="1:25" x14ac:dyDescent="0.25">
      <c r="A1540" s="879"/>
      <c r="B1540" s="1133">
        <v>1290</v>
      </c>
      <c r="C1540" s="883">
        <v>1.0393853566091538</v>
      </c>
      <c r="D1540" s="883">
        <v>0.98513693868449714</v>
      </c>
      <c r="E1540" s="883">
        <v>1.013017266364747</v>
      </c>
      <c r="F1540" s="883">
        <v>1.0175585757123098</v>
      </c>
      <c r="G1540" s="883">
        <v>0.9798922030592967</v>
      </c>
      <c r="H1540" s="883">
        <v>0.97840639676099872</v>
      </c>
      <c r="I1540" s="883">
        <v>0.97212796893226627</v>
      </c>
      <c r="K1540">
        <v>1.6117166648998553</v>
      </c>
      <c r="L1540">
        <v>0</v>
      </c>
      <c r="M1540">
        <v>6.0058701110739313E-3</v>
      </c>
      <c r="N1540">
        <v>0.11415167813970607</v>
      </c>
      <c r="O1540">
        <v>2.9846104006441283E-2</v>
      </c>
      <c r="P1540">
        <v>1.8625598286097562E-2</v>
      </c>
      <c r="Q1540">
        <v>0</v>
      </c>
      <c r="R1540">
        <v>6.0058701110739313E-3</v>
      </c>
      <c r="S1540">
        <v>0.15676338771023138</v>
      </c>
      <c r="T1540">
        <v>1.2065323707879212</v>
      </c>
      <c r="U1540">
        <v>0</v>
      </c>
      <c r="V1540">
        <v>1.564733355281522E-2</v>
      </c>
      <c r="W1540">
        <v>5.9695380569864565E-2</v>
      </c>
      <c r="X1540">
        <v>-1.4276292265595226E-2</v>
      </c>
      <c r="Y1540">
        <v>2.4731104112373507E-2</v>
      </c>
    </row>
    <row r="1541" spans="1:25" x14ac:dyDescent="0.25">
      <c r="A1541" s="879"/>
      <c r="B1541" s="1133">
        <v>1291</v>
      </c>
      <c r="C1541" s="883">
        <v>1.0006570348687138</v>
      </c>
      <c r="D1541" s="883">
        <v>0.99678591466813038</v>
      </c>
      <c r="E1541" s="883">
        <v>1.0124881485229915</v>
      </c>
      <c r="F1541" s="883">
        <v>0.98983530640880935</v>
      </c>
      <c r="G1541" s="883">
        <v>0.99183350970241346</v>
      </c>
      <c r="H1541" s="883">
        <v>0.99414366489523698</v>
      </c>
      <c r="I1541" s="883">
        <v>0.99374270560085354</v>
      </c>
      <c r="K1541">
        <v>1.5989476043593611</v>
      </c>
      <c r="L1541">
        <v>0</v>
      </c>
      <c r="M1541">
        <v>6.3084085511280977E-3</v>
      </c>
      <c r="N1541">
        <v>0.11980806774927207</v>
      </c>
      <c r="O1541">
        <v>3.0856274441940962E-2</v>
      </c>
      <c r="P1541">
        <v>1.8319106808093084E-2</v>
      </c>
      <c r="Q1541">
        <v>0</v>
      </c>
      <c r="R1541">
        <v>6.3084085511280977E-3</v>
      </c>
      <c r="S1541">
        <v>0.16724385237310604</v>
      </c>
      <c r="T1541">
        <v>1.1736702360672944</v>
      </c>
      <c r="U1541">
        <v>0</v>
      </c>
      <c r="V1541">
        <v>1.5850332072859987E-2</v>
      </c>
      <c r="W1541">
        <v>6.2669758159509967E-2</v>
      </c>
      <c r="X1541">
        <v>-1.5446926871398151E-2</v>
      </c>
      <c r="Y1541">
        <v>2.5976903558681659E-2</v>
      </c>
    </row>
    <row r="1542" spans="1:25" x14ac:dyDescent="0.25">
      <c r="A1542" s="879"/>
      <c r="B1542" s="1133">
        <v>1292</v>
      </c>
      <c r="C1542" s="883">
        <v>0.97607273944565409</v>
      </c>
      <c r="D1542" s="883">
        <v>0.96599859225636797</v>
      </c>
      <c r="E1542" s="883">
        <v>1.0342303442294181</v>
      </c>
      <c r="F1542" s="883">
        <v>1.0000810711142065</v>
      </c>
      <c r="G1542" s="883">
        <v>1.0154667666480239</v>
      </c>
      <c r="H1542" s="883">
        <v>0.97775363855337105</v>
      </c>
      <c r="I1542" s="883">
        <v>1.0165563401148738</v>
      </c>
      <c r="K1542">
        <v>1.6255722248043829</v>
      </c>
      <c r="L1542">
        <v>0</v>
      </c>
      <c r="M1542">
        <v>6.3287474163985415E-3</v>
      </c>
      <c r="N1542">
        <v>0.12412200060352238</v>
      </c>
      <c r="O1542">
        <v>3.2012182605292913E-2</v>
      </c>
      <c r="P1542">
        <v>1.8883456637824307E-2</v>
      </c>
      <c r="Q1542">
        <v>0</v>
      </c>
      <c r="R1542">
        <v>6.3287474163985415E-3</v>
      </c>
      <c r="S1542">
        <v>0.17475023892064423</v>
      </c>
      <c r="T1542">
        <v>1.1854169963866279</v>
      </c>
      <c r="U1542">
        <v>0</v>
      </c>
      <c r="V1542">
        <v>1.5987551742857316E-2</v>
      </c>
      <c r="W1542">
        <v>6.4235596498468717E-2</v>
      </c>
      <c r="X1542">
        <v>-1.5896453976537279E-2</v>
      </c>
      <c r="Y1542">
        <v>2.6060655385682283E-2</v>
      </c>
    </row>
    <row r="1543" spans="1:25" x14ac:dyDescent="0.25">
      <c r="A1543" s="879"/>
      <c r="B1543" s="1133">
        <v>1293</v>
      </c>
      <c r="C1543" s="883">
        <v>0.98812713391161355</v>
      </c>
      <c r="D1543" s="883">
        <v>0.99330905444473372</v>
      </c>
      <c r="E1543" s="883">
        <v>1.0158122800398945</v>
      </c>
      <c r="F1543" s="883">
        <v>1.047563872061877</v>
      </c>
      <c r="G1543" s="883">
        <v>1.0373373242815018</v>
      </c>
      <c r="H1543" s="883">
        <v>1.0281777494074322</v>
      </c>
      <c r="I1543" s="883">
        <v>0.97375112383034701</v>
      </c>
      <c r="K1543">
        <v>1.6790912960588942</v>
      </c>
      <c r="L1543">
        <v>0</v>
      </c>
      <c r="M1543">
        <v>6.598197147637137E-3</v>
      </c>
      <c r="N1543">
        <v>0.12592966387905752</v>
      </c>
      <c r="O1543">
        <v>3.1288240494963385E-2</v>
      </c>
      <c r="P1543">
        <v>1.9300613220174161E-2</v>
      </c>
      <c r="Q1543">
        <v>0</v>
      </c>
      <c r="R1543">
        <v>6.598197147637137E-3</v>
      </c>
      <c r="S1543">
        <v>0.16794623542884773</v>
      </c>
      <c r="T1543">
        <v>1.2420558079447548</v>
      </c>
      <c r="U1543">
        <v>0</v>
      </c>
      <c r="V1543">
        <v>1.5919415774685558E-2</v>
      </c>
      <c r="W1543">
        <v>6.5763840126092224E-2</v>
      </c>
      <c r="X1543">
        <v>-1.6282722228341456E-2</v>
      </c>
      <c r="Y1543">
        <v>2.7170201418658547E-2</v>
      </c>
    </row>
    <row r="1544" spans="1:25" x14ac:dyDescent="0.25">
      <c r="A1544" s="879"/>
      <c r="B1544" s="1133">
        <v>1294</v>
      </c>
      <c r="C1544" s="883">
        <v>0.98381679288922519</v>
      </c>
      <c r="D1544" s="883">
        <v>1.0110574080365453</v>
      </c>
      <c r="E1544" s="883">
        <v>1.0366887006850187</v>
      </c>
      <c r="F1544" s="883">
        <v>0.97761513367051134</v>
      </c>
      <c r="G1544" s="883">
        <v>1.000687643365739</v>
      </c>
      <c r="H1544" s="883">
        <v>1.0401068115450787</v>
      </c>
      <c r="I1544" s="883">
        <v>1.0015454725876769</v>
      </c>
      <c r="K1544">
        <v>1.6033804151058086</v>
      </c>
      <c r="L1544">
        <v>0</v>
      </c>
      <c r="M1544">
        <v>6.530714722962145E-3</v>
      </c>
      <c r="N1544">
        <v>0.12854917032841243</v>
      </c>
      <c r="O1544">
        <v>3.1183901920719494E-2</v>
      </c>
      <c r="P1544">
        <v>1.8540428439384034E-2</v>
      </c>
      <c r="Q1544">
        <v>0</v>
      </c>
      <c r="R1544">
        <v>6.530714722962145E-3</v>
      </c>
      <c r="S1544">
        <v>0.1740251234893738</v>
      </c>
      <c r="T1544">
        <v>1.1587433616125453</v>
      </c>
      <c r="U1544">
        <v>0</v>
      </c>
      <c r="V1544">
        <v>1.5943587665075972E-2</v>
      </c>
      <c r="W1544">
        <v>6.6446737711601714E-2</v>
      </c>
      <c r="X1544">
        <v>-1.6944216866576413E-2</v>
      </c>
      <c r="Y1544">
        <v>2.689232080527075E-2</v>
      </c>
    </row>
    <row r="1545" spans="1:25" x14ac:dyDescent="0.25">
      <c r="A1545" s="879"/>
      <c r="B1545" s="1133">
        <v>1295</v>
      </c>
      <c r="C1545" s="883">
        <v>0.98748225481745655</v>
      </c>
      <c r="D1545" s="883">
        <v>1.0184414632673626</v>
      </c>
      <c r="E1545" s="883">
        <v>1.0017662756013965</v>
      </c>
      <c r="F1545" s="883">
        <v>0.99633562246168694</v>
      </c>
      <c r="G1545" s="883">
        <v>0.97686121880044641</v>
      </c>
      <c r="H1545" s="883">
        <v>0.99263298137294043</v>
      </c>
      <c r="I1545" s="883">
        <v>1.0022810820836854</v>
      </c>
      <c r="K1545">
        <v>1.6103519288453163</v>
      </c>
      <c r="L1545">
        <v>0</v>
      </c>
      <c r="M1545">
        <v>6.3815261776181686E-3</v>
      </c>
      <c r="N1545">
        <v>0.11928779262127998</v>
      </c>
      <c r="O1545">
        <v>3.1009688808019829E-2</v>
      </c>
      <c r="P1545">
        <v>1.8323856723664853E-2</v>
      </c>
      <c r="Q1545">
        <v>0</v>
      </c>
      <c r="R1545">
        <v>6.3815261776181686E-3</v>
      </c>
      <c r="S1545">
        <v>0.17061613910035903</v>
      </c>
      <c r="T1545">
        <v>1.1815760124340418</v>
      </c>
      <c r="U1545">
        <v>0</v>
      </c>
      <c r="V1545">
        <v>1.5923018757693082E-2</v>
      </c>
      <c r="W1545">
        <v>6.2729783082526386E-2</v>
      </c>
      <c r="X1545">
        <v>-1.5392351612385271E-2</v>
      </c>
      <c r="Y1545">
        <v>2.6277988930115417E-2</v>
      </c>
    </row>
    <row r="1546" spans="1:25" x14ac:dyDescent="0.25">
      <c r="A1546" s="879"/>
      <c r="B1546" s="1133">
        <v>1296</v>
      </c>
      <c r="C1546" s="883">
        <v>1.0113642681552799</v>
      </c>
      <c r="D1546" s="883">
        <v>1.0340603600381097</v>
      </c>
      <c r="E1546" s="883">
        <v>0.99523172233549662</v>
      </c>
      <c r="F1546" s="883">
        <v>0.97439674936784726</v>
      </c>
      <c r="G1546" s="883">
        <v>1.0231462236234123</v>
      </c>
      <c r="H1546" s="883">
        <v>0.98039095653778863</v>
      </c>
      <c r="I1546" s="883">
        <v>1.0055892738425094</v>
      </c>
      <c r="K1546">
        <v>1.5702839653236556</v>
      </c>
      <c r="L1546">
        <v>0</v>
      </c>
      <c r="M1546">
        <v>6.1474024154895956E-3</v>
      </c>
      <c r="N1546">
        <v>0.1138042016172832</v>
      </c>
      <c r="O1546">
        <v>3.0099069781810501E-2</v>
      </c>
      <c r="P1546">
        <v>1.7828666907593931E-2</v>
      </c>
      <c r="Q1546">
        <v>0</v>
      </c>
      <c r="R1546">
        <v>6.1474024154895956E-3</v>
      </c>
      <c r="S1546">
        <v>0.16629128999342382</v>
      </c>
      <c r="T1546">
        <v>1.1556766059804204</v>
      </c>
      <c r="U1546">
        <v>0</v>
      </c>
      <c r="V1546">
        <v>1.5792654039038321E-2</v>
      </c>
      <c r="W1546">
        <v>6.0040783679596074E-2</v>
      </c>
      <c r="X1546">
        <v>-1.4563215625657528E-2</v>
      </c>
      <c r="Y1546">
        <v>2.5313908950146131E-2</v>
      </c>
    </row>
    <row r="1547" spans="1:25" x14ac:dyDescent="0.25">
      <c r="A1547" s="879"/>
      <c r="B1547" s="1133">
        <v>1297</v>
      </c>
      <c r="C1547" s="883">
        <v>0.97664163069037546</v>
      </c>
      <c r="D1547" s="883">
        <v>0.9706496570398897</v>
      </c>
      <c r="E1547" s="883">
        <v>1.0091528105992893</v>
      </c>
      <c r="F1547" s="883">
        <v>1.0049396363427283</v>
      </c>
      <c r="G1547" s="883">
        <v>1.0068369209471444</v>
      </c>
      <c r="H1547" s="883">
        <v>0.99679742235175284</v>
      </c>
      <c r="I1547" s="883">
        <v>1.0073389360549796</v>
      </c>
      <c r="K1547">
        <v>1.632654981776112</v>
      </c>
      <c r="L1547">
        <v>0</v>
      </c>
      <c r="M1547">
        <v>6.5772803758876591E-3</v>
      </c>
      <c r="N1547">
        <v>0.12429921111053958</v>
      </c>
      <c r="O1547">
        <v>3.1955876435223164E-2</v>
      </c>
      <c r="P1547">
        <v>1.861013498116006E-2</v>
      </c>
      <c r="Q1547">
        <v>0</v>
      </c>
      <c r="R1547">
        <v>6.5772803758876591E-3</v>
      </c>
      <c r="S1547">
        <v>0.17414079583294931</v>
      </c>
      <c r="T1547">
        <v>1.1916419183779277</v>
      </c>
      <c r="U1547">
        <v>0</v>
      </c>
      <c r="V1547">
        <v>1.5984298339768645E-2</v>
      </c>
      <c r="W1547">
        <v>6.5126319832744986E-2</v>
      </c>
      <c r="X1547">
        <v>-1.6187643009841657E-2</v>
      </c>
      <c r="Y1547">
        <v>2.7084069875640774E-2</v>
      </c>
    </row>
    <row r="1548" spans="1:25" x14ac:dyDescent="0.25">
      <c r="A1548" s="879"/>
      <c r="B1548" s="1133">
        <v>1298</v>
      </c>
      <c r="C1548" s="883">
        <v>0.99705545055080624</v>
      </c>
      <c r="D1548" s="883">
        <v>1.0365674068968902</v>
      </c>
      <c r="E1548" s="883">
        <v>1.0133791461468569</v>
      </c>
      <c r="F1548" s="883">
        <v>0.99704068427550563</v>
      </c>
      <c r="G1548" s="883">
        <v>0.98923766874436625</v>
      </c>
      <c r="H1548" s="883">
        <v>0.97598635812985934</v>
      </c>
      <c r="I1548" s="883">
        <v>0.99011095853361053</v>
      </c>
      <c r="K1548">
        <v>1.6000147916190353</v>
      </c>
      <c r="L1548">
        <v>0</v>
      </c>
      <c r="M1548">
        <v>6.1033483091497672E-3</v>
      </c>
      <c r="N1548">
        <v>0.11606656346988524</v>
      </c>
      <c r="O1548">
        <v>3.0485968730799534E-2</v>
      </c>
      <c r="P1548">
        <v>1.8427645376096358E-2</v>
      </c>
      <c r="Q1548">
        <v>0</v>
      </c>
      <c r="R1548">
        <v>6.1033483091497672E-3</v>
      </c>
      <c r="S1548">
        <v>0.16582934773008035</v>
      </c>
      <c r="T1548">
        <v>1.182197356634936</v>
      </c>
      <c r="U1548">
        <v>0</v>
      </c>
      <c r="V1548">
        <v>1.5870011618296161E-2</v>
      </c>
      <c r="W1548">
        <v>6.0685916932266493E-2</v>
      </c>
      <c r="X1548">
        <v>-1.4680520854903697E-2</v>
      </c>
      <c r="Y1548">
        <v>2.5132501981577335E-2</v>
      </c>
    </row>
    <row r="1549" spans="1:25" x14ac:dyDescent="0.25">
      <c r="A1549" s="879"/>
      <c r="B1549" s="1133">
        <v>1299</v>
      </c>
      <c r="C1549" s="883">
        <v>0.97827318677295072</v>
      </c>
      <c r="D1549" s="883">
        <v>0.96788615486421714</v>
      </c>
      <c r="E1549" s="883">
        <v>0.97457684128374078</v>
      </c>
      <c r="F1549" s="883">
        <v>1.0343177845041496</v>
      </c>
      <c r="G1549" s="883">
        <v>0.96826176338402736</v>
      </c>
      <c r="H1549" s="883">
        <v>1.041607712825831</v>
      </c>
      <c r="I1549" s="883">
        <v>1.0104617943923604</v>
      </c>
      <c r="K1549">
        <v>1.6779197208889873</v>
      </c>
      <c r="L1549">
        <v>0</v>
      </c>
      <c r="M1549">
        <v>7.0807279556794793E-3</v>
      </c>
      <c r="N1549">
        <v>0.12712774628045231</v>
      </c>
      <c r="O1549">
        <v>3.1968611536733256E-2</v>
      </c>
      <c r="P1549">
        <v>1.8629767130711593E-2</v>
      </c>
      <c r="Q1549">
        <v>0</v>
      </c>
      <c r="R1549">
        <v>7.0807279556794793E-3</v>
      </c>
      <c r="S1549">
        <v>0.17710479619085737</v>
      </c>
      <c r="T1549">
        <v>1.2271439988025086</v>
      </c>
      <c r="U1549">
        <v>0</v>
      </c>
      <c r="V1549">
        <v>1.5974988704540651E-2</v>
      </c>
      <c r="W1549">
        <v>6.7765857886830788E-2</v>
      </c>
      <c r="X1549">
        <v>-1.6953223042542629E-2</v>
      </c>
      <c r="Y1549">
        <v>2.9157177398894826E-2</v>
      </c>
    </row>
    <row r="1550" spans="1:25" x14ac:dyDescent="0.25">
      <c r="A1550" s="879"/>
      <c r="B1550" s="1133">
        <v>1300</v>
      </c>
      <c r="C1550" s="883">
        <v>1.0002766295945873</v>
      </c>
      <c r="D1550" s="883">
        <v>1.0081162889500745</v>
      </c>
      <c r="E1550" s="883">
        <v>1.0210689985459904</v>
      </c>
      <c r="F1550" s="883">
        <v>1.0247860747830975</v>
      </c>
      <c r="G1550" s="883">
        <v>0.96782918466576218</v>
      </c>
      <c r="H1550" s="883">
        <v>1.0091718956450568</v>
      </c>
      <c r="I1550" s="883">
        <v>1.0228737194005195</v>
      </c>
      <c r="K1550">
        <v>1.649189863545905</v>
      </c>
      <c r="L1550">
        <v>0</v>
      </c>
      <c r="M1550">
        <v>6.3263088630302255E-3</v>
      </c>
      <c r="N1550">
        <v>0.12168322257366779</v>
      </c>
      <c r="O1550">
        <v>3.0721071190282782E-2</v>
      </c>
      <c r="P1550">
        <v>1.9075962162910701E-2</v>
      </c>
      <c r="Q1550">
        <v>0</v>
      </c>
      <c r="R1550">
        <v>6.3263088630302255E-3</v>
      </c>
      <c r="S1550">
        <v>0.17299410548104954</v>
      </c>
      <c r="T1550">
        <v>1.2149493768350019</v>
      </c>
      <c r="U1550">
        <v>0</v>
      </c>
      <c r="V1550">
        <v>1.5852403965251439E-2</v>
      </c>
      <c r="W1550">
        <v>6.3381794990379298E-2</v>
      </c>
      <c r="X1550">
        <v>-1.5518687509597768E-2</v>
      </c>
      <c r="Y1550">
        <v>2.6050613856957876E-2</v>
      </c>
    </row>
    <row r="1551" spans="1:25" x14ac:dyDescent="0.25">
      <c r="A1551" s="879"/>
      <c r="B1551" s="1133">
        <v>1301</v>
      </c>
      <c r="C1551" s="883">
        <v>0.96521894962772359</v>
      </c>
      <c r="D1551" s="883">
        <v>0.98458133282732674</v>
      </c>
      <c r="E1551" s="883">
        <v>0.99446472375910866</v>
      </c>
      <c r="F1551" s="883">
        <v>1.0064500055643879</v>
      </c>
      <c r="G1551" s="883">
        <v>1.0088377379907321</v>
      </c>
      <c r="H1551" s="883">
        <v>1.0045355481766309</v>
      </c>
      <c r="I1551" s="883">
        <v>0.98473226989178442</v>
      </c>
      <c r="K1551">
        <v>1.6349365602973003</v>
      </c>
      <c r="L1551">
        <v>0</v>
      </c>
      <c r="M1551">
        <v>6.7503066851292782E-3</v>
      </c>
      <c r="N1551">
        <v>0.12482353646900952</v>
      </c>
      <c r="O1551">
        <v>3.2163374149429234E-2</v>
      </c>
      <c r="P1551">
        <v>1.8411476731070891E-2</v>
      </c>
      <c r="Q1551">
        <v>0</v>
      </c>
      <c r="R1551">
        <v>6.7503066851292782E-3</v>
      </c>
      <c r="S1551">
        <v>0.17253934275150076</v>
      </c>
      <c r="T1551">
        <v>1.1937075156760972</v>
      </c>
      <c r="U1551">
        <v>0</v>
      </c>
      <c r="V1551">
        <v>1.6050357495593991E-2</v>
      </c>
      <c r="W1551">
        <v>6.5879503509679291E-2</v>
      </c>
      <c r="X1551">
        <v>-1.6435107904643739E-2</v>
      </c>
      <c r="Y1551">
        <v>2.7796561419562792E-2</v>
      </c>
    </row>
    <row r="1552" spans="1:25" x14ac:dyDescent="0.25">
      <c r="A1552" s="879"/>
      <c r="B1552" s="1133">
        <v>1302</v>
      </c>
      <c r="C1552" s="883">
        <v>1.022703856929251</v>
      </c>
      <c r="D1552" s="883">
        <v>0.99497868636458453</v>
      </c>
      <c r="E1552" s="883">
        <v>1.0190810794766176</v>
      </c>
      <c r="F1552" s="883">
        <v>0.98353069371261181</v>
      </c>
      <c r="G1552" s="883">
        <v>1.0207678801056379</v>
      </c>
      <c r="H1552" s="883">
        <v>1.0141632701425627</v>
      </c>
      <c r="I1552" s="883">
        <v>0.97141931912804891</v>
      </c>
      <c r="K1552">
        <v>1.5843800133427963</v>
      </c>
      <c r="L1552">
        <v>0</v>
      </c>
      <c r="M1552">
        <v>6.265561189719996E-3</v>
      </c>
      <c r="N1552">
        <v>0.12016089674077897</v>
      </c>
      <c r="O1552">
        <v>3.0207222585069943E-2</v>
      </c>
      <c r="P1552">
        <v>1.8221354601469612E-2</v>
      </c>
      <c r="Q1552">
        <v>0</v>
      </c>
      <c r="R1552">
        <v>6.265561189719996E-3</v>
      </c>
      <c r="S1552">
        <v>0.16109176000892231</v>
      </c>
      <c r="T1552">
        <v>1.1660746508171396</v>
      </c>
      <c r="U1552">
        <v>0</v>
      </c>
      <c r="V1552">
        <v>1.5732886434930975E-2</v>
      </c>
      <c r="W1552">
        <v>6.2650170307662706E-2</v>
      </c>
      <c r="X1552">
        <v>-1.5559393904126634E-2</v>
      </c>
      <c r="Y1552">
        <v>2.5800465750949131E-2</v>
      </c>
    </row>
    <row r="1553" spans="1:25" x14ac:dyDescent="0.25">
      <c r="A1553" s="879"/>
      <c r="B1553" s="1133">
        <v>1303</v>
      </c>
      <c r="C1553" s="883">
        <v>1.0392427608834305</v>
      </c>
      <c r="D1553" s="883">
        <v>0.99181113633849793</v>
      </c>
      <c r="E1553" s="883">
        <v>0.97670042248449429</v>
      </c>
      <c r="F1553" s="883">
        <v>0.99523358796493477</v>
      </c>
      <c r="G1553" s="883">
        <v>0.98306951841724433</v>
      </c>
      <c r="H1553" s="883">
        <v>1.0096988038258361</v>
      </c>
      <c r="I1553" s="883">
        <v>0.99227119454781154</v>
      </c>
      <c r="K1553">
        <v>1.5931414287232657</v>
      </c>
      <c r="L1553">
        <v>0</v>
      </c>
      <c r="M1553">
        <v>6.3792486702328134E-3</v>
      </c>
      <c r="N1553">
        <v>0.11489489993977033</v>
      </c>
      <c r="O1553">
        <v>2.9799002739302329E-2</v>
      </c>
      <c r="P1553">
        <v>1.7843383698692501E-2</v>
      </c>
      <c r="Q1553">
        <v>0</v>
      </c>
      <c r="R1553">
        <v>6.3792486702328134E-3</v>
      </c>
      <c r="S1553">
        <v>0.16167168800098586</v>
      </c>
      <c r="T1553">
        <v>1.1807338941632144</v>
      </c>
      <c r="U1553">
        <v>0</v>
      </c>
      <c r="V1553">
        <v>1.5648053232008369E-2</v>
      </c>
      <c r="W1553">
        <v>6.1179896143309015E-2</v>
      </c>
      <c r="X1553">
        <v>-1.4897999754100503E-2</v>
      </c>
      <c r="Y1553">
        <v>2.6268610560083727E-2</v>
      </c>
    </row>
    <row r="1554" spans="1:25" x14ac:dyDescent="0.25">
      <c r="A1554" s="879"/>
      <c r="B1554" s="1133">
        <v>1304</v>
      </c>
      <c r="C1554" s="883">
        <v>0.99848408158630397</v>
      </c>
      <c r="D1554" s="883">
        <v>0.99766477098039774</v>
      </c>
      <c r="E1554" s="883">
        <v>0.97745193061623914</v>
      </c>
      <c r="F1554" s="883">
        <v>1.0282865401505936</v>
      </c>
      <c r="G1554" s="883">
        <v>1.0196996902159332</v>
      </c>
      <c r="H1554" s="883">
        <v>0.99473674377600574</v>
      </c>
      <c r="I1554" s="883">
        <v>1.0153385811903211</v>
      </c>
      <c r="K1554">
        <v>1.6483292718562317</v>
      </c>
      <c r="L1554">
        <v>0</v>
      </c>
      <c r="M1554">
        <v>6.5198416924215274E-3</v>
      </c>
      <c r="N1554">
        <v>0.11755811467025706</v>
      </c>
      <c r="O1554">
        <v>3.0941904286094862E-2</v>
      </c>
      <c r="P1554">
        <v>1.849776171675778E-2</v>
      </c>
      <c r="Q1554">
        <v>0</v>
      </c>
      <c r="R1554">
        <v>6.5198416924215274E-3</v>
      </c>
      <c r="S1554">
        <v>0.17123805162904754</v>
      </c>
      <c r="T1554">
        <v>1.2199331041986634</v>
      </c>
      <c r="U1554">
        <v>0</v>
      </c>
      <c r="V1554">
        <v>1.5862188396123293E-2</v>
      </c>
      <c r="W1554">
        <v>6.2574441430963967E-2</v>
      </c>
      <c r="X1554">
        <v>-1.5123842072507587E-2</v>
      </c>
      <c r="Y1554">
        <v>2.684754760083178E-2</v>
      </c>
    </row>
    <row r="1555" spans="1:25" x14ac:dyDescent="0.25">
      <c r="A1555" s="879"/>
      <c r="B1555" s="1133">
        <v>1305</v>
      </c>
      <c r="C1555" s="883">
        <v>0.96416890631584751</v>
      </c>
      <c r="D1555" s="883">
        <v>1.0388679037282136</v>
      </c>
      <c r="E1555" s="883">
        <v>1.0349583087558296</v>
      </c>
      <c r="F1555" s="883">
        <v>1.0437980851144135</v>
      </c>
      <c r="G1555" s="883">
        <v>1.0039033840537668</v>
      </c>
      <c r="H1555" s="883">
        <v>0.96677459758127082</v>
      </c>
      <c r="I1555" s="883">
        <v>1.0144891357235324</v>
      </c>
      <c r="K1555">
        <v>1.6724239224288004</v>
      </c>
      <c r="L1555">
        <v>0</v>
      </c>
      <c r="M1555">
        <v>6.1288515924984143E-3</v>
      </c>
      <c r="N1555">
        <v>0.1203309329068612</v>
      </c>
      <c r="O1555">
        <v>3.1477557788566375E-2</v>
      </c>
      <c r="P1555">
        <v>1.9611189967549524E-2</v>
      </c>
      <c r="Q1555">
        <v>0</v>
      </c>
      <c r="R1555">
        <v>6.1288515924984143E-3</v>
      </c>
      <c r="S1555">
        <v>0.17515878105116525</v>
      </c>
      <c r="T1555">
        <v>1.2372216810717733</v>
      </c>
      <c r="U1555">
        <v>0</v>
      </c>
      <c r="V1555">
        <v>1.6056508616913611E-2</v>
      </c>
      <c r="W1555">
        <v>6.2251449667082237E-2</v>
      </c>
      <c r="X1555">
        <v>-1.4921698604102826E-2</v>
      </c>
      <c r="Y1555">
        <v>2.5237519962991846E-2</v>
      </c>
    </row>
    <row r="1556" spans="1:25" x14ac:dyDescent="0.25">
      <c r="A1556" s="879"/>
      <c r="B1556" s="1133">
        <v>1306</v>
      </c>
      <c r="C1556" s="883">
        <v>1.0091444859552678</v>
      </c>
      <c r="D1556" s="883">
        <v>1.0092450373834299</v>
      </c>
      <c r="E1556" s="883">
        <v>1.0008527981668471</v>
      </c>
      <c r="F1556" s="883">
        <v>1.0015463708172065</v>
      </c>
      <c r="G1556" s="883">
        <v>0.97507261459787897</v>
      </c>
      <c r="H1556" s="883">
        <v>0.98531981457973139</v>
      </c>
      <c r="I1556" s="883">
        <v>1.0399375455181814</v>
      </c>
      <c r="K1556">
        <v>1.6136309933337654</v>
      </c>
      <c r="L1556">
        <v>0</v>
      </c>
      <c r="M1556">
        <v>6.2286137822258241E-3</v>
      </c>
      <c r="N1556">
        <v>0.11627200882875333</v>
      </c>
      <c r="O1556">
        <v>3.0455107458301718E-2</v>
      </c>
      <c r="P1556">
        <v>1.8422880229861664E-2</v>
      </c>
      <c r="Q1556">
        <v>0</v>
      </c>
      <c r="R1556">
        <v>6.2286137822258241E-3</v>
      </c>
      <c r="S1556">
        <v>0.17288095590645344</v>
      </c>
      <c r="T1556">
        <v>1.1877725500585616</v>
      </c>
      <c r="U1556">
        <v>0</v>
      </c>
      <c r="V1556">
        <v>1.5804511056193508E-2</v>
      </c>
      <c r="W1556">
        <v>6.1171605304269155E-2</v>
      </c>
      <c r="X1556">
        <v>-1.4796948411911986E-2</v>
      </c>
      <c r="Y1556">
        <v>2.5648322903281496E-2</v>
      </c>
    </row>
    <row r="1557" spans="1:25" x14ac:dyDescent="0.25">
      <c r="A1557" s="879"/>
      <c r="B1557" s="1133">
        <v>1307</v>
      </c>
      <c r="C1557" s="883">
        <v>1.007027828591736</v>
      </c>
      <c r="D1557" s="883">
        <v>1.0036650731265764</v>
      </c>
      <c r="E1557" s="883">
        <v>0.98542853550069043</v>
      </c>
      <c r="F1557" s="883">
        <v>0.9950549919249162</v>
      </c>
      <c r="G1557" s="883">
        <v>1.0221218733232462</v>
      </c>
      <c r="H1557" s="883">
        <v>0.98536266286698926</v>
      </c>
      <c r="I1557" s="883">
        <v>1.0202645723029606</v>
      </c>
      <c r="K1557">
        <v>1.6031549243170309</v>
      </c>
      <c r="L1557">
        <v>0</v>
      </c>
      <c r="M1557">
        <v>6.342246195804817E-3</v>
      </c>
      <c r="N1557">
        <v>0.1157171863540092</v>
      </c>
      <c r="O1557">
        <v>3.0599589471555198E-2</v>
      </c>
      <c r="P1557">
        <v>1.8071535921106642E-2</v>
      </c>
      <c r="Q1557">
        <v>0</v>
      </c>
      <c r="R1557">
        <v>6.342246195804817E-3</v>
      </c>
      <c r="S1557">
        <v>0.17000710362583207</v>
      </c>
      <c r="T1557">
        <v>1.1803598797911803</v>
      </c>
      <c r="U1557">
        <v>0</v>
      </c>
      <c r="V1557">
        <v>1.5815865916065514E-2</v>
      </c>
      <c r="W1557">
        <v>6.1349170867357382E-2</v>
      </c>
      <c r="X1557">
        <v>-1.4881648586661253E-2</v>
      </c>
      <c r="Y1557">
        <v>2.6116240956584165E-2</v>
      </c>
    </row>
    <row r="1558" spans="1:25" x14ac:dyDescent="0.25">
      <c r="A1558" s="879"/>
      <c r="B1558" s="1133">
        <v>1308</v>
      </c>
      <c r="C1558" s="883">
        <v>1.0483598512304815</v>
      </c>
      <c r="D1558" s="883">
        <v>0.99194335702900915</v>
      </c>
      <c r="E1558" s="883">
        <v>0.99063972904882702</v>
      </c>
      <c r="F1558" s="883">
        <v>0.97470434066877931</v>
      </c>
      <c r="G1558" s="883">
        <v>1.0327307042179681</v>
      </c>
      <c r="H1558" s="883">
        <v>0.98928828295764148</v>
      </c>
      <c r="I1558" s="883">
        <v>1.0063583578401825</v>
      </c>
      <c r="K1558">
        <v>1.563212404666527</v>
      </c>
      <c r="L1558">
        <v>0</v>
      </c>
      <c r="M1558">
        <v>6.1207190485925798E-3</v>
      </c>
      <c r="N1558">
        <v>0.11254159508253385</v>
      </c>
      <c r="O1558">
        <v>2.952756315355598E-2</v>
      </c>
      <c r="P1558">
        <v>1.7704883099884289E-2</v>
      </c>
      <c r="Q1558">
        <v>0</v>
      </c>
      <c r="R1558">
        <v>6.1207190485925798E-3</v>
      </c>
      <c r="S1558">
        <v>0.16141404444864943</v>
      </c>
      <c r="T1558">
        <v>1.1561247454912325</v>
      </c>
      <c r="U1558">
        <v>0</v>
      </c>
      <c r="V1558">
        <v>1.5602433270869459E-2</v>
      </c>
      <c r="W1558">
        <v>5.9510611223892056E-2</v>
      </c>
      <c r="X1558">
        <v>-1.441750269881731E-2</v>
      </c>
      <c r="Y1558">
        <v>2.5204031594726471E-2</v>
      </c>
    </row>
    <row r="1559" spans="1:25" x14ac:dyDescent="0.25">
      <c r="A1559" s="879"/>
      <c r="B1559" s="1133">
        <v>1309</v>
      </c>
      <c r="C1559" s="883">
        <v>0.98483956698979036</v>
      </c>
      <c r="D1559" s="883">
        <v>1.004588413526132</v>
      </c>
      <c r="E1559" s="883">
        <v>1.0197944249301354</v>
      </c>
      <c r="F1559" s="883">
        <v>0.99639267741614168</v>
      </c>
      <c r="G1559" s="883">
        <v>0.9777540610076354</v>
      </c>
      <c r="H1559" s="883">
        <v>1.0283430942304581</v>
      </c>
      <c r="I1559" s="883">
        <v>1.0243918229185403</v>
      </c>
      <c r="K1559">
        <v>1.6265704922375022</v>
      </c>
      <c r="L1559">
        <v>0</v>
      </c>
      <c r="M1559">
        <v>6.5651003903563201E-3</v>
      </c>
      <c r="N1559">
        <v>0.12603839455147808</v>
      </c>
      <c r="O1559">
        <v>3.124757527763266E-2</v>
      </c>
      <c r="P1559">
        <v>1.8659071901549085E-2</v>
      </c>
      <c r="Q1559">
        <v>0</v>
      </c>
      <c r="R1559">
        <v>6.5651003903563201E-3</v>
      </c>
      <c r="S1559">
        <v>0.17715649011000742</v>
      </c>
      <c r="T1559">
        <v>1.1813106783331917</v>
      </c>
      <c r="U1559">
        <v>0</v>
      </c>
      <c r="V1559">
        <v>1.5937832920620926E-2</v>
      </c>
      <c r="W1559">
        <v>6.5691520827829974E-2</v>
      </c>
      <c r="X1559">
        <v>-1.6504986547987332E-2</v>
      </c>
      <c r="Y1559">
        <v>2.7033914863179322E-2</v>
      </c>
    </row>
    <row r="1560" spans="1:25" x14ac:dyDescent="0.25">
      <c r="A1560" s="879"/>
      <c r="B1560" s="1133">
        <v>1310</v>
      </c>
      <c r="C1560" s="883">
        <v>1.0002098927536467</v>
      </c>
      <c r="D1560" s="883">
        <v>0.99903506490546279</v>
      </c>
      <c r="E1560" s="883">
        <v>0.98918914150317327</v>
      </c>
      <c r="F1560" s="883">
        <v>0.99404596979903292</v>
      </c>
      <c r="G1560" s="883">
        <v>0.9767226083306364</v>
      </c>
      <c r="H1560" s="883">
        <v>0.98962216388571933</v>
      </c>
      <c r="I1560" s="883">
        <v>1.0097583280575366</v>
      </c>
      <c r="K1560">
        <v>1.604504001811657</v>
      </c>
      <c r="L1560">
        <v>0</v>
      </c>
      <c r="M1560">
        <v>6.4052725141855041E-3</v>
      </c>
      <c r="N1560">
        <v>0.11752066170510135</v>
      </c>
      <c r="O1560">
        <v>3.0862142567237173E-2</v>
      </c>
      <c r="P1560">
        <v>1.810333811866148E-2</v>
      </c>
      <c r="Q1560">
        <v>0</v>
      </c>
      <c r="R1560">
        <v>6.4052725141855041E-3</v>
      </c>
      <c r="S1560">
        <v>0.16970236744766923</v>
      </c>
      <c r="T1560">
        <v>1.1790932686196074</v>
      </c>
      <c r="U1560">
        <v>0</v>
      </c>
      <c r="V1560">
        <v>1.5852767612594004E-2</v>
      </c>
      <c r="W1560">
        <v>6.2188450398902313E-2</v>
      </c>
      <c r="X1560">
        <v>-1.5194766775526418E-2</v>
      </c>
      <c r="Y1560">
        <v>2.6375772117409352E-2</v>
      </c>
    </row>
    <row r="1561" spans="1:25" x14ac:dyDescent="0.25">
      <c r="A1561" s="879"/>
      <c r="B1561" s="1133">
        <v>1311</v>
      </c>
      <c r="C1561" s="883">
        <v>0.98542797388646897</v>
      </c>
      <c r="D1561" s="883">
        <v>1.0172792053196396</v>
      </c>
      <c r="E1561" s="883">
        <v>1.0281428319465435</v>
      </c>
      <c r="F1561" s="883">
        <v>0.99396102344392767</v>
      </c>
      <c r="G1561" s="883">
        <v>1.0056371632832415</v>
      </c>
      <c r="H1561" s="883">
        <v>1.0005769448748409</v>
      </c>
      <c r="I1561" s="883">
        <v>0.9725339652258409</v>
      </c>
      <c r="K1561">
        <v>1.6064919052831914</v>
      </c>
      <c r="L1561">
        <v>0</v>
      </c>
      <c r="M1561">
        <v>6.3021489050672655E-3</v>
      </c>
      <c r="N1561">
        <v>0.12249320290524897</v>
      </c>
      <c r="O1561">
        <v>3.1064748511638735E-2</v>
      </c>
      <c r="P1561">
        <v>1.8586171909668495E-2</v>
      </c>
      <c r="Q1561">
        <v>0</v>
      </c>
      <c r="R1561">
        <v>6.3021489050672655E-3</v>
      </c>
      <c r="S1561">
        <v>0.16638743882825346</v>
      </c>
      <c r="T1561">
        <v>1.1782743969557066</v>
      </c>
      <c r="U1561">
        <v>0</v>
      </c>
      <c r="V1561">
        <v>1.5934527601315449E-2</v>
      </c>
      <c r="W1561">
        <v>6.3582171475160029E-2</v>
      </c>
      <c r="X1561">
        <v>-1.5781880354179018E-2</v>
      </c>
      <c r="Y1561">
        <v>2.5951127450378621E-2</v>
      </c>
    </row>
    <row r="1562" spans="1:25" x14ac:dyDescent="0.25">
      <c r="A1562" s="879"/>
      <c r="B1562" s="1133">
        <v>1312</v>
      </c>
      <c r="C1562" s="883">
        <v>1.0325280728500281</v>
      </c>
      <c r="D1562" s="883">
        <v>1.0253915538552001</v>
      </c>
      <c r="E1562" s="883">
        <v>0.98790491173808304</v>
      </c>
      <c r="F1562" s="883">
        <v>0.9928918257551187</v>
      </c>
      <c r="G1562" s="883">
        <v>0.96905850442958918</v>
      </c>
      <c r="H1562" s="883">
        <v>1.0137593477550091</v>
      </c>
      <c r="I1562" s="883">
        <v>1.019590138393925</v>
      </c>
      <c r="K1562">
        <v>1.5953831438206132</v>
      </c>
      <c r="L1562">
        <v>0</v>
      </c>
      <c r="M1562">
        <v>6.2898191018551106E-3</v>
      </c>
      <c r="N1562">
        <v>0.11518284399020533</v>
      </c>
      <c r="O1562">
        <v>2.9587380689330086E-2</v>
      </c>
      <c r="P1562">
        <v>1.8031016540095191E-2</v>
      </c>
      <c r="Q1562">
        <v>0</v>
      </c>
      <c r="R1562">
        <v>6.2898191018551106E-3</v>
      </c>
      <c r="S1562">
        <v>0.16710771493485113</v>
      </c>
      <c r="T1562">
        <v>1.1777480360641959</v>
      </c>
      <c r="U1562">
        <v>0</v>
      </c>
      <c r="V1562">
        <v>1.5682167260254957E-2</v>
      </c>
      <c r="W1562">
        <v>6.0990415724786806E-2</v>
      </c>
      <c r="X1562">
        <v>-1.4846786898481712E-2</v>
      </c>
      <c r="Y1562">
        <v>2.5900355515374132E-2</v>
      </c>
    </row>
    <row r="1563" spans="1:25" x14ac:dyDescent="0.25">
      <c r="A1563" s="879"/>
      <c r="B1563" s="1133">
        <v>1313</v>
      </c>
      <c r="C1563" s="883">
        <v>0.99166864430976465</v>
      </c>
      <c r="D1563" s="883">
        <v>1.0175479256541258</v>
      </c>
      <c r="E1563" s="883">
        <v>1.0177649100528672</v>
      </c>
      <c r="F1563" s="883">
        <v>0.97252823363779617</v>
      </c>
      <c r="G1563" s="883">
        <v>1.0490292818849178</v>
      </c>
      <c r="H1563" s="883">
        <v>1.0269019535821629</v>
      </c>
      <c r="I1563" s="883">
        <v>0.99509940553342635</v>
      </c>
      <c r="K1563">
        <v>1.5879330057510559</v>
      </c>
      <c r="L1563">
        <v>0</v>
      </c>
      <c r="M1563">
        <v>6.485169614213207E-3</v>
      </c>
      <c r="N1563">
        <v>0.12413060036829691</v>
      </c>
      <c r="O1563">
        <v>3.0875530865306668E-2</v>
      </c>
      <c r="P1563">
        <v>1.8159509467732825E-2</v>
      </c>
      <c r="Q1563">
        <v>0</v>
      </c>
      <c r="R1563">
        <v>6.485169614213207E-3</v>
      </c>
      <c r="S1563">
        <v>0.17068273451930543</v>
      </c>
      <c r="T1563">
        <v>1.1530538122160763</v>
      </c>
      <c r="U1563">
        <v>0</v>
      </c>
      <c r="V1563">
        <v>1.5899712647731816E-2</v>
      </c>
      <c r="W1563">
        <v>6.476191782959631E-2</v>
      </c>
      <c r="X1563">
        <v>-1.6335586317159596E-2</v>
      </c>
      <c r="Y1563">
        <v>2.6704774154169782E-2</v>
      </c>
    </row>
    <row r="1564" spans="1:25" x14ac:dyDescent="0.25">
      <c r="A1564" s="879"/>
      <c r="B1564" s="1133">
        <v>1314</v>
      </c>
      <c r="C1564" s="883">
        <v>0.99058193482252566</v>
      </c>
      <c r="D1564" s="883">
        <v>0.98358836796703109</v>
      </c>
      <c r="E1564" s="883">
        <v>1.0126944955204755</v>
      </c>
      <c r="F1564" s="883">
        <v>0.95489791109469058</v>
      </c>
      <c r="G1564" s="883">
        <v>0.99297368997187441</v>
      </c>
      <c r="H1564" s="883">
        <v>1.0087548619168762</v>
      </c>
      <c r="I1564" s="883">
        <v>0.99266080787550259</v>
      </c>
      <c r="K1564">
        <v>1.5656463436926069</v>
      </c>
      <c r="L1564">
        <v>0</v>
      </c>
      <c r="M1564">
        <v>6.5036345144167907E-3</v>
      </c>
      <c r="N1564">
        <v>0.12355349051126485</v>
      </c>
      <c r="O1564">
        <v>3.1336548923236007E-2</v>
      </c>
      <c r="P1564">
        <v>1.7797293438662713E-2</v>
      </c>
      <c r="Q1564">
        <v>0</v>
      </c>
      <c r="R1564">
        <v>6.5036345144167907E-3</v>
      </c>
      <c r="S1564">
        <v>0.16975261136185688</v>
      </c>
      <c r="T1564">
        <v>1.1322405206841946</v>
      </c>
      <c r="U1564">
        <v>0</v>
      </c>
      <c r="V1564">
        <v>1.5905743553109187E-2</v>
      </c>
      <c r="W1564">
        <v>6.4622342433278163E-2</v>
      </c>
      <c r="X1564">
        <v>-1.634301653957369E-2</v>
      </c>
      <c r="Y1564">
        <v>2.6780809326578416E-2</v>
      </c>
    </row>
    <row r="1565" spans="1:25" x14ac:dyDescent="0.25">
      <c r="A1565" s="879"/>
      <c r="B1565" s="1133">
        <v>1315</v>
      </c>
      <c r="C1565" s="883">
        <v>1.0192247234122425</v>
      </c>
      <c r="D1565" s="883">
        <v>1.0068511653798276</v>
      </c>
      <c r="E1565" s="883">
        <v>0.98750977642336213</v>
      </c>
      <c r="F1565" s="883">
        <v>0.9928335947455007</v>
      </c>
      <c r="G1565" s="883">
        <v>1.0345859124874632</v>
      </c>
      <c r="H1565" s="883">
        <v>1.0000267415906929</v>
      </c>
      <c r="I1565" s="883">
        <v>0.9932973426667957</v>
      </c>
      <c r="K1565">
        <v>1.5945273464587781</v>
      </c>
      <c r="L1565">
        <v>0</v>
      </c>
      <c r="M1565">
        <v>6.3391048308648005E-3</v>
      </c>
      <c r="N1565">
        <v>0.11601739633395014</v>
      </c>
      <c r="O1565">
        <v>3.0193451544338962E-2</v>
      </c>
      <c r="P1565">
        <v>1.7988806307395633E-2</v>
      </c>
      <c r="Q1565">
        <v>0</v>
      </c>
      <c r="R1565">
        <v>6.3391048308648005E-3</v>
      </c>
      <c r="S1565">
        <v>0.16433108536568891</v>
      </c>
      <c r="T1565">
        <v>1.1776862757785105</v>
      </c>
      <c r="U1565">
        <v>0</v>
      </c>
      <c r="V1565">
        <v>1.5751082492120275E-2</v>
      </c>
      <c r="W1565">
        <v>6.1444436393619351E-2</v>
      </c>
      <c r="X1565">
        <v>-1.4988493131748531E-2</v>
      </c>
      <c r="Y1565">
        <v>2.6103305374903289E-2</v>
      </c>
    </row>
    <row r="1566" spans="1:25" x14ac:dyDescent="0.25">
      <c r="A1566" s="879"/>
      <c r="B1566" s="1133">
        <v>1316</v>
      </c>
      <c r="C1566" s="883">
        <v>0.9962098738641616</v>
      </c>
      <c r="D1566" s="883">
        <v>1.0064574761260989</v>
      </c>
      <c r="E1566" s="883">
        <v>1.0127158362260023</v>
      </c>
      <c r="F1566" s="883">
        <v>0.98909760472075858</v>
      </c>
      <c r="G1566" s="883">
        <v>0.97541290586868945</v>
      </c>
      <c r="H1566" s="883">
        <v>1.0152066503707382</v>
      </c>
      <c r="I1566" s="883">
        <v>0.9896570265121436</v>
      </c>
      <c r="K1566">
        <v>1.6032389602305219</v>
      </c>
      <c r="L1566">
        <v>0</v>
      </c>
      <c r="M1566">
        <v>6.4417329509428682E-3</v>
      </c>
      <c r="N1566">
        <v>0.12238137444875294</v>
      </c>
      <c r="O1566">
        <v>3.0874336557274569E-2</v>
      </c>
      <c r="P1566">
        <v>1.8326524863346447E-2</v>
      </c>
      <c r="Q1566">
        <v>0</v>
      </c>
      <c r="R1566">
        <v>6.4417329509428682E-3</v>
      </c>
      <c r="S1566">
        <v>0.16841401947836834</v>
      </c>
      <c r="T1566">
        <v>1.1727913533863714</v>
      </c>
      <c r="U1566">
        <v>0</v>
      </c>
      <c r="V1566">
        <v>1.5874652589649017E-2</v>
      </c>
      <c r="W1566">
        <v>6.400861416044723E-2</v>
      </c>
      <c r="X1566">
        <v>-1.5957824959947405E-2</v>
      </c>
      <c r="Y1566">
        <v>2.652590970626037E-2</v>
      </c>
    </row>
    <row r="1567" spans="1:25" x14ac:dyDescent="0.25">
      <c r="A1567" s="879"/>
      <c r="B1567" s="1133">
        <v>1317</v>
      </c>
      <c r="C1567" s="883">
        <v>0.99241534255044861</v>
      </c>
      <c r="D1567" s="883">
        <v>0.95755608460863451</v>
      </c>
      <c r="E1567" s="883">
        <v>1.0077979960652792</v>
      </c>
      <c r="F1567" s="883">
        <v>0.97224731310628631</v>
      </c>
      <c r="G1567" s="883">
        <v>0.99970905925429976</v>
      </c>
      <c r="H1567" s="883">
        <v>1.0145716579499688</v>
      </c>
      <c r="I1567" s="883">
        <v>0.97117857950331177</v>
      </c>
      <c r="K1567">
        <v>1.5862629635716397</v>
      </c>
      <c r="L1567">
        <v>0</v>
      </c>
      <c r="M1567">
        <v>6.6361291565667641E-3</v>
      </c>
      <c r="N1567">
        <v>0.12516004401710404</v>
      </c>
      <c r="O1567">
        <v>3.1620484893870995E-2</v>
      </c>
      <c r="P1567">
        <v>1.7964423292365916E-2</v>
      </c>
      <c r="Q1567">
        <v>0</v>
      </c>
      <c r="R1567">
        <v>6.6361291565667641E-3</v>
      </c>
      <c r="S1567">
        <v>0.16639112462926964</v>
      </c>
      <c r="T1567">
        <v>1.1529002974909752</v>
      </c>
      <c r="U1567">
        <v>0</v>
      </c>
      <c r="V1567">
        <v>1.5895576356419087E-2</v>
      </c>
      <c r="W1567">
        <v>6.5621337227399518E-2</v>
      </c>
      <c r="X1567">
        <v>-1.6616723015550658E-2</v>
      </c>
      <c r="Y1567">
        <v>2.7326398679784848E-2</v>
      </c>
    </row>
    <row r="1568" spans="1:25" x14ac:dyDescent="0.25">
      <c r="A1568" s="879"/>
      <c r="B1568" s="1133">
        <v>1318</v>
      </c>
      <c r="C1568" s="883">
        <v>1.023781881346211</v>
      </c>
      <c r="D1568" s="883">
        <v>0.96114775771788619</v>
      </c>
      <c r="E1568" s="883">
        <v>0.98964756400207943</v>
      </c>
      <c r="F1568" s="883">
        <v>0.97618683654817717</v>
      </c>
      <c r="G1568" s="883">
        <v>0.98339543152814035</v>
      </c>
      <c r="H1568" s="883">
        <v>1.0142768159575426</v>
      </c>
      <c r="I1568" s="883">
        <v>1.0027284831754959</v>
      </c>
      <c r="K1568">
        <v>1.582693183089549</v>
      </c>
      <c r="L1568">
        <v>0</v>
      </c>
      <c r="M1568">
        <v>6.5227794508533714E-3</v>
      </c>
      <c r="N1568">
        <v>0.11975798795337043</v>
      </c>
      <c r="O1568">
        <v>3.0621096000741338E-2</v>
      </c>
      <c r="P1568">
        <v>1.7783698330319658E-2</v>
      </c>
      <c r="Q1568">
        <v>0</v>
      </c>
      <c r="R1568">
        <v>6.5227794508533714E-3</v>
      </c>
      <c r="S1568">
        <v>0.16645522033336946</v>
      </c>
      <c r="T1568">
        <v>1.1579012186298305</v>
      </c>
      <c r="U1568">
        <v>0</v>
      </c>
      <c r="V1568">
        <v>1.5727273405678584E-2</v>
      </c>
      <c r="W1568">
        <v>6.3357888391127729E-2</v>
      </c>
      <c r="X1568">
        <v>-1.5770844722041752E-2</v>
      </c>
      <c r="Y1568">
        <v>2.6859644767152607E-2</v>
      </c>
    </row>
    <row r="1569" spans="1:25" x14ac:dyDescent="0.25">
      <c r="A1569" s="879"/>
      <c r="B1569" s="1133">
        <v>1319</v>
      </c>
      <c r="C1569" s="883">
        <v>1.0292284649594181</v>
      </c>
      <c r="D1569" s="883">
        <v>1.0096068922750154</v>
      </c>
      <c r="E1569" s="883">
        <v>1.029806922184944</v>
      </c>
      <c r="F1569" s="883">
        <v>1.0046749902744192</v>
      </c>
      <c r="G1569" s="883">
        <v>1.0171870056964878</v>
      </c>
      <c r="H1569" s="883">
        <v>0.96775971545496142</v>
      </c>
      <c r="I1569" s="883">
        <v>1.0080135811012907</v>
      </c>
      <c r="K1569">
        <v>1.6015508227607358</v>
      </c>
      <c r="L1569">
        <v>0</v>
      </c>
      <c r="M1569">
        <v>5.8472397504870672E-3</v>
      </c>
      <c r="N1569">
        <v>0.11393118456625193</v>
      </c>
      <c r="O1569">
        <v>2.9831436267422216E-2</v>
      </c>
      <c r="P1569">
        <v>1.8737281008427146E-2</v>
      </c>
      <c r="Q1569">
        <v>0</v>
      </c>
      <c r="R1569">
        <v>5.8472397504870672E-3</v>
      </c>
      <c r="S1569">
        <v>0.16333783517839437</v>
      </c>
      <c r="T1569">
        <v>1.190944230739605</v>
      </c>
      <c r="U1569">
        <v>0</v>
      </c>
      <c r="V1569">
        <v>1.5699094054587744E-2</v>
      </c>
      <c r="W1569">
        <v>5.9089631367484165E-2</v>
      </c>
      <c r="X1569">
        <v>-1.409776294406551E-2</v>
      </c>
      <c r="Y1569">
        <v>2.4077892522628416E-2</v>
      </c>
    </row>
    <row r="1570" spans="1:25" x14ac:dyDescent="0.25">
      <c r="A1570" s="879"/>
      <c r="B1570" s="1133">
        <v>1320</v>
      </c>
      <c r="C1570" s="883">
        <v>0.98575195955758499</v>
      </c>
      <c r="D1570" s="883">
        <v>0.99479241814798314</v>
      </c>
      <c r="E1570" s="883">
        <v>0.99951740381235732</v>
      </c>
      <c r="F1570" s="883">
        <v>0.98084569218325524</v>
      </c>
      <c r="G1570" s="883">
        <v>0.98164576053965513</v>
      </c>
      <c r="H1570" s="883">
        <v>0.97964574469874721</v>
      </c>
      <c r="I1570" s="883">
        <v>0.9945185575748573</v>
      </c>
      <c r="K1570">
        <v>1.5901728900238072</v>
      </c>
      <c r="L1570">
        <v>0</v>
      </c>
      <c r="M1570">
        <v>6.3880650015799793E-3</v>
      </c>
      <c r="N1570">
        <v>0.11901286775077501</v>
      </c>
      <c r="O1570">
        <v>3.1359383767178325E-2</v>
      </c>
      <c r="P1570">
        <v>1.802697493669591E-2</v>
      </c>
      <c r="Q1570">
        <v>0</v>
      </c>
      <c r="R1570">
        <v>6.3880650015799793E-3</v>
      </c>
      <c r="S1570">
        <v>0.1690615451703204</v>
      </c>
      <c r="T1570">
        <v>1.1632471573832595</v>
      </c>
      <c r="U1570">
        <v>0</v>
      </c>
      <c r="V1570">
        <v>1.5932709327400409E-2</v>
      </c>
      <c r="W1570">
        <v>6.2655128521151987E-2</v>
      </c>
      <c r="X1570">
        <v>-1.5427791476296346E-2</v>
      </c>
      <c r="Y1570">
        <v>2.6304914643322876E-2</v>
      </c>
    </row>
    <row r="1571" spans="1:25" x14ac:dyDescent="0.25">
      <c r="A1571" s="879"/>
      <c r="B1571" s="1133">
        <v>1321</v>
      </c>
      <c r="C1571" s="883">
        <v>0.99699834991244796</v>
      </c>
      <c r="D1571" s="883">
        <v>1.0110998615063982</v>
      </c>
      <c r="E1571" s="883">
        <v>1.003875389285501</v>
      </c>
      <c r="F1571" s="883">
        <v>0.98843722438635817</v>
      </c>
      <c r="G1571" s="883">
        <v>0.97403432504803433</v>
      </c>
      <c r="H1571" s="883">
        <v>0.98225348720006234</v>
      </c>
      <c r="I1571" s="883">
        <v>0.98165305132920544</v>
      </c>
      <c r="K1571">
        <v>1.5918260783915743</v>
      </c>
      <c r="L1571">
        <v>0</v>
      </c>
      <c r="M1571">
        <v>6.2631696859876138E-3</v>
      </c>
      <c r="N1571">
        <v>0.11744170396174278</v>
      </c>
      <c r="O1571">
        <v>3.0800910725156231E-2</v>
      </c>
      <c r="P1571">
        <v>1.8150664916358836E-2</v>
      </c>
      <c r="Q1571">
        <v>0</v>
      </c>
      <c r="R1571">
        <v>6.2631696859876138E-3</v>
      </c>
      <c r="S1571">
        <v>0.16499140606938495</v>
      </c>
      <c r="T1571">
        <v>1.17217041160837</v>
      </c>
      <c r="U1571">
        <v>0</v>
      </c>
      <c r="V1571">
        <v>1.5870324768899626E-2</v>
      </c>
      <c r="W1571">
        <v>6.1694400221864773E-2</v>
      </c>
      <c r="X1571">
        <v>-1.5084361844454785E-2</v>
      </c>
      <c r="Y1571">
        <v>2.5790617964250966E-2</v>
      </c>
    </row>
    <row r="1572" spans="1:25" x14ac:dyDescent="0.25">
      <c r="A1572" s="879"/>
      <c r="B1572" s="1133">
        <v>1322</v>
      </c>
      <c r="C1572" s="883">
        <v>0.99734641412449365</v>
      </c>
      <c r="D1572" s="883">
        <v>1.0233582811931861</v>
      </c>
      <c r="E1572" s="883">
        <v>1.0376787047800859</v>
      </c>
      <c r="F1572" s="883">
        <v>0.99144590920608444</v>
      </c>
      <c r="G1572" s="883">
        <v>0.97533029975486496</v>
      </c>
      <c r="H1572" s="883">
        <v>1.0059865304916342</v>
      </c>
      <c r="I1572" s="883">
        <v>1.0220483679674708</v>
      </c>
      <c r="K1572">
        <v>1.6084117701067329</v>
      </c>
      <c r="L1572">
        <v>0</v>
      </c>
      <c r="M1572">
        <v>6.1919260988027806E-3</v>
      </c>
      <c r="N1572">
        <v>0.12205892689655902</v>
      </c>
      <c r="O1572">
        <v>3.0611493699181008E-2</v>
      </c>
      <c r="P1572">
        <v>1.8764473742640213E-2</v>
      </c>
      <c r="Q1572">
        <v>0</v>
      </c>
      <c r="R1572">
        <v>6.1919260988027806E-3</v>
      </c>
      <c r="S1572">
        <v>0.17303796520585091</v>
      </c>
      <c r="T1572">
        <v>1.1751185617239372</v>
      </c>
      <c r="U1572">
        <v>0</v>
      </c>
      <c r="V1572">
        <v>1.5868416476404367E-2</v>
      </c>
      <c r="W1572">
        <v>6.3061401925549043E-2</v>
      </c>
      <c r="X1572">
        <v>-1.5606719116500242E-2</v>
      </c>
      <c r="Y1572">
        <v>2.5497249553109631E-2</v>
      </c>
    </row>
    <row r="1573" spans="1:25" x14ac:dyDescent="0.25">
      <c r="A1573" s="879"/>
      <c r="B1573" s="1133">
        <v>1323</v>
      </c>
      <c r="C1573" s="883">
        <v>1.0171693757261393</v>
      </c>
      <c r="D1573" s="883">
        <v>0.99711704235107734</v>
      </c>
      <c r="E1573" s="883">
        <v>1.0209344730273582</v>
      </c>
      <c r="F1573" s="883">
        <v>1.0310642076039864</v>
      </c>
      <c r="G1573" s="883">
        <v>0.98178911006696934</v>
      </c>
      <c r="H1573" s="883">
        <v>1.0069841191735041</v>
      </c>
      <c r="I1573" s="883">
        <v>0.99364629300214746</v>
      </c>
      <c r="K1573">
        <v>1.645775719690735</v>
      </c>
      <c r="L1573">
        <v>0</v>
      </c>
      <c r="M1573">
        <v>6.2389384425022504E-3</v>
      </c>
      <c r="N1573">
        <v>0.11997882184059959</v>
      </c>
      <c r="O1573">
        <v>3.0343853306041613E-2</v>
      </c>
      <c r="P1573">
        <v>1.9068524607029114E-2</v>
      </c>
      <c r="Q1573">
        <v>0</v>
      </c>
      <c r="R1573">
        <v>6.2389384425022504E-3</v>
      </c>
      <c r="S1573">
        <v>0.16524679402680884</v>
      </c>
      <c r="T1573">
        <v>1.222395069491031</v>
      </c>
      <c r="U1573">
        <v>0</v>
      </c>
      <c r="V1573">
        <v>1.5761890561237838E-2</v>
      </c>
      <c r="W1573">
        <v>6.2498154302637242E-2</v>
      </c>
      <c r="X1573">
        <v>-1.5208226461230812E-2</v>
      </c>
      <c r="Y1573">
        <v>2.5690838016578805E-2</v>
      </c>
    </row>
    <row r="1574" spans="1:25" x14ac:dyDescent="0.25">
      <c r="A1574" s="879"/>
      <c r="B1574" s="1133">
        <v>1324</v>
      </c>
      <c r="C1574" s="883">
        <v>1.0016479898161912</v>
      </c>
      <c r="D1574" s="883">
        <v>0.99684809424667442</v>
      </c>
      <c r="E1574" s="883">
        <v>1.0088262915364676</v>
      </c>
      <c r="F1574" s="883">
        <v>0.97462334022747932</v>
      </c>
      <c r="G1574" s="883">
        <v>1.0226965792953127</v>
      </c>
      <c r="H1574" s="883">
        <v>0.984636995575777</v>
      </c>
      <c r="I1574" s="883">
        <v>1.001440794219232</v>
      </c>
      <c r="K1574">
        <v>1.579006789892512</v>
      </c>
      <c r="L1574">
        <v>0</v>
      </c>
      <c r="M1574">
        <v>6.2617498696366349E-3</v>
      </c>
      <c r="N1574">
        <v>0.11827903975797395</v>
      </c>
      <c r="O1574">
        <v>3.082820764811792E-2</v>
      </c>
      <c r="P1574">
        <v>1.8034542241205157E-2</v>
      </c>
      <c r="Q1574">
        <v>0</v>
      </c>
      <c r="R1574">
        <v>6.2617498696366349E-3</v>
      </c>
      <c r="S1574">
        <v>0.16781625165203476</v>
      </c>
      <c r="T1574">
        <v>1.1556992239738562</v>
      </c>
      <c r="U1574">
        <v>0</v>
      </c>
      <c r="V1574">
        <v>1.5844942186922902E-2</v>
      </c>
      <c r="W1574">
        <v>6.1982076634325672E-2</v>
      </c>
      <c r="X1574">
        <v>-1.5262265615159615E-2</v>
      </c>
      <c r="Y1574">
        <v>2.5784771413235534E-2</v>
      </c>
    </row>
    <row r="1575" spans="1:25" x14ac:dyDescent="0.25">
      <c r="A1575" s="879"/>
      <c r="B1575" s="1133">
        <v>1325</v>
      </c>
      <c r="C1575" s="883">
        <v>1.0081443007793558</v>
      </c>
      <c r="D1575" s="883">
        <v>1.0357063750317379</v>
      </c>
      <c r="E1575" s="883">
        <v>0.99886641803377907</v>
      </c>
      <c r="F1575" s="883">
        <v>0.96702970260651988</v>
      </c>
      <c r="G1575" s="883">
        <v>0.97289501616802321</v>
      </c>
      <c r="H1575" s="883">
        <v>0.99300131391551294</v>
      </c>
      <c r="I1575" s="883">
        <v>1.0043055477502258</v>
      </c>
      <c r="K1575">
        <v>1.5654072587845225</v>
      </c>
      <c r="L1575">
        <v>0</v>
      </c>
      <c r="M1575">
        <v>6.222158429900434E-3</v>
      </c>
      <c r="N1575">
        <v>0.11581019415012458</v>
      </c>
      <c r="O1575">
        <v>3.0173004792144697E-2</v>
      </c>
      <c r="P1575">
        <v>1.7774306092144369E-2</v>
      </c>
      <c r="Q1575">
        <v>0</v>
      </c>
      <c r="R1575">
        <v>6.222158429900434E-3</v>
      </c>
      <c r="S1575">
        <v>0.16731603324983949</v>
      </c>
      <c r="T1575">
        <v>1.1468736005498983</v>
      </c>
      <c r="U1575">
        <v>0</v>
      </c>
      <c r="V1575">
        <v>1.580987063182181E-2</v>
      </c>
      <c r="W1575">
        <v>6.0988780448799074E-2</v>
      </c>
      <c r="X1575">
        <v>-1.4960272041665451E-2</v>
      </c>
      <c r="Y1575">
        <v>2.5621740911415423E-2</v>
      </c>
    </row>
    <row r="1576" spans="1:25" x14ac:dyDescent="0.25">
      <c r="A1576" s="879"/>
      <c r="B1576" s="1133">
        <v>1326</v>
      </c>
      <c r="C1576" s="883">
        <v>0.96992728470865641</v>
      </c>
      <c r="D1576" s="883">
        <v>1.0218218972697031</v>
      </c>
      <c r="E1576" s="883">
        <v>1.0258733302654626</v>
      </c>
      <c r="F1576" s="883">
        <v>0.97553101940861953</v>
      </c>
      <c r="G1576" s="883">
        <v>1.0089482664168001</v>
      </c>
      <c r="H1576" s="883">
        <v>1.0062942488871804</v>
      </c>
      <c r="I1576" s="883">
        <v>1.0314100337470815</v>
      </c>
      <c r="K1576">
        <v>1.6018344315559387</v>
      </c>
      <c r="L1576">
        <v>0</v>
      </c>
      <c r="M1576">
        <v>6.4394717600816005E-3</v>
      </c>
      <c r="N1576">
        <v>0.12474303119526646</v>
      </c>
      <c r="O1576">
        <v>3.1507159564647974E-2</v>
      </c>
      <c r="P1576">
        <v>1.8439085943844028E-2</v>
      </c>
      <c r="Q1576">
        <v>0</v>
      </c>
      <c r="R1576">
        <v>6.4394717600816005E-3</v>
      </c>
      <c r="S1576">
        <v>0.17958045238144718</v>
      </c>
      <c r="T1576">
        <v>1.1564677415299318</v>
      </c>
      <c r="U1576">
        <v>0</v>
      </c>
      <c r="V1576">
        <v>1.6022939961772738E-2</v>
      </c>
      <c r="W1576">
        <v>6.4822203049096958E-2</v>
      </c>
      <c r="X1576">
        <v>-1.6264780594838268E-2</v>
      </c>
      <c r="Y1576">
        <v>2.6516598524770639E-2</v>
      </c>
    </row>
    <row r="1577" spans="1:25" x14ac:dyDescent="0.25">
      <c r="A1577" s="879"/>
      <c r="B1577" s="1133">
        <v>1327</v>
      </c>
      <c r="C1577" s="883">
        <v>1.0082847850744285</v>
      </c>
      <c r="D1577" s="883">
        <v>0.98226156680868393</v>
      </c>
      <c r="E1577" s="883">
        <v>1.0390847017367839</v>
      </c>
      <c r="F1577" s="883">
        <v>1.0203188541446444</v>
      </c>
      <c r="G1577" s="883">
        <v>0.9599913355782157</v>
      </c>
      <c r="H1577" s="883">
        <v>1.0088503801100099</v>
      </c>
      <c r="I1577" s="883">
        <v>0.98958564781847458</v>
      </c>
      <c r="K1577">
        <v>1.6385091576016688</v>
      </c>
      <c r="L1577">
        <v>0</v>
      </c>
      <c r="M1577">
        <v>6.2477860389045688E-3</v>
      </c>
      <c r="N1577">
        <v>0.12341614710207423</v>
      </c>
      <c r="O1577">
        <v>3.0778575406134243E-2</v>
      </c>
      <c r="P1577">
        <v>1.9160891398609693E-2</v>
      </c>
      <c r="Q1577">
        <v>0</v>
      </c>
      <c r="R1577">
        <v>6.2477860389045688E-3</v>
      </c>
      <c r="S1577">
        <v>0.16630328687714568</v>
      </c>
      <c r="T1577">
        <v>1.2093140141342718</v>
      </c>
      <c r="U1577">
        <v>0</v>
      </c>
      <c r="V1577">
        <v>1.5809117193155236E-2</v>
      </c>
      <c r="W1577">
        <v>6.3718790122589089E-2</v>
      </c>
      <c r="X1577">
        <v>-1.5718935476062262E-2</v>
      </c>
      <c r="Y1577">
        <v>2.5727270843750091E-2</v>
      </c>
    </row>
    <row r="1578" spans="1:25" x14ac:dyDescent="0.25">
      <c r="A1578" s="879"/>
      <c r="B1578" s="1133">
        <v>1328</v>
      </c>
      <c r="C1578" s="883">
        <v>1.0405631080652471</v>
      </c>
      <c r="D1578" s="883">
        <v>1.0102921374792806</v>
      </c>
      <c r="E1578" s="883">
        <v>1.0164118262504533</v>
      </c>
      <c r="F1578" s="883">
        <v>0.96494397351408712</v>
      </c>
      <c r="G1578" s="883">
        <v>1.0080031754431416</v>
      </c>
      <c r="H1578" s="883">
        <v>1.0307331950512058</v>
      </c>
      <c r="I1578" s="883">
        <v>0.99938376253266636</v>
      </c>
      <c r="K1578">
        <v>1.5621191963844769</v>
      </c>
      <c r="L1578">
        <v>0</v>
      </c>
      <c r="M1578">
        <v>6.2306911401763887E-3</v>
      </c>
      <c r="N1578">
        <v>0.11902118440869559</v>
      </c>
      <c r="O1578">
        <v>2.9510252202701433E-2</v>
      </c>
      <c r="P1578">
        <v>1.7920824645981166E-2</v>
      </c>
      <c r="Q1578">
        <v>0</v>
      </c>
      <c r="R1578">
        <v>6.2306911401763887E-3</v>
      </c>
      <c r="S1578">
        <v>0.16364675499573955</v>
      </c>
      <c r="T1578">
        <v>1.1440858911773397</v>
      </c>
      <c r="U1578">
        <v>0</v>
      </c>
      <c r="V1578">
        <v>1.5641396995399869E-2</v>
      </c>
      <c r="W1578">
        <v>6.213766414461093E-2</v>
      </c>
      <c r="X1578">
        <v>-1.5501649279556278E-2</v>
      </c>
      <c r="Y1578">
        <v>2.5656877093566004E-2</v>
      </c>
    </row>
    <row r="1579" spans="1:25" x14ac:dyDescent="0.25">
      <c r="A1579" s="879"/>
      <c r="B1579" s="1133">
        <v>1329</v>
      </c>
      <c r="C1579" s="883">
        <v>0.98218745279833675</v>
      </c>
      <c r="D1579" s="883">
        <v>0.9836615395128554</v>
      </c>
      <c r="E1579" s="883">
        <v>0.98212168132127675</v>
      </c>
      <c r="F1579" s="883">
        <v>0.99406677739580596</v>
      </c>
      <c r="G1579" s="883">
        <v>0.96591586347030167</v>
      </c>
      <c r="H1579" s="883">
        <v>1.0025408507252533</v>
      </c>
      <c r="I1579" s="883">
        <v>0.98939256560053168</v>
      </c>
      <c r="K1579">
        <v>1.6127399678904955</v>
      </c>
      <c r="L1579">
        <v>0</v>
      </c>
      <c r="M1579">
        <v>6.694986626616023E-3</v>
      </c>
      <c r="N1579">
        <v>0.12155541066696404</v>
      </c>
      <c r="O1579">
        <v>3.1629865626891067E-2</v>
      </c>
      <c r="P1579">
        <v>1.801588567478395E-2</v>
      </c>
      <c r="Q1579">
        <v>0</v>
      </c>
      <c r="R1579">
        <v>6.694986626616023E-3</v>
      </c>
      <c r="S1579">
        <v>0.17024021006787124</v>
      </c>
      <c r="T1579">
        <v>1.1792489613409822</v>
      </c>
      <c r="U1579">
        <v>0</v>
      </c>
      <c r="V1579">
        <v>1.5952780070526345E-2</v>
      </c>
      <c r="W1579">
        <v>6.4551020449728699E-2</v>
      </c>
      <c r="X1579">
        <v>-1.6022929272461205E-2</v>
      </c>
      <c r="Y1579">
        <v>2.7568763265208567E-2</v>
      </c>
    </row>
    <row r="1580" spans="1:25" x14ac:dyDescent="0.25">
      <c r="A1580" s="879"/>
      <c r="B1580" s="1133">
        <v>1330</v>
      </c>
      <c r="C1580" s="883">
        <v>0.99699353888833653</v>
      </c>
      <c r="D1580" s="883">
        <v>0.97783547061800136</v>
      </c>
      <c r="E1580" s="883">
        <v>1.0096358997210684</v>
      </c>
      <c r="F1580" s="883">
        <v>1.0241243981394683</v>
      </c>
      <c r="G1580" s="883">
        <v>0.99112224903095647</v>
      </c>
      <c r="H1580" s="883">
        <v>1.0019699363335692</v>
      </c>
      <c r="I1580" s="883">
        <v>0.99644935653653655</v>
      </c>
      <c r="K1580">
        <v>1.6461005304436294</v>
      </c>
      <c r="L1580">
        <v>0</v>
      </c>
      <c r="M1580">
        <v>6.452419999072919E-3</v>
      </c>
      <c r="N1580">
        <v>0.12202680731347454</v>
      </c>
      <c r="O1580">
        <v>3.1210902719751465E-2</v>
      </c>
      <c r="P1580">
        <v>1.8851836783655578E-2</v>
      </c>
      <c r="Q1580">
        <v>0</v>
      </c>
      <c r="R1580">
        <v>6.452419999072919E-3</v>
      </c>
      <c r="S1580">
        <v>0.16896728424655111</v>
      </c>
      <c r="T1580">
        <v>1.2143817384755582</v>
      </c>
      <c r="U1580">
        <v>0</v>
      </c>
      <c r="V1580">
        <v>1.5870351155096048E-2</v>
      </c>
      <c r="W1580">
        <v>6.392041970051128E-2</v>
      </c>
      <c r="X1580">
        <v>-1.5698727019204509E-2</v>
      </c>
      <c r="Y1580">
        <v>2.6569917068236266E-2</v>
      </c>
    </row>
    <row r="1581" spans="1:25" x14ac:dyDescent="0.25">
      <c r="A1581" s="879"/>
      <c r="B1581" s="1133">
        <v>1331</v>
      </c>
      <c r="C1581" s="883">
        <v>0.98385987925987595</v>
      </c>
      <c r="D1581" s="883">
        <v>0.98500151153945381</v>
      </c>
      <c r="E1581" s="883">
        <v>0.97706006591206696</v>
      </c>
      <c r="F1581" s="883">
        <v>1.0315467979170716</v>
      </c>
      <c r="G1581" s="883">
        <v>1.0151883894168043</v>
      </c>
      <c r="H1581" s="883">
        <v>1.0176988133264846</v>
      </c>
      <c r="I1581" s="883">
        <v>1.0206005276831855</v>
      </c>
      <c r="K1581">
        <v>1.6661578747085062</v>
      </c>
      <c r="L1581">
        <v>0</v>
      </c>
      <c r="M1581">
        <v>6.8105172665199349E-3</v>
      </c>
      <c r="N1581">
        <v>0.12272784518330512</v>
      </c>
      <c r="O1581">
        <v>3.1563006083407591E-2</v>
      </c>
      <c r="P1581">
        <v>1.8609583580020302E-2</v>
      </c>
      <c r="Q1581">
        <v>0</v>
      </c>
      <c r="R1581">
        <v>6.8105172665199349E-3</v>
      </c>
      <c r="S1581">
        <v>0.17620868284074831</v>
      </c>
      <c r="T1581">
        <v>1.2238085441930808</v>
      </c>
      <c r="U1581">
        <v>0</v>
      </c>
      <c r="V1581">
        <v>1.5943344993745091E-2</v>
      </c>
      <c r="W1581">
        <v>6.5339045670845822E-2</v>
      </c>
      <c r="X1581">
        <v>-1.6086675713294366E-2</v>
      </c>
      <c r="Y1581">
        <v>2.8044497876645556E-2</v>
      </c>
    </row>
    <row r="1582" spans="1:25" x14ac:dyDescent="0.25">
      <c r="A1582" s="879"/>
      <c r="B1582" s="1133">
        <v>1332</v>
      </c>
      <c r="C1582" s="883">
        <v>1.026926726736225</v>
      </c>
      <c r="D1582" s="883">
        <v>0.97415872263672298</v>
      </c>
      <c r="E1582" s="883">
        <v>0.99752231118208612</v>
      </c>
      <c r="F1582" s="883">
        <v>1.020815818545588</v>
      </c>
      <c r="G1582" s="883">
        <v>0.99795545239595118</v>
      </c>
      <c r="H1582" s="883">
        <v>0.9982335305209673</v>
      </c>
      <c r="I1582" s="883">
        <v>1.0052363778243059</v>
      </c>
      <c r="K1582">
        <v>1.6308730117710508</v>
      </c>
      <c r="L1582">
        <v>0</v>
      </c>
      <c r="M1582">
        <v>6.3180236301612815E-3</v>
      </c>
      <c r="N1582">
        <v>0.11736052877020953</v>
      </c>
      <c r="O1582">
        <v>3.0357122560454364E-2</v>
      </c>
      <c r="P1582">
        <v>1.8579644060818211E-2</v>
      </c>
      <c r="Q1582">
        <v>0</v>
      </c>
      <c r="R1582">
        <v>6.3180236301612815E-3</v>
      </c>
      <c r="S1582">
        <v>0.16530078925360142</v>
      </c>
      <c r="T1582">
        <v>1.2106881313409272</v>
      </c>
      <c r="U1582">
        <v>0</v>
      </c>
      <c r="V1582">
        <v>1.5710966241489779E-2</v>
      </c>
      <c r="W1582">
        <v>6.1846529608182134E-2</v>
      </c>
      <c r="X1582">
        <v>-1.4987196807351768E-2</v>
      </c>
      <c r="Y1582">
        <v>2.6016496742720042E-2</v>
      </c>
    </row>
    <row r="1583" spans="1:25" x14ac:dyDescent="0.25">
      <c r="A1583" s="879"/>
      <c r="B1583" s="1133">
        <v>1333</v>
      </c>
      <c r="C1583" s="883">
        <v>1.0051173211566897</v>
      </c>
      <c r="D1583" s="883">
        <v>0.99707271128803066</v>
      </c>
      <c r="E1583" s="883">
        <v>0.97465780736243701</v>
      </c>
      <c r="F1583" s="883">
        <v>0.98336357177955702</v>
      </c>
      <c r="G1583" s="883">
        <v>0.9795706198698374</v>
      </c>
      <c r="H1583" s="883">
        <v>1.0189063148987005</v>
      </c>
      <c r="I1583" s="883">
        <v>1.0140951126456899</v>
      </c>
      <c r="K1583">
        <v>1.5970588018283831</v>
      </c>
      <c r="L1583">
        <v>0</v>
      </c>
      <c r="M1583">
        <v>6.6521158524871582E-3</v>
      </c>
      <c r="N1583">
        <v>0.11944677673366585</v>
      </c>
      <c r="O1583">
        <v>3.0747177190160679E-2</v>
      </c>
      <c r="P1583">
        <v>1.7760081422491841E-2</v>
      </c>
      <c r="Q1583">
        <v>0</v>
      </c>
      <c r="R1583">
        <v>6.6521158524871582E-3</v>
      </c>
      <c r="S1583">
        <v>0.17131808944213192</v>
      </c>
      <c r="T1583">
        <v>1.1666889849459909</v>
      </c>
      <c r="U1583">
        <v>0</v>
      </c>
      <c r="V1583">
        <v>1.5826155943762649E-2</v>
      </c>
      <c r="W1583">
        <v>6.366890522363769E-2</v>
      </c>
      <c r="X1583">
        <v>-1.578959812151683E-2</v>
      </c>
      <c r="Y1583">
        <v>2.7392229048059248E-2</v>
      </c>
    </row>
    <row r="1584" spans="1:25" x14ac:dyDescent="0.25">
      <c r="A1584" s="879"/>
      <c r="B1584" s="1133">
        <v>1334</v>
      </c>
      <c r="C1584" s="883">
        <v>1.0404354815473746</v>
      </c>
      <c r="D1584" s="883">
        <v>0.99601374540083765</v>
      </c>
      <c r="E1584" s="883">
        <v>1.0092601016911846</v>
      </c>
      <c r="F1584" s="883">
        <v>0.98220751640189985</v>
      </c>
      <c r="G1584" s="883">
        <v>1.0339388527285931</v>
      </c>
      <c r="H1584" s="883">
        <v>0.99528225920051283</v>
      </c>
      <c r="I1584" s="883">
        <v>1.028854941155855</v>
      </c>
      <c r="K1584">
        <v>1.5806862824525303</v>
      </c>
      <c r="L1584">
        <v>0</v>
      </c>
      <c r="M1584">
        <v>6.0934505573011655E-3</v>
      </c>
      <c r="N1584">
        <v>0.11517395819361742</v>
      </c>
      <c r="O1584">
        <v>2.9688506112144054E-2</v>
      </c>
      <c r="P1584">
        <v>1.8142312473055214E-2</v>
      </c>
      <c r="Q1584">
        <v>0</v>
      </c>
      <c r="R1584">
        <v>6.0934505573011655E-3</v>
      </c>
      <c r="S1584">
        <v>0.16660275030331978</v>
      </c>
      <c r="T1584">
        <v>1.164684566934973</v>
      </c>
      <c r="U1584">
        <v>0</v>
      </c>
      <c r="V1584">
        <v>1.5642039658526289E-2</v>
      </c>
      <c r="W1584">
        <v>6.0341958755779891E-2</v>
      </c>
      <c r="X1584">
        <v>-1.4681554780084519E-2</v>
      </c>
      <c r="Y1584">
        <v>2.509174480119895E-2</v>
      </c>
    </row>
    <row r="1585" spans="1:25" x14ac:dyDescent="0.25">
      <c r="A1585" s="879"/>
      <c r="B1585" s="1133">
        <v>1335</v>
      </c>
      <c r="C1585" s="883">
        <v>0.96538144978810425</v>
      </c>
      <c r="D1585" s="883">
        <v>1.0261159873360386</v>
      </c>
      <c r="E1585" s="883">
        <v>0.99835587758894462</v>
      </c>
      <c r="F1585" s="883">
        <v>0.97764275981807169</v>
      </c>
      <c r="G1585" s="883">
        <v>1.0206733450062202</v>
      </c>
      <c r="H1585" s="883">
        <v>1.0281621889610062</v>
      </c>
      <c r="I1585" s="883">
        <v>0.99673745472746844</v>
      </c>
      <c r="K1585">
        <v>1.6037748770507334</v>
      </c>
      <c r="L1585">
        <v>0</v>
      </c>
      <c r="M1585">
        <v>6.7587947359368118E-3</v>
      </c>
      <c r="N1585">
        <v>0.12570323853463636</v>
      </c>
      <c r="O1585">
        <v>3.1627472155814719E-2</v>
      </c>
      <c r="P1585">
        <v>1.804945368920341E-2</v>
      </c>
      <c r="Q1585">
        <v>0</v>
      </c>
      <c r="R1585">
        <v>6.7587947359368118E-3</v>
      </c>
      <c r="S1585">
        <v>0.17558140434388497</v>
      </c>
      <c r="T1585">
        <v>1.1594697065221558</v>
      </c>
      <c r="U1585">
        <v>0</v>
      </c>
      <c r="V1585">
        <v>1.6049406770305495E-2</v>
      </c>
      <c r="W1585">
        <v>6.6215521642667266E-2</v>
      </c>
      <c r="X1585">
        <v>-1.6752840309906831E-2</v>
      </c>
      <c r="Y1585">
        <v>2.78315137019715E-2</v>
      </c>
    </row>
    <row r="1586" spans="1:25" x14ac:dyDescent="0.25">
      <c r="A1586" s="879"/>
      <c r="B1586" s="1133">
        <v>1336</v>
      </c>
      <c r="C1586" s="883">
        <v>0.99742889464189521</v>
      </c>
      <c r="D1586" s="883">
        <v>1.0191773479349129</v>
      </c>
      <c r="E1586" s="883">
        <v>1.0006766490744337</v>
      </c>
      <c r="F1586" s="883">
        <v>1.0091844532301231</v>
      </c>
      <c r="G1586" s="883">
        <v>0.9844849614111757</v>
      </c>
      <c r="H1586" s="883">
        <v>1.0245965724968644</v>
      </c>
      <c r="I1586" s="883">
        <v>0.99210093894314821</v>
      </c>
      <c r="K1586">
        <v>1.6277667010355337</v>
      </c>
      <c r="L1586">
        <v>0</v>
      </c>
      <c r="M1586">
        <v>6.5254396942147864E-3</v>
      </c>
      <c r="N1586">
        <v>0.12178119352763861</v>
      </c>
      <c r="O1586">
        <v>3.0692509546562205E-2</v>
      </c>
      <c r="P1586">
        <v>1.8490735853188153E-2</v>
      </c>
      <c r="Q1586">
        <v>0</v>
      </c>
      <c r="R1586">
        <v>6.5254396942147864E-3</v>
      </c>
      <c r="S1586">
        <v>0.1690186963106256</v>
      </c>
      <c r="T1586">
        <v>1.1968341504423041</v>
      </c>
      <c r="U1586">
        <v>0</v>
      </c>
      <c r="V1586">
        <v>1.5867964464948391E-2</v>
      </c>
      <c r="W1586">
        <v>6.4075633529398282E-2</v>
      </c>
      <c r="X1586">
        <v>-1.586478181494147E-2</v>
      </c>
      <c r="Y1586">
        <v>2.6870599175809241E-2</v>
      </c>
    </row>
    <row r="1587" spans="1:25" x14ac:dyDescent="0.25">
      <c r="A1587" s="879"/>
      <c r="B1587" s="1133">
        <v>1337</v>
      </c>
      <c r="C1587" s="883">
        <v>1.0138012546169699</v>
      </c>
      <c r="D1587" s="883">
        <v>1.0084802675633435</v>
      </c>
      <c r="E1587" s="883">
        <v>1.032774149610201</v>
      </c>
      <c r="F1587" s="883">
        <v>1.0097401343518606</v>
      </c>
      <c r="G1587" s="883">
        <v>1.0433653445530038</v>
      </c>
      <c r="H1587" s="883">
        <v>0.98974927624665776</v>
      </c>
      <c r="I1587" s="883">
        <v>0.99821411926873183</v>
      </c>
      <c r="K1587">
        <v>1.617329303001567</v>
      </c>
      <c r="L1587">
        <v>0</v>
      </c>
      <c r="M1587">
        <v>6.0583473871809934E-3</v>
      </c>
      <c r="N1587">
        <v>0.11856338253453842</v>
      </c>
      <c r="O1587">
        <v>3.0296169198705605E-2</v>
      </c>
      <c r="P1587">
        <v>1.8890301951390531E-2</v>
      </c>
      <c r="Q1587">
        <v>0</v>
      </c>
      <c r="R1587">
        <v>6.0583473871809934E-3</v>
      </c>
      <c r="S1587">
        <v>0.16547534893408009</v>
      </c>
      <c r="T1587">
        <v>1.1968931955246191</v>
      </c>
      <c r="U1587">
        <v>0</v>
      </c>
      <c r="V1587">
        <v>1.5779696613332769E-2</v>
      </c>
      <c r="W1587">
        <v>6.1402688554355059E-2</v>
      </c>
      <c r="X1587">
        <v>-1.4918676504231815E-2</v>
      </c>
      <c r="Y1587">
        <v>2.4947196194775444E-2</v>
      </c>
    </row>
    <row r="1588" spans="1:25" x14ac:dyDescent="0.25">
      <c r="A1588" s="879"/>
      <c r="B1588" s="1133">
        <v>1338</v>
      </c>
      <c r="C1588" s="883">
        <v>1.001514467584633</v>
      </c>
      <c r="D1588" s="883">
        <v>1.0044808377636165</v>
      </c>
      <c r="E1588" s="883">
        <v>0.95484832658993213</v>
      </c>
      <c r="F1588" s="883">
        <v>1.0075100672198622</v>
      </c>
      <c r="G1588" s="883">
        <v>0.98312597835033499</v>
      </c>
      <c r="H1588" s="883">
        <v>1.0266696536434166</v>
      </c>
      <c r="I1588" s="883">
        <v>0.97498832190140405</v>
      </c>
      <c r="K1588">
        <v>1.621047008207406</v>
      </c>
      <c r="L1588">
        <v>0</v>
      </c>
      <c r="M1588">
        <v>6.8213159676885756E-3</v>
      </c>
      <c r="N1588">
        <v>0.11893345259338087</v>
      </c>
      <c r="O1588">
        <v>3.0781310745037427E-2</v>
      </c>
      <c r="P1588">
        <v>1.7788650931214747E-2</v>
      </c>
      <c r="Q1588">
        <v>0</v>
      </c>
      <c r="R1588">
        <v>6.8213159676885756E-3</v>
      </c>
      <c r="S1588">
        <v>0.1656438531565034</v>
      </c>
      <c r="T1588">
        <v>1.1957110245316294</v>
      </c>
      <c r="U1588">
        <v>0</v>
      </c>
      <c r="V1588">
        <v>1.5845667803627138E-2</v>
      </c>
      <c r="W1588">
        <v>6.4031195037377614E-2</v>
      </c>
      <c r="X1588">
        <v>-1.5777111597326133E-2</v>
      </c>
      <c r="Y1588">
        <v>2.8088965005960864E-2</v>
      </c>
    </row>
    <row r="1589" spans="1:25" x14ac:dyDescent="0.25">
      <c r="A1589" s="879"/>
      <c r="B1589" s="1133">
        <v>1339</v>
      </c>
      <c r="C1589" s="883">
        <v>0.99078096009436711</v>
      </c>
      <c r="D1589" s="883">
        <v>0.99152134004353842</v>
      </c>
      <c r="E1589" s="883">
        <v>1.0051922713858694</v>
      </c>
      <c r="F1589" s="883">
        <v>0.97985283463004957</v>
      </c>
      <c r="G1589" s="883">
        <v>1.0012471163326</v>
      </c>
      <c r="H1589" s="883">
        <v>0.99741339801084816</v>
      </c>
      <c r="I1589" s="883">
        <v>1.0154232611074112</v>
      </c>
      <c r="K1589">
        <v>1.5955933218398801</v>
      </c>
      <c r="L1589">
        <v>0</v>
      </c>
      <c r="M1589">
        <v>6.4483740440719776E-3</v>
      </c>
      <c r="N1589">
        <v>0.12115054813630682</v>
      </c>
      <c r="O1589">
        <v>3.1236410259039636E-2</v>
      </c>
      <c r="P1589">
        <v>1.8137730909880759E-2</v>
      </c>
      <c r="Q1589">
        <v>0</v>
      </c>
      <c r="R1589">
        <v>6.4483740440719776E-3</v>
      </c>
      <c r="S1589">
        <v>0.1728380069399473</v>
      </c>
      <c r="T1589">
        <v>1.1619663781908935</v>
      </c>
      <c r="U1589">
        <v>0</v>
      </c>
      <c r="V1589">
        <v>1.5904638034108819E-2</v>
      </c>
      <c r="W1589">
        <v>6.3601195574583727E-2</v>
      </c>
      <c r="X1589">
        <v>-1.5794842750575494E-2</v>
      </c>
      <c r="Y1589">
        <v>2.6553256545695524E-2</v>
      </c>
    </row>
    <row r="1590" spans="1:25" x14ac:dyDescent="0.25">
      <c r="A1590" s="879"/>
      <c r="B1590" s="1133">
        <v>1340</v>
      </c>
      <c r="C1590" s="883">
        <v>1.0141986089974442</v>
      </c>
      <c r="D1590" s="883">
        <v>1.0148731718317461</v>
      </c>
      <c r="E1590" s="883">
        <v>1.0314314810557532</v>
      </c>
      <c r="F1590" s="883">
        <v>0.99971490326087953</v>
      </c>
      <c r="G1590" s="883">
        <v>1.00452058168747</v>
      </c>
      <c r="H1590" s="883">
        <v>1.0138999655684631</v>
      </c>
      <c r="I1590" s="883">
        <v>1.0262279193010764</v>
      </c>
      <c r="K1590">
        <v>1.6149237825492402</v>
      </c>
      <c r="L1590">
        <v>0</v>
      </c>
      <c r="M1590">
        <v>6.1935802183033135E-3</v>
      </c>
      <c r="N1590">
        <v>0.12096963020496762</v>
      </c>
      <c r="O1590">
        <v>3.0209089943203853E-2</v>
      </c>
      <c r="P1590">
        <v>1.879046603310042E-2</v>
      </c>
      <c r="Q1590">
        <v>0</v>
      </c>
      <c r="R1590">
        <v>6.1935802183033135E-3</v>
      </c>
      <c r="S1590">
        <v>0.17139698788613777</v>
      </c>
      <c r="T1590">
        <v>1.1850345667152304</v>
      </c>
      <c r="U1590">
        <v>0</v>
      </c>
      <c r="V1590">
        <v>1.5777589789555103E-2</v>
      </c>
      <c r="W1590">
        <v>6.2690102736347703E-2</v>
      </c>
      <c r="X1590">
        <v>-1.5448711682093436E-2</v>
      </c>
      <c r="Y1590">
        <v>2.550406092279052E-2</v>
      </c>
    </row>
    <row r="1591" spans="1:25" x14ac:dyDescent="0.25">
      <c r="A1591" s="879"/>
      <c r="B1591" s="1133">
        <v>1341</v>
      </c>
      <c r="C1591" s="883">
        <v>0.98986667292717057</v>
      </c>
      <c r="D1591" s="883">
        <v>0.99894808817087266</v>
      </c>
      <c r="E1591" s="883">
        <v>1.0492571149373748</v>
      </c>
      <c r="F1591" s="883">
        <v>0.98044257573057703</v>
      </c>
      <c r="G1591" s="883">
        <v>0.99671785018833337</v>
      </c>
      <c r="H1591" s="883">
        <v>1.0020213923248629</v>
      </c>
      <c r="I1591" s="883">
        <v>1.0076730639825391</v>
      </c>
      <c r="K1591">
        <v>1.5978654840987656</v>
      </c>
      <c r="L1591">
        <v>0</v>
      </c>
      <c r="M1591">
        <v>6.2178526276260374E-3</v>
      </c>
      <c r="N1591">
        <v>0.12468374514670913</v>
      </c>
      <c r="O1591">
        <v>3.1130666257069752E-2</v>
      </c>
      <c r="P1591">
        <v>1.8724957580692904E-2</v>
      </c>
      <c r="Q1591">
        <v>0</v>
      </c>
      <c r="R1591">
        <v>6.2178526276260374E-3</v>
      </c>
      <c r="S1591">
        <v>0.17192040804998462</v>
      </c>
      <c r="T1591">
        <v>1.1618679866506374</v>
      </c>
      <c r="U1591">
        <v>0</v>
      </c>
      <c r="V1591">
        <v>1.5909720264049673E-2</v>
      </c>
      <c r="W1591">
        <v>6.4054633191816077E-2</v>
      </c>
      <c r="X1591">
        <v>-1.6030643426247878E-2</v>
      </c>
      <c r="Y1591">
        <v>2.5604010384053695E-2</v>
      </c>
    </row>
    <row r="1592" spans="1:25" x14ac:dyDescent="0.25">
      <c r="A1592" s="879"/>
      <c r="B1592" s="1133">
        <v>1342</v>
      </c>
      <c r="C1592" s="883">
        <v>0.99391715412975146</v>
      </c>
      <c r="D1592" s="883">
        <v>1.0262810639907944</v>
      </c>
      <c r="E1592" s="883">
        <v>1.0261388499611555</v>
      </c>
      <c r="F1592" s="883">
        <v>1.02340093635425</v>
      </c>
      <c r="G1592" s="883">
        <v>1.0247998451562104</v>
      </c>
      <c r="H1592" s="883">
        <v>0.98519524959364668</v>
      </c>
      <c r="I1592" s="883">
        <v>0.99646318387056054</v>
      </c>
      <c r="K1592">
        <v>1.6380085522306524</v>
      </c>
      <c r="L1592">
        <v>0</v>
      </c>
      <c r="M1592">
        <v>6.1389368219754827E-3</v>
      </c>
      <c r="N1592">
        <v>0.11896787947870104</v>
      </c>
      <c r="O1592">
        <v>3.0692928737309801E-2</v>
      </c>
      <c r="P1592">
        <v>1.9057157581224404E-2</v>
      </c>
      <c r="Q1592">
        <v>0</v>
      </c>
      <c r="R1592">
        <v>6.1389368219754827E-3</v>
      </c>
      <c r="S1592">
        <v>0.16805283233610255</v>
      </c>
      <c r="T1592">
        <v>1.213211317494699</v>
      </c>
      <c r="U1592">
        <v>0</v>
      </c>
      <c r="V1592">
        <v>1.5887275979128122E-2</v>
      </c>
      <c r="W1592">
        <v>6.1813103755989696E-2</v>
      </c>
      <c r="X1592">
        <v>-1.4952992275378054E-2</v>
      </c>
      <c r="Y1592">
        <v>2.5279049142874477E-2</v>
      </c>
    </row>
    <row r="1593" spans="1:25" x14ac:dyDescent="0.25">
      <c r="A1593" s="879"/>
      <c r="B1593" s="1133">
        <v>1343</v>
      </c>
      <c r="C1593" s="883">
        <v>1.0011347461038271</v>
      </c>
      <c r="D1593" s="883">
        <v>0.96669725303248633</v>
      </c>
      <c r="E1593" s="883">
        <v>1.0158051747203312</v>
      </c>
      <c r="F1593" s="883">
        <v>0.97447022723143972</v>
      </c>
      <c r="G1593" s="883">
        <v>1.0145205862967925</v>
      </c>
      <c r="H1593" s="883">
        <v>0.98092759973364096</v>
      </c>
      <c r="I1593" s="883">
        <v>0.98837707244863349</v>
      </c>
      <c r="K1593">
        <v>1.5794518218621474</v>
      </c>
      <c r="L1593">
        <v>0</v>
      </c>
      <c r="M1593">
        <v>6.2890307790750052E-3</v>
      </c>
      <c r="N1593">
        <v>0.12002781783529429</v>
      </c>
      <c r="O1593">
        <v>3.1219007737636875E-2</v>
      </c>
      <c r="P1593">
        <v>1.8097825812623362E-2</v>
      </c>
      <c r="Q1593">
        <v>0</v>
      </c>
      <c r="R1593">
        <v>6.2890307790750052E-3</v>
      </c>
      <c r="S1593">
        <v>0.1658103968332286</v>
      </c>
      <c r="T1593">
        <v>1.1553916395745771</v>
      </c>
      <c r="U1593">
        <v>0</v>
      </c>
      <c r="V1593">
        <v>1.5847732429877873E-2</v>
      </c>
      <c r="W1593">
        <v>6.2681957963699547E-2</v>
      </c>
      <c r="X1593">
        <v>-1.5521665667273374E-2</v>
      </c>
      <c r="Y1593">
        <v>2.5897109342481885E-2</v>
      </c>
    </row>
    <row r="1594" spans="1:25" x14ac:dyDescent="0.25">
      <c r="A1594" s="879"/>
      <c r="B1594" s="1133">
        <v>1344</v>
      </c>
      <c r="C1594" s="883">
        <v>1.0171212692468399</v>
      </c>
      <c r="D1594" s="883">
        <v>1.0105732161896548</v>
      </c>
      <c r="E1594" s="883">
        <v>1.0373637346382627</v>
      </c>
      <c r="F1594" s="883">
        <v>1.0056397413737002</v>
      </c>
      <c r="G1594" s="883">
        <v>1.0159735128076794</v>
      </c>
      <c r="H1594" s="883">
        <v>0.97517534618192903</v>
      </c>
      <c r="I1594" s="883">
        <v>1.0002918658213118</v>
      </c>
      <c r="K1594">
        <v>1.6079658541054433</v>
      </c>
      <c r="L1594">
        <v>0</v>
      </c>
      <c r="M1594">
        <v>5.9202847543180495E-3</v>
      </c>
      <c r="N1594">
        <v>0.11664987807123985</v>
      </c>
      <c r="O1594">
        <v>3.0167967368761168E-2</v>
      </c>
      <c r="P1594">
        <v>1.8871581286991387E-2</v>
      </c>
      <c r="Q1594">
        <v>0</v>
      </c>
      <c r="R1594">
        <v>5.9202847543180495E-3</v>
      </c>
      <c r="S1594">
        <v>0.16443626778943871</v>
      </c>
      <c r="T1594">
        <v>1.1919477400110641</v>
      </c>
      <c r="U1594">
        <v>0</v>
      </c>
      <c r="V1594">
        <v>1.5762144052855368E-2</v>
      </c>
      <c r="W1594">
        <v>6.0276116638747212E-2</v>
      </c>
      <c r="X1594">
        <v>-1.4524519960533262E-2</v>
      </c>
      <c r="Y1594">
        <v>2.4378678846878388E-2</v>
      </c>
    </row>
    <row r="1595" spans="1:25" x14ac:dyDescent="0.25">
      <c r="A1595" s="879"/>
      <c r="B1595" s="1133">
        <v>1345</v>
      </c>
      <c r="C1595" s="883">
        <v>0.97102061459648992</v>
      </c>
      <c r="D1595" s="883">
        <v>1.0032694736847696</v>
      </c>
      <c r="E1595" s="883">
        <v>0.99349178419483619</v>
      </c>
      <c r="F1595" s="883">
        <v>1.0113832639885181</v>
      </c>
      <c r="G1595" s="883">
        <v>0.96455923866241733</v>
      </c>
      <c r="H1595" s="883">
        <v>1.0026423391890529</v>
      </c>
      <c r="I1595" s="883">
        <v>0.99923909879882244</v>
      </c>
      <c r="K1595">
        <v>1.6384304389502591</v>
      </c>
      <c r="L1595">
        <v>0</v>
      </c>
      <c r="M1595">
        <v>6.6470180749400544E-3</v>
      </c>
      <c r="N1595">
        <v>0.12273645349756636</v>
      </c>
      <c r="O1595">
        <v>3.1732479071544015E-2</v>
      </c>
      <c r="P1595">
        <v>1.8491225282714671E-2</v>
      </c>
      <c r="Q1595">
        <v>0</v>
      </c>
      <c r="R1595">
        <v>6.6470180749400544E-3</v>
      </c>
      <c r="S1595">
        <v>0.17372007375090365</v>
      </c>
      <c r="T1595">
        <v>1.1995769576354327</v>
      </c>
      <c r="U1595">
        <v>0</v>
      </c>
      <c r="V1595">
        <v>1.6016611332803903E-2</v>
      </c>
      <c r="W1595">
        <v>6.4809365648368977E-2</v>
      </c>
      <c r="X1595">
        <v>-1.6023964576567074E-2</v>
      </c>
      <c r="Y1595">
        <v>2.7371237307490838E-2</v>
      </c>
    </row>
    <row r="1596" spans="1:25" x14ac:dyDescent="0.25">
      <c r="A1596" s="879"/>
      <c r="B1596" s="1133">
        <v>1346</v>
      </c>
      <c r="C1596" s="883">
        <v>1.0276954375050988</v>
      </c>
      <c r="D1596" s="883">
        <v>1.0227203440952572</v>
      </c>
      <c r="E1596" s="883">
        <v>1.0230869495222461</v>
      </c>
      <c r="F1596" s="883">
        <v>0.99733849879653036</v>
      </c>
      <c r="G1596" s="883">
        <v>0.99475022151903181</v>
      </c>
      <c r="H1596" s="883">
        <v>1.0122736577561642</v>
      </c>
      <c r="I1596" s="883">
        <v>1.0197842331860973</v>
      </c>
      <c r="K1596">
        <v>1.6041647298282897</v>
      </c>
      <c r="L1596">
        <v>0</v>
      </c>
      <c r="M1596">
        <v>6.1261525636148286E-3</v>
      </c>
      <c r="N1596">
        <v>0.11818554109932808</v>
      </c>
      <c r="O1596">
        <v>2.97281252082339E-2</v>
      </c>
      <c r="P1596">
        <v>1.8589986881194145E-2</v>
      </c>
      <c r="Q1596">
        <v>0</v>
      </c>
      <c r="R1596">
        <v>6.1261525636148286E-3</v>
      </c>
      <c r="S1596">
        <v>0.16790458012552961</v>
      </c>
      <c r="T1596">
        <v>1.1823713131757279</v>
      </c>
      <c r="U1596">
        <v>0</v>
      </c>
      <c r="V1596">
        <v>1.5706995376504267E-2</v>
      </c>
      <c r="W1596">
        <v>6.1498828701047233E-2</v>
      </c>
      <c r="X1596">
        <v>-1.5047046581734018E-2</v>
      </c>
      <c r="Y1596">
        <v>2.5226405842458471E-2</v>
      </c>
    </row>
    <row r="1597" spans="1:25" x14ac:dyDescent="0.25">
      <c r="A1597" s="879"/>
      <c r="B1597" s="1133">
        <v>1347</v>
      </c>
      <c r="C1597" s="883">
        <v>1.0059000892447398</v>
      </c>
      <c r="D1597" s="883">
        <v>0.98856976279811393</v>
      </c>
      <c r="E1597" s="883">
        <v>0.98756799108084248</v>
      </c>
      <c r="F1597" s="883">
        <v>0.96300732850130943</v>
      </c>
      <c r="G1597" s="883">
        <v>0.98229344638335025</v>
      </c>
      <c r="H1597" s="883">
        <v>1.0122963212315257</v>
      </c>
      <c r="I1597" s="883">
        <v>0.99134657191256548</v>
      </c>
      <c r="K1597">
        <v>1.5681927749406064</v>
      </c>
      <c r="L1597">
        <v>0</v>
      </c>
      <c r="M1597">
        <v>6.55491498277726E-3</v>
      </c>
      <c r="N1597">
        <v>0.11997747952792455</v>
      </c>
      <c r="O1597">
        <v>3.081842116726256E-2</v>
      </c>
      <c r="P1597">
        <v>1.7558244820707655E-2</v>
      </c>
      <c r="Q1597">
        <v>0</v>
      </c>
      <c r="R1597">
        <v>6.55491498277726E-3</v>
      </c>
      <c r="S1597">
        <v>0.16706987270024162</v>
      </c>
      <c r="T1597">
        <v>1.1423057023611216</v>
      </c>
      <c r="U1597">
        <v>0</v>
      </c>
      <c r="V1597">
        <v>1.5821935213978025E-2</v>
      </c>
      <c r="W1597">
        <v>6.3539905431146765E-2</v>
      </c>
      <c r="X1597">
        <v>-1.5890759449479826E-2</v>
      </c>
      <c r="Y1597">
        <v>2.6991973167703725E-2</v>
      </c>
    </row>
    <row r="1598" spans="1:25" x14ac:dyDescent="0.25">
      <c r="A1598" s="879"/>
      <c r="B1598" s="1133">
        <v>1348</v>
      </c>
      <c r="C1598" s="883">
        <v>1.0079014203451564</v>
      </c>
      <c r="D1598" s="883">
        <v>1.0297069694211654</v>
      </c>
      <c r="E1598" s="883">
        <v>0.99869795559120211</v>
      </c>
      <c r="F1598" s="883">
        <v>0.98611027210057212</v>
      </c>
      <c r="G1598" s="883">
        <v>0.98822939119220232</v>
      </c>
      <c r="H1598" s="883">
        <v>1.0243634337650334</v>
      </c>
      <c r="I1598" s="883">
        <v>0.99225302282261052</v>
      </c>
      <c r="K1598">
        <v>1.594550404229808</v>
      </c>
      <c r="L1598">
        <v>0</v>
      </c>
      <c r="M1598">
        <v>6.4377952093518697E-3</v>
      </c>
      <c r="N1598">
        <v>0.11979383922245515</v>
      </c>
      <c r="O1598">
        <v>3.0250629405627685E-2</v>
      </c>
      <c r="P1598">
        <v>1.8072416396478011E-2</v>
      </c>
      <c r="Q1598">
        <v>0</v>
      </c>
      <c r="R1598">
        <v>6.4377952093518697E-3</v>
      </c>
      <c r="S1598">
        <v>0.16716827757851482</v>
      </c>
      <c r="T1598">
        <v>1.1695057781029157</v>
      </c>
      <c r="U1598">
        <v>0</v>
      </c>
      <c r="V1598">
        <v>1.5811173732032703E-2</v>
      </c>
      <c r="W1598">
        <v>6.3091956626288706E-2</v>
      </c>
      <c r="X1598">
        <v>-1.5653361621787029E-2</v>
      </c>
      <c r="Y1598">
        <v>2.6509694787280508E-2</v>
      </c>
    </row>
    <row r="1599" spans="1:25" x14ac:dyDescent="0.25">
      <c r="A1599" s="879"/>
      <c r="B1599" s="1133">
        <v>1349</v>
      </c>
      <c r="C1599" s="883">
        <v>0.96869605287286265</v>
      </c>
      <c r="D1599" s="883">
        <v>1.0055913060408683</v>
      </c>
      <c r="E1599" s="883">
        <v>1.0080373484570195</v>
      </c>
      <c r="F1599" s="883">
        <v>1.0021076787349588</v>
      </c>
      <c r="G1599" s="883">
        <v>1.0280770415289024</v>
      </c>
      <c r="H1599" s="883">
        <v>0.97620923448224362</v>
      </c>
      <c r="I1599" s="883">
        <v>1.0122063916059683</v>
      </c>
      <c r="K1599">
        <v>1.6243076464499084</v>
      </c>
      <c r="L1599">
        <v>0</v>
      </c>
      <c r="M1599">
        <v>6.3987944372648738E-3</v>
      </c>
      <c r="N1599">
        <v>0.12072659301404449</v>
      </c>
      <c r="O1599">
        <v>3.1766442748014996E-2</v>
      </c>
      <c r="P1599">
        <v>1.8559011708553289E-2</v>
      </c>
      <c r="Q1599">
        <v>0</v>
      </c>
      <c r="R1599">
        <v>6.3987944372648738E-3</v>
      </c>
      <c r="S1599">
        <v>0.17479112026382984</v>
      </c>
      <c r="T1599">
        <v>1.1883045593330976</v>
      </c>
      <c r="U1599">
        <v>0</v>
      </c>
      <c r="V1599">
        <v>1.6030083924348966E-2</v>
      </c>
      <c r="W1599">
        <v>6.328938209418368E-2</v>
      </c>
      <c r="X1599">
        <v>-1.5508643185869005E-2</v>
      </c>
      <c r="Y1599">
        <v>2.6349096549704909E-2</v>
      </c>
    </row>
    <row r="1600" spans="1:25" x14ac:dyDescent="0.25">
      <c r="A1600" s="879"/>
      <c r="B1600" s="1133">
        <v>1350</v>
      </c>
      <c r="C1600" s="883">
        <v>1.0396002002153173</v>
      </c>
      <c r="D1600" s="883">
        <v>1.0028296476366199</v>
      </c>
      <c r="E1600" s="883">
        <v>0.9964762621343074</v>
      </c>
      <c r="F1600" s="883">
        <v>0.97155347198558795</v>
      </c>
      <c r="G1600" s="883">
        <v>1.0120491950620112</v>
      </c>
      <c r="H1600" s="883">
        <v>0.99225763682741974</v>
      </c>
      <c r="I1600" s="883">
        <v>0.99264422300976662</v>
      </c>
      <c r="K1600">
        <v>1.5601737141019287</v>
      </c>
      <c r="L1600">
        <v>0</v>
      </c>
      <c r="M1600">
        <v>6.1294378476686243E-3</v>
      </c>
      <c r="N1600">
        <v>0.11368110348247731</v>
      </c>
      <c r="O1600">
        <v>2.9641974222670075E-2</v>
      </c>
      <c r="P1600">
        <v>1.7722575503147039E-2</v>
      </c>
      <c r="Q1600">
        <v>0</v>
      </c>
      <c r="R1600">
        <v>6.1294378476686243E-3</v>
      </c>
      <c r="S1600">
        <v>0.1606225090716033</v>
      </c>
      <c r="T1600">
        <v>1.152281862199005</v>
      </c>
      <c r="U1600">
        <v>0</v>
      </c>
      <c r="V1600">
        <v>1.5646249612109191E-2</v>
      </c>
      <c r="W1600">
        <v>5.9938718347390604E-2</v>
      </c>
      <c r="X1600">
        <v>-1.460121239390774E-2</v>
      </c>
      <c r="Y1600">
        <v>2.5239934057433248E-2</v>
      </c>
    </row>
    <row r="1601" spans="1:25" x14ac:dyDescent="0.25">
      <c r="A1601" s="879"/>
      <c r="B1601" s="1133">
        <v>1351</v>
      </c>
      <c r="C1601" s="883">
        <v>1.0144397539489372</v>
      </c>
      <c r="D1601" s="883">
        <v>1.0119208735684397</v>
      </c>
      <c r="E1601" s="883">
        <v>1.0044208515460409</v>
      </c>
      <c r="F1601" s="883">
        <v>1.0300949906943364</v>
      </c>
      <c r="G1601" s="883">
        <v>1.0023821770616443</v>
      </c>
      <c r="H1601" s="883">
        <v>0.9615115243309732</v>
      </c>
      <c r="I1601" s="883">
        <v>0.99970752526680817</v>
      </c>
      <c r="K1601">
        <v>1.6334663122834348</v>
      </c>
      <c r="L1601">
        <v>0</v>
      </c>
      <c r="M1601">
        <v>6.0204521744465144E-3</v>
      </c>
      <c r="N1601">
        <v>0.11298170353006365</v>
      </c>
      <c r="O1601">
        <v>3.0261057821580683E-2</v>
      </c>
      <c r="P1601">
        <v>1.8805567547666727E-2</v>
      </c>
      <c r="Q1601">
        <v>0</v>
      </c>
      <c r="R1601">
        <v>6.0204521744465144E-3</v>
      </c>
      <c r="S1601">
        <v>0.1639511149636862</v>
      </c>
      <c r="T1601">
        <v>1.2215611954629926</v>
      </c>
      <c r="U1601">
        <v>0</v>
      </c>
      <c r="V1601">
        <v>1.5776312012914101E-2</v>
      </c>
      <c r="W1601">
        <v>5.9335427047753853E-2</v>
      </c>
      <c r="X1601">
        <v>-1.3997216557053301E-2</v>
      </c>
      <c r="Y1601">
        <v>2.4791150453831266E-2</v>
      </c>
    </row>
    <row r="1602" spans="1:25" x14ac:dyDescent="0.25">
      <c r="A1602" s="879"/>
      <c r="B1602" s="1133">
        <v>1352</v>
      </c>
      <c r="C1602" s="883">
        <v>0.98633138321321545</v>
      </c>
      <c r="D1602" s="883">
        <v>1.0247423970612137</v>
      </c>
      <c r="E1602" s="883">
        <v>0.95952263998094289</v>
      </c>
      <c r="F1602" s="883">
        <v>1.0035229646657804</v>
      </c>
      <c r="G1602" s="883">
        <v>0.99363815642131259</v>
      </c>
      <c r="H1602" s="883">
        <v>1.0023939251896063</v>
      </c>
      <c r="I1602" s="883">
        <v>1.0009501410751824</v>
      </c>
      <c r="K1602">
        <v>1.6190155198720653</v>
      </c>
      <c r="L1602">
        <v>0</v>
      </c>
      <c r="M1602">
        <v>6.6754403950678044E-3</v>
      </c>
      <c r="N1602">
        <v>0.11720140017353702</v>
      </c>
      <c r="O1602">
        <v>3.1003063185596678E-2</v>
      </c>
      <c r="P1602">
        <v>1.7863081721432694E-2</v>
      </c>
      <c r="Q1602">
        <v>0</v>
      </c>
      <c r="R1602">
        <v>6.6754403950678044E-3</v>
      </c>
      <c r="S1602">
        <v>0.17105065409830944</v>
      </c>
      <c r="T1602">
        <v>1.1908910876134302</v>
      </c>
      <c r="U1602">
        <v>0</v>
      </c>
      <c r="V1602">
        <v>1.5929460461678924E-2</v>
      </c>
      <c r="W1602">
        <v>6.2949806282398865E-2</v>
      </c>
      <c r="X1602">
        <v>-1.5361309027112063E-2</v>
      </c>
      <c r="Y1602">
        <v>2.7488275362792525E-2</v>
      </c>
    </row>
    <row r="1603" spans="1:25" x14ac:dyDescent="0.25">
      <c r="A1603" s="879"/>
      <c r="B1603" s="1133">
        <v>1353</v>
      </c>
      <c r="C1603" s="883">
        <v>0.99917451432046434</v>
      </c>
      <c r="D1603" s="883">
        <v>1.0411589408937405</v>
      </c>
      <c r="E1603" s="883">
        <v>1.011871794932212</v>
      </c>
      <c r="F1603" s="883">
        <v>0.98536452799072738</v>
      </c>
      <c r="G1603" s="883">
        <v>0.97521798220358702</v>
      </c>
      <c r="H1603" s="883">
        <v>0.96478593628638531</v>
      </c>
      <c r="I1603" s="883">
        <v>0.99279072196773166</v>
      </c>
      <c r="K1603">
        <v>1.5823531848645682</v>
      </c>
      <c r="L1603">
        <v>0</v>
      </c>
      <c r="M1603">
        <v>6.0166073265822953E-3</v>
      </c>
      <c r="N1603">
        <v>0.11416203887998003</v>
      </c>
      <c r="O1603">
        <v>3.0368896934849243E-2</v>
      </c>
      <c r="P1603">
        <v>1.8212444105825624E-2</v>
      </c>
      <c r="Q1603">
        <v>0</v>
      </c>
      <c r="R1603">
        <v>6.0166073265822953E-3</v>
      </c>
      <c r="S1603">
        <v>0.1652513053105992</v>
      </c>
      <c r="T1603">
        <v>1.1683803873019303</v>
      </c>
      <c r="U1603">
        <v>0</v>
      </c>
      <c r="V1603">
        <v>1.5858415586240876E-2</v>
      </c>
      <c r="W1603">
        <v>5.97345986256725E-2</v>
      </c>
      <c r="X1603">
        <v>-1.4390219935213543E-2</v>
      </c>
      <c r="Y1603">
        <v>2.4775318054683821E-2</v>
      </c>
    </row>
    <row r="1604" spans="1:25" x14ac:dyDescent="0.25">
      <c r="A1604" s="879"/>
      <c r="B1604" s="1133">
        <v>1354</v>
      </c>
      <c r="C1604" s="883">
        <v>0.98734258590966872</v>
      </c>
      <c r="D1604" s="883">
        <v>1.0136839497563808</v>
      </c>
      <c r="E1604" s="883">
        <v>0.98496239059599999</v>
      </c>
      <c r="F1604" s="883">
        <v>1.0088712002847973</v>
      </c>
      <c r="G1604" s="883">
        <v>0.96730077806539783</v>
      </c>
      <c r="H1604" s="883">
        <v>1.0142229108049474</v>
      </c>
      <c r="I1604" s="883">
        <v>0.99399636385557644</v>
      </c>
      <c r="K1604">
        <v>1.6290811010737825</v>
      </c>
      <c r="L1604">
        <v>0</v>
      </c>
      <c r="M1604">
        <v>6.6314334566303949E-3</v>
      </c>
      <c r="N1604">
        <v>0.12090992121224413</v>
      </c>
      <c r="O1604">
        <v>3.1086297251300913E-2</v>
      </c>
      <c r="P1604">
        <v>1.8289928920320764E-2</v>
      </c>
      <c r="Q1604">
        <v>0</v>
      </c>
      <c r="R1604">
        <v>6.6314334566303949E-3</v>
      </c>
      <c r="S1604">
        <v>0.17050973087500385</v>
      </c>
      <c r="T1604">
        <v>1.1967577929766382</v>
      </c>
      <c r="U1604">
        <v>0</v>
      </c>
      <c r="V1604">
        <v>1.5923799717366304E-2</v>
      </c>
      <c r="W1604">
        <v>6.4117107401726131E-2</v>
      </c>
      <c r="X1604">
        <v>-1.5820539904069231E-2</v>
      </c>
      <c r="Y1604">
        <v>2.7307062623250309E-2</v>
      </c>
    </row>
    <row r="1605" spans="1:25" x14ac:dyDescent="0.25">
      <c r="A1605" s="879"/>
      <c r="B1605" s="1133">
        <v>1355</v>
      </c>
      <c r="C1605" s="883">
        <v>0.97904696826703985</v>
      </c>
      <c r="D1605" s="883">
        <v>1.0139854622809441</v>
      </c>
      <c r="E1605" s="883">
        <v>0.98008622296265824</v>
      </c>
      <c r="F1605" s="883">
        <v>1.0442481751473134</v>
      </c>
      <c r="G1605" s="883">
        <v>1.0445312584389688</v>
      </c>
      <c r="H1605" s="883">
        <v>1.0377857749590251</v>
      </c>
      <c r="I1605" s="883">
        <v>0.95721174289612065</v>
      </c>
      <c r="K1605">
        <v>1.6741922067504911</v>
      </c>
      <c r="L1605">
        <v>0</v>
      </c>
      <c r="M1605">
        <v>6.871236448596948E-3</v>
      </c>
      <c r="N1605">
        <v>0.12437927658306112</v>
      </c>
      <c r="O1605">
        <v>3.1349929643779896E-2</v>
      </c>
      <c r="P1605">
        <v>1.8728469328638066E-2</v>
      </c>
      <c r="Q1605">
        <v>0</v>
      </c>
      <c r="R1605">
        <v>6.871236448596948E-3</v>
      </c>
      <c r="S1605">
        <v>0.16691011740155726</v>
      </c>
      <c r="T1605">
        <v>1.2388182034356034</v>
      </c>
      <c r="U1605">
        <v>0</v>
      </c>
      <c r="V1605">
        <v>1.5970584365909243E-2</v>
      </c>
      <c r="W1605">
        <v>6.611793265564353E-2</v>
      </c>
      <c r="X1605">
        <v>-1.6376835324528462E-2</v>
      </c>
      <c r="Y1605">
        <v>2.8294528660827174E-2</v>
      </c>
    </row>
    <row r="1606" spans="1:25" x14ac:dyDescent="0.25">
      <c r="A1606" s="879"/>
      <c r="B1606" s="1133">
        <v>1356</v>
      </c>
      <c r="C1606" s="883">
        <v>0.97169341809738397</v>
      </c>
      <c r="D1606" s="883">
        <v>0.98397264275570551</v>
      </c>
      <c r="E1606" s="883">
        <v>0.97035101080969011</v>
      </c>
      <c r="F1606" s="883">
        <v>1.0313657731129309</v>
      </c>
      <c r="G1606" s="883">
        <v>0.98506342444842643</v>
      </c>
      <c r="H1606" s="883">
        <v>0.9975898769574576</v>
      </c>
      <c r="I1606" s="883">
        <v>0.96429530189266</v>
      </c>
      <c r="K1606">
        <v>1.6558367981002953</v>
      </c>
      <c r="L1606">
        <v>0</v>
      </c>
      <c r="M1606">
        <v>6.802326035177656E-3</v>
      </c>
      <c r="N1606">
        <v>0.12136555033682332</v>
      </c>
      <c r="O1606">
        <v>3.1976943957294154E-2</v>
      </c>
      <c r="P1606">
        <v>1.8397549215955173E-2</v>
      </c>
      <c r="Q1606">
        <v>0</v>
      </c>
      <c r="R1606">
        <v>6.802326035177656E-3</v>
      </c>
      <c r="S1606">
        <v>0.16741105644989587</v>
      </c>
      <c r="T1606">
        <v>1.2237231731215354</v>
      </c>
      <c r="U1606">
        <v>0</v>
      </c>
      <c r="V1606">
        <v>1.6012723956593054E-2</v>
      </c>
      <c r="W1606">
        <v>6.4831756534107499E-2</v>
      </c>
      <c r="X1606">
        <v>-1.589272331587167E-2</v>
      </c>
      <c r="Y1606">
        <v>2.8010767843962878E-2</v>
      </c>
    </row>
    <row r="1607" spans="1:25" x14ac:dyDescent="0.25">
      <c r="A1607" s="879"/>
      <c r="B1607" s="1133">
        <v>1357</v>
      </c>
      <c r="C1607" s="883">
        <v>1.002673834187316</v>
      </c>
      <c r="D1607" s="883">
        <v>0.98230211548050927</v>
      </c>
      <c r="E1607" s="883">
        <v>0.97585978152431263</v>
      </c>
      <c r="F1607" s="883">
        <v>1.0083875296565497</v>
      </c>
      <c r="G1607" s="883">
        <v>1.0049887508675615</v>
      </c>
      <c r="H1607" s="883">
        <v>0.96649995812187106</v>
      </c>
      <c r="I1607" s="883">
        <v>1.0338021353557614</v>
      </c>
      <c r="K1607">
        <v>1.6204244958150784</v>
      </c>
      <c r="L1607">
        <v>0</v>
      </c>
      <c r="M1607">
        <v>6.3609580750169812E-3</v>
      </c>
      <c r="N1607">
        <v>0.11442263187542098</v>
      </c>
      <c r="O1607">
        <v>3.1005723156735672E-2</v>
      </c>
      <c r="P1607">
        <v>1.8176307366557908E-2</v>
      </c>
      <c r="Q1607">
        <v>0</v>
      </c>
      <c r="R1607">
        <v>6.3609580750169812E-3</v>
      </c>
      <c r="S1607">
        <v>0.17208391836712086</v>
      </c>
      <c r="T1607">
        <v>1.1963554243632673</v>
      </c>
      <c r="U1607">
        <v>0</v>
      </c>
      <c r="V1607">
        <v>1.5839373757554984E-2</v>
      </c>
      <c r="W1607">
        <v>6.0954110401041879E-2</v>
      </c>
      <c r="X1607">
        <v>-1.4606286617211075E-2</v>
      </c>
      <c r="Y1607">
        <v>2.6193293144589506E-2</v>
      </c>
    </row>
    <row r="1608" spans="1:25" x14ac:dyDescent="0.25">
      <c r="A1608" s="879"/>
      <c r="B1608" s="1133">
        <v>1358</v>
      </c>
      <c r="C1608" s="883">
        <v>1.0185147403875672</v>
      </c>
      <c r="D1608" s="883">
        <v>1.0202379158166177</v>
      </c>
      <c r="E1608" s="883">
        <v>1.0065488864442944</v>
      </c>
      <c r="F1608" s="883">
        <v>1.0035053038918529</v>
      </c>
      <c r="G1608" s="883">
        <v>1.0017285934401223</v>
      </c>
      <c r="H1608" s="883">
        <v>1.015949663130411</v>
      </c>
      <c r="I1608" s="883">
        <v>1.0130223294226057</v>
      </c>
      <c r="K1608">
        <v>1.6143178573079549</v>
      </c>
      <c r="L1608">
        <v>0</v>
      </c>
      <c r="M1608">
        <v>6.3010617409933398E-3</v>
      </c>
      <c r="N1608">
        <v>0.11862094047672216</v>
      </c>
      <c r="O1608">
        <v>3.0039665829927484E-2</v>
      </c>
      <c r="P1608">
        <v>1.8472609726340149E-2</v>
      </c>
      <c r="Q1608">
        <v>0</v>
      </c>
      <c r="R1608">
        <v>6.3010617409933398E-3</v>
      </c>
      <c r="S1608">
        <v>0.16851137847205566</v>
      </c>
      <c r="T1608">
        <v>1.1899895831291438</v>
      </c>
      <c r="U1608">
        <v>0</v>
      </c>
      <c r="V1608">
        <v>1.575481101435721E-2</v>
      </c>
      <c r="W1608">
        <v>6.223136945927768E-2</v>
      </c>
      <c r="X1608">
        <v>-1.52491515021009E-2</v>
      </c>
      <c r="Y1608">
        <v>2.5946650702230185E-2</v>
      </c>
    </row>
    <row r="1609" spans="1:25" x14ac:dyDescent="0.25">
      <c r="A1609" s="879"/>
      <c r="B1609" s="1133">
        <v>1359</v>
      </c>
      <c r="C1609" s="883">
        <v>0.99293750188537355</v>
      </c>
      <c r="D1609" s="883">
        <v>1.0070399199984739</v>
      </c>
      <c r="E1609" s="883">
        <v>1.0090280659440205</v>
      </c>
      <c r="F1609" s="883">
        <v>1.0052798940625529</v>
      </c>
      <c r="G1609" s="883">
        <v>1.0254800893821552</v>
      </c>
      <c r="H1609" s="883">
        <v>1.0118758731754727</v>
      </c>
      <c r="I1609" s="883">
        <v>0.99244889979049389</v>
      </c>
      <c r="K1609">
        <v>1.6235151344705199</v>
      </c>
      <c r="L1609">
        <v>0</v>
      </c>
      <c r="M1609">
        <v>6.4609017894674704E-3</v>
      </c>
      <c r="N1609">
        <v>0.1220773096973094</v>
      </c>
      <c r="O1609">
        <v>3.0972189517189837E-2</v>
      </c>
      <c r="P1609">
        <v>1.854655370822814E-2</v>
      </c>
      <c r="Q1609">
        <v>0</v>
      </c>
      <c r="R1609">
        <v>6.4609017894674704E-3</v>
      </c>
      <c r="S1609">
        <v>0.16924328379525744</v>
      </c>
      <c r="T1609">
        <v>1.1920477163727501</v>
      </c>
      <c r="U1609">
        <v>0</v>
      </c>
      <c r="V1609">
        <v>1.5892687581505017E-2</v>
      </c>
      <c r="W1609">
        <v>6.3966107132064992E-2</v>
      </c>
      <c r="X1609">
        <v>-1.5835556905163237E-2</v>
      </c>
      <c r="Y1609">
        <v>2.6604843571378618E-2</v>
      </c>
    </row>
    <row r="1610" spans="1:25" x14ac:dyDescent="0.25">
      <c r="A1610" s="879"/>
      <c r="B1610" s="1133">
        <v>1360</v>
      </c>
      <c r="C1610" s="883">
        <v>1.0145969656964429</v>
      </c>
      <c r="D1610" s="883">
        <v>1.033328268133838</v>
      </c>
      <c r="E1610" s="883">
        <v>1.0048940539958209</v>
      </c>
      <c r="F1610" s="883">
        <v>0.99364199158773392</v>
      </c>
      <c r="G1610" s="883">
        <v>1.0200357985005535</v>
      </c>
      <c r="H1610" s="883">
        <v>0.96350395780565712</v>
      </c>
      <c r="I1610" s="883">
        <v>0.9627710157369076</v>
      </c>
      <c r="K1610">
        <v>1.5816543878952294</v>
      </c>
      <c r="L1610">
        <v>0</v>
      </c>
      <c r="M1610">
        <v>5.9735302314382691E-3</v>
      </c>
      <c r="N1610">
        <v>0.11217973945170982</v>
      </c>
      <c r="O1610">
        <v>3.0003666845952823E-2</v>
      </c>
      <c r="P1610">
        <v>1.8149284596798692E-2</v>
      </c>
      <c r="Q1610">
        <v>0</v>
      </c>
      <c r="R1610">
        <v>5.9735302314382691E-3</v>
      </c>
      <c r="S1610">
        <v>0.15780352854606644</v>
      </c>
      <c r="T1610">
        <v>1.1783238617029872</v>
      </c>
      <c r="U1610">
        <v>0</v>
      </c>
      <c r="V1610">
        <v>1.577547930782865E-2</v>
      </c>
      <c r="W1610">
        <v>5.8900436311522919E-2</v>
      </c>
      <c r="X1610">
        <v>-1.4079543111955885E-2</v>
      </c>
      <c r="Y1610">
        <v>2.4597934244317832E-2</v>
      </c>
    </row>
    <row r="1611" spans="1:25" x14ac:dyDescent="0.25">
      <c r="A1611" s="879"/>
      <c r="B1611" s="1133">
        <v>1361</v>
      </c>
      <c r="C1611" s="883">
        <v>0.9867005879915588</v>
      </c>
      <c r="D1611" s="883">
        <v>1.0083658713946013</v>
      </c>
      <c r="E1611" s="883">
        <v>1.0065954886988542</v>
      </c>
      <c r="F1611" s="883">
        <v>1.0190560709164378</v>
      </c>
      <c r="G1611" s="883">
        <v>1.001328322464037</v>
      </c>
      <c r="H1611" s="883">
        <v>0.99427494502147828</v>
      </c>
      <c r="I1611" s="883">
        <v>0.99374493969604327</v>
      </c>
      <c r="K1611">
        <v>1.6383031469205585</v>
      </c>
      <c r="L1611">
        <v>0</v>
      </c>
      <c r="M1611">
        <v>6.3984946146448379E-3</v>
      </c>
      <c r="N1611">
        <v>0.12046348023022291</v>
      </c>
      <c r="O1611">
        <v>3.1153711252517841E-2</v>
      </c>
      <c r="P1611">
        <v>1.8736638975152368E-2</v>
      </c>
      <c r="Q1611">
        <v>0</v>
      </c>
      <c r="R1611">
        <v>6.3984946146448379E-3</v>
      </c>
      <c r="S1611">
        <v>0.16949517944401066</v>
      </c>
      <c r="T1611">
        <v>1.2084293127054471</v>
      </c>
      <c r="U1611">
        <v>0</v>
      </c>
      <c r="V1611">
        <v>1.5927392297006768E-2</v>
      </c>
      <c r="W1611">
        <v>6.3196550948541472E-2</v>
      </c>
      <c r="X1611">
        <v>-1.5446980865861798E-2</v>
      </c>
      <c r="Y1611">
        <v>2.6347861933522045E-2</v>
      </c>
    </row>
    <row r="1612" spans="1:25" x14ac:dyDescent="0.25">
      <c r="A1612" s="879"/>
      <c r="B1612" s="1133">
        <v>1362</v>
      </c>
      <c r="C1612" s="883">
        <v>1.0307747393121995</v>
      </c>
      <c r="D1612" s="883">
        <v>0.98157267767903866</v>
      </c>
      <c r="E1612" s="883">
        <v>0.99703457166957399</v>
      </c>
      <c r="F1612" s="883">
        <v>1.010710676622552</v>
      </c>
      <c r="G1612" s="883">
        <v>1.0197067358943457</v>
      </c>
      <c r="H1612" s="883">
        <v>0.97456223206983883</v>
      </c>
      <c r="I1612" s="883">
        <v>0.97634964182461492</v>
      </c>
      <c r="K1612">
        <v>1.6059880453884745</v>
      </c>
      <c r="L1612">
        <v>0</v>
      </c>
      <c r="M1612">
        <v>6.1270124544468771E-3</v>
      </c>
      <c r="N1612">
        <v>0.11373017313869371</v>
      </c>
      <c r="O1612">
        <v>3.0152615261005673E-2</v>
      </c>
      <c r="P1612">
        <v>1.8322667282364966E-2</v>
      </c>
      <c r="Q1612">
        <v>0</v>
      </c>
      <c r="R1612">
        <v>6.1270124544468771E-3</v>
      </c>
      <c r="S1612">
        <v>0.15856438950330798</v>
      </c>
      <c r="T1612">
        <v>1.198712595100327</v>
      </c>
      <c r="U1612">
        <v>0</v>
      </c>
      <c r="V1612">
        <v>1.5691148265413134E-2</v>
      </c>
      <c r="W1612">
        <v>5.9947944026651934E-2</v>
      </c>
      <c r="X1612">
        <v>-1.4363433909139526E-2</v>
      </c>
      <c r="Y1612">
        <v>2.5229946719849974E-2</v>
      </c>
    </row>
    <row r="1613" spans="1:25" x14ac:dyDescent="0.25">
      <c r="A1613" s="879"/>
      <c r="B1613" s="1133">
        <v>1363</v>
      </c>
      <c r="C1613" s="883">
        <v>1.010971073825492</v>
      </c>
      <c r="D1613" s="883">
        <v>0.99957419781117895</v>
      </c>
      <c r="E1613" s="883">
        <v>1.0179861768146772</v>
      </c>
      <c r="F1613" s="883">
        <v>0.97989966690766084</v>
      </c>
      <c r="G1613" s="883">
        <v>1.0276269560362219</v>
      </c>
      <c r="H1613" s="883">
        <v>0.99345368857110861</v>
      </c>
      <c r="I1613" s="883">
        <v>1.0036193644875646</v>
      </c>
      <c r="K1613">
        <v>1.5844176740766729</v>
      </c>
      <c r="L1613">
        <v>0</v>
      </c>
      <c r="M1613">
        <v>6.2020367012991916E-3</v>
      </c>
      <c r="N1613">
        <v>0.11875011072073055</v>
      </c>
      <c r="O1613">
        <v>3.0502498301215295E-2</v>
      </c>
      <c r="P1613">
        <v>1.8231122538344961E-2</v>
      </c>
      <c r="Q1613">
        <v>0</v>
      </c>
      <c r="R1613">
        <v>6.2020367012991916E-3</v>
      </c>
      <c r="S1613">
        <v>0.16712114948660428</v>
      </c>
      <c r="T1613">
        <v>1.1617895554110889</v>
      </c>
      <c r="U1613">
        <v>0</v>
      </c>
      <c r="V1613">
        <v>1.5794750500830661E-2</v>
      </c>
      <c r="W1613">
        <v>6.1948028830699081E-2</v>
      </c>
      <c r="X1613">
        <v>-1.5258424927409951E-2</v>
      </c>
      <c r="Y1613">
        <v>2.5538883214569687E-2</v>
      </c>
    </row>
    <row r="1614" spans="1:25" x14ac:dyDescent="0.25">
      <c r="A1614" s="879"/>
      <c r="B1614" s="1133">
        <v>1364</v>
      </c>
      <c r="C1614" s="883">
        <v>1.0085773714804536</v>
      </c>
      <c r="D1614" s="883">
        <v>0.99461208389647682</v>
      </c>
      <c r="E1614" s="883">
        <v>0.99769723240131603</v>
      </c>
      <c r="F1614" s="883">
        <v>0.97372272233820767</v>
      </c>
      <c r="G1614" s="883">
        <v>1.003714831122424</v>
      </c>
      <c r="H1614" s="883">
        <v>0.97602017912287198</v>
      </c>
      <c r="I1614" s="883">
        <v>0.98670851518923008</v>
      </c>
      <c r="K1614">
        <v>1.5703628569792505</v>
      </c>
      <c r="L1614">
        <v>0</v>
      </c>
      <c r="M1614">
        <v>6.2307893115644553E-3</v>
      </c>
      <c r="N1614">
        <v>0.11577010895442962</v>
      </c>
      <c r="O1614">
        <v>3.0653435206048196E-2</v>
      </c>
      <c r="P1614">
        <v>1.7816810734882445E-2</v>
      </c>
      <c r="Q1614">
        <v>0</v>
      </c>
      <c r="R1614">
        <v>6.2307893115644553E-3</v>
      </c>
      <c r="S1614">
        <v>0.16373154554130856</v>
      </c>
      <c r="T1614">
        <v>1.1548325256062433</v>
      </c>
      <c r="U1614">
        <v>0</v>
      </c>
      <c r="V1614">
        <v>1.580754868149532E-2</v>
      </c>
      <c r="W1614">
        <v>6.100310696706749E-2</v>
      </c>
      <c r="X1614">
        <v>-1.4909506058092778E-2</v>
      </c>
      <c r="Y1614">
        <v>2.5657281345868206E-2</v>
      </c>
    </row>
    <row r="1615" spans="1:25" x14ac:dyDescent="0.25">
      <c r="A1615" s="879"/>
      <c r="B1615" s="1133">
        <v>1365</v>
      </c>
      <c r="C1615" s="883">
        <v>0.99490715502924121</v>
      </c>
      <c r="D1615" s="883">
        <v>1.004153890767169</v>
      </c>
      <c r="E1615" s="883">
        <v>1.0032527874506614</v>
      </c>
      <c r="F1615" s="883">
        <v>0.97170701897686429</v>
      </c>
      <c r="G1615" s="883">
        <v>0.98577336466040144</v>
      </c>
      <c r="H1615" s="883">
        <v>0.96389104889021204</v>
      </c>
      <c r="I1615" s="883">
        <v>0.99673261860396278</v>
      </c>
      <c r="K1615">
        <v>1.5712265412395439</v>
      </c>
      <c r="L1615">
        <v>0</v>
      </c>
      <c r="M1615">
        <v>6.1813237707670854E-3</v>
      </c>
      <c r="N1615">
        <v>0.1158001660033061</v>
      </c>
      <c r="O1615">
        <v>3.0951415047243365E-2</v>
      </c>
      <c r="P1615">
        <v>1.7901825787237979E-2</v>
      </c>
      <c r="Q1615">
        <v>0</v>
      </c>
      <c r="R1615">
        <v>6.1813237707670854E-3</v>
      </c>
      <c r="S1615">
        <v>0.16687879958964844</v>
      </c>
      <c r="T1615">
        <v>1.1523415880653674</v>
      </c>
      <c r="U1615">
        <v>0</v>
      </c>
      <c r="V1615">
        <v>1.588181803746028E-2</v>
      </c>
      <c r="W1615">
        <v>6.0850853676439859E-2</v>
      </c>
      <c r="X1615">
        <v>-1.4833516020562964E-2</v>
      </c>
      <c r="Y1615">
        <v>2.5453591053402662E-2</v>
      </c>
    </row>
    <row r="1616" spans="1:25" x14ac:dyDescent="0.25">
      <c r="A1616" s="879"/>
      <c r="B1616" s="1133">
        <v>1366</v>
      </c>
      <c r="C1616" s="883">
        <v>0.96377510445091386</v>
      </c>
      <c r="D1616" s="883">
        <v>0.9749324908771303</v>
      </c>
      <c r="E1616" s="883">
        <v>0.99500149736157828</v>
      </c>
      <c r="F1616" s="883">
        <v>1.014078235433888</v>
      </c>
      <c r="G1616" s="883">
        <v>1.0140842009068229</v>
      </c>
      <c r="H1616" s="883">
        <v>1.0016519916367008</v>
      </c>
      <c r="I1616" s="883">
        <v>0.98874301441488865</v>
      </c>
      <c r="K1616">
        <v>1.6458671892212233</v>
      </c>
      <c r="L1616">
        <v>0</v>
      </c>
      <c r="M1616">
        <v>6.7675526161073861E-3</v>
      </c>
      <c r="N1616">
        <v>0.12524203445631127</v>
      </c>
      <c r="O1616">
        <v>3.2338230186581149E-2</v>
      </c>
      <c r="P1616">
        <v>1.8551481489135581E-2</v>
      </c>
      <c r="Q1616">
        <v>0</v>
      </c>
      <c r="R1616">
        <v>6.7675526161073861E-3</v>
      </c>
      <c r="S1616">
        <v>0.17343651172096827</v>
      </c>
      <c r="T1616">
        <v>1.2027449053829486</v>
      </c>
      <c r="U1616">
        <v>0</v>
      </c>
      <c r="V1616">
        <v>1.6058818952055232E-2</v>
      </c>
      <c r="W1616">
        <v>6.6082722200591568E-2</v>
      </c>
      <c r="X1616">
        <v>-1.6455092261037051E-2</v>
      </c>
      <c r="Y1616">
        <v>2.7867577093669365E-2</v>
      </c>
    </row>
    <row r="1617" spans="1:25" x14ac:dyDescent="0.25">
      <c r="A1617" s="879"/>
      <c r="B1617" s="1133">
        <v>1367</v>
      </c>
      <c r="C1617" s="883">
        <v>1.0342814582709214</v>
      </c>
      <c r="D1617" s="883">
        <v>0.99621097538294723</v>
      </c>
      <c r="E1617" s="883">
        <v>1.0108088287790273</v>
      </c>
      <c r="F1617" s="883">
        <v>0.96980986957136339</v>
      </c>
      <c r="G1617" s="883">
        <v>0.96689702391939092</v>
      </c>
      <c r="H1617" s="883">
        <v>0.97190618021701758</v>
      </c>
      <c r="I1617" s="883">
        <v>1.0119008288686981</v>
      </c>
      <c r="K1617">
        <v>1.5596978900481591</v>
      </c>
      <c r="L1617">
        <v>0</v>
      </c>
      <c r="M1617">
        <v>5.977109614677679E-3</v>
      </c>
      <c r="N1617">
        <v>0.11323428212578243</v>
      </c>
      <c r="O1617">
        <v>2.9861468603686572E-2</v>
      </c>
      <c r="P1617">
        <v>1.7923424445143391E-2</v>
      </c>
      <c r="Q1617">
        <v>0</v>
      </c>
      <c r="R1617">
        <v>5.977109614677679E-3</v>
      </c>
      <c r="S1617">
        <v>0.1635037007471776</v>
      </c>
      <c r="T1617">
        <v>1.1499558050133771</v>
      </c>
      <c r="U1617">
        <v>0</v>
      </c>
      <c r="V1617">
        <v>1.5673216440230956E-2</v>
      </c>
      <c r="W1617">
        <v>5.9280297033862103E-2</v>
      </c>
      <c r="X1617">
        <v>-1.4346977868492533E-2</v>
      </c>
      <c r="Y1617">
        <v>2.4612673507391259E-2</v>
      </c>
    </row>
    <row r="1618" spans="1:25" x14ac:dyDescent="0.25">
      <c r="A1618" s="879"/>
      <c r="B1618" s="1133">
        <v>1368</v>
      </c>
      <c r="C1618" s="883">
        <v>1.0063795839911494</v>
      </c>
      <c r="D1618" s="883">
        <v>1.0480335227788489</v>
      </c>
      <c r="E1618" s="883">
        <v>1.0041879680473984</v>
      </c>
      <c r="F1618" s="883">
        <v>0.96438954239063213</v>
      </c>
      <c r="G1618" s="883">
        <v>1.0189286529858863</v>
      </c>
      <c r="H1618" s="883">
        <v>0.97709624245344995</v>
      </c>
      <c r="I1618" s="883">
        <v>0.98970065657687056</v>
      </c>
      <c r="K1618">
        <v>1.5556917870120781</v>
      </c>
      <c r="L1618">
        <v>0</v>
      </c>
      <c r="M1618">
        <v>6.07272407179667E-3</v>
      </c>
      <c r="N1618">
        <v>0.11392335519461147</v>
      </c>
      <c r="O1618">
        <v>3.0078759376811235E-2</v>
      </c>
      <c r="P1618">
        <v>1.7760759906046884E-2</v>
      </c>
      <c r="Q1618">
        <v>0</v>
      </c>
      <c r="R1618">
        <v>6.07272407179667E-3</v>
      </c>
      <c r="S1618">
        <v>0.16418215481281667</v>
      </c>
      <c r="T1618">
        <v>1.143647089103645</v>
      </c>
      <c r="U1618">
        <v>0</v>
      </c>
      <c r="V1618">
        <v>1.5819352994042708E-2</v>
      </c>
      <c r="W1618">
        <v>5.9836869178066208E-2</v>
      </c>
      <c r="X1618">
        <v>-1.456295037703122E-2</v>
      </c>
      <c r="Y1618">
        <v>2.5006396823068329E-2</v>
      </c>
    </row>
    <row r="1619" spans="1:25" x14ac:dyDescent="0.25">
      <c r="A1619" s="879"/>
      <c r="B1619" s="1133">
        <v>1369</v>
      </c>
      <c r="C1619" s="883">
        <v>1.008380287666236</v>
      </c>
      <c r="D1619" s="883">
        <v>1.0111093446829775</v>
      </c>
      <c r="E1619" s="883">
        <v>1.0062786695121848</v>
      </c>
      <c r="F1619" s="883">
        <v>1.0029950990327818</v>
      </c>
      <c r="G1619" s="883">
        <v>0.99810614022436539</v>
      </c>
      <c r="H1619" s="883">
        <v>0.97654687356366354</v>
      </c>
      <c r="I1619" s="883">
        <v>1.011557017258494</v>
      </c>
      <c r="K1619">
        <v>1.6088150729745281</v>
      </c>
      <c r="L1619">
        <v>0</v>
      </c>
      <c r="M1619">
        <v>6.1435542546514075E-3</v>
      </c>
      <c r="N1619">
        <v>0.11560950749035846</v>
      </c>
      <c r="O1619">
        <v>3.0451081088978569E-2</v>
      </c>
      <c r="P1619">
        <v>1.845154030338993E-2</v>
      </c>
      <c r="Q1619">
        <v>0</v>
      </c>
      <c r="R1619">
        <v>6.1435542546514075E-3</v>
      </c>
      <c r="S1619">
        <v>0.16777067750420591</v>
      </c>
      <c r="T1619">
        <v>1.1893895948846629</v>
      </c>
      <c r="U1619">
        <v>0</v>
      </c>
      <c r="V1619">
        <v>1.5808605118079574E-2</v>
      </c>
      <c r="W1619">
        <v>6.0659618625284344E-2</v>
      </c>
      <c r="X1619">
        <v>-1.4623614949193564E-2</v>
      </c>
      <c r="Y1619">
        <v>2.5298062908761562E-2</v>
      </c>
    </row>
    <row r="1620" spans="1:25" x14ac:dyDescent="0.25">
      <c r="A1620" s="879"/>
      <c r="B1620" s="1133">
        <v>1370</v>
      </c>
      <c r="C1620" s="883">
        <v>0.9593973649982237</v>
      </c>
      <c r="D1620" s="883">
        <v>0.99553074414668208</v>
      </c>
      <c r="E1620" s="883">
        <v>0.97493087096904796</v>
      </c>
      <c r="F1620" s="883">
        <v>1.0111700150118816</v>
      </c>
      <c r="G1620" s="883">
        <v>0.98902918999734513</v>
      </c>
      <c r="H1620" s="883">
        <v>0.97536039654326667</v>
      </c>
      <c r="I1620" s="883">
        <v>1.0255235245785306</v>
      </c>
      <c r="K1620">
        <v>1.6407975298247828</v>
      </c>
      <c r="L1620">
        <v>0</v>
      </c>
      <c r="M1620">
        <v>6.6742960241871294E-3</v>
      </c>
      <c r="N1620">
        <v>0.11989363100408844</v>
      </c>
      <c r="O1620">
        <v>3.223215646856898E-2</v>
      </c>
      <c r="P1620">
        <v>1.829851463873142E-2</v>
      </c>
      <c r="Q1620">
        <v>0</v>
      </c>
      <c r="R1620">
        <v>6.6742960241871294E-3</v>
      </c>
      <c r="S1620">
        <v>0.17881931357910777</v>
      </c>
      <c r="T1620">
        <v>1.1996741349460796</v>
      </c>
      <c r="U1620">
        <v>0</v>
      </c>
      <c r="V1620">
        <v>1.6084629767547633E-2</v>
      </c>
      <c r="W1620">
        <v>6.3898336910777731E-2</v>
      </c>
      <c r="X1620">
        <v>-1.5586750537315487E-2</v>
      </c>
      <c r="Y1620">
        <v>2.7483563047196333E-2</v>
      </c>
    </row>
    <row r="1621" spans="1:25" x14ac:dyDescent="0.25">
      <c r="A1621" s="879"/>
      <c r="B1621" s="1133">
        <v>1371</v>
      </c>
      <c r="C1621" s="883">
        <v>1.0281029247665587</v>
      </c>
      <c r="D1621" s="883">
        <v>0.99031654289442517</v>
      </c>
      <c r="E1621" s="883">
        <v>0.97535096248947706</v>
      </c>
      <c r="F1621" s="883">
        <v>1.0169822652064204</v>
      </c>
      <c r="G1621" s="883">
        <v>1.0175949047245374</v>
      </c>
      <c r="H1621" s="883">
        <v>1.0194459453725107</v>
      </c>
      <c r="I1621" s="883">
        <v>1.0052620318830929</v>
      </c>
      <c r="K1621">
        <v>1.6281142892932488</v>
      </c>
      <c r="L1621">
        <v>0</v>
      </c>
      <c r="M1621">
        <v>6.522666984886313E-3</v>
      </c>
      <c r="N1621">
        <v>0.1172429235762949</v>
      </c>
      <c r="O1621">
        <v>3.0141089635658858E-2</v>
      </c>
      <c r="P1621">
        <v>1.8223055370871235E-2</v>
      </c>
      <c r="Q1621">
        <v>0</v>
      </c>
      <c r="R1621">
        <v>6.522666984886313E-3</v>
      </c>
      <c r="S1621">
        <v>0.16613205852852525</v>
      </c>
      <c r="T1621">
        <v>1.2065619287969778</v>
      </c>
      <c r="U1621">
        <v>0</v>
      </c>
      <c r="V1621">
        <v>1.5704892861737933E-2</v>
      </c>
      <c r="W1621">
        <v>6.2472451475298549E-2</v>
      </c>
      <c r="X1621">
        <v>-1.5223292604435371E-2</v>
      </c>
      <c r="Y1621">
        <v>2.6859181652318456E-2</v>
      </c>
    </row>
    <row r="1622" spans="1:25" x14ac:dyDescent="0.25">
      <c r="A1622" s="879"/>
      <c r="B1622" s="1133">
        <v>1372</v>
      </c>
      <c r="C1622" s="883">
        <v>0.96994704599363035</v>
      </c>
      <c r="D1622" s="883">
        <v>0.99122368952993123</v>
      </c>
      <c r="E1622" s="883">
        <v>0.98063360919702791</v>
      </c>
      <c r="F1622" s="883">
        <v>0.9942275451990702</v>
      </c>
      <c r="G1622" s="883">
        <v>1.0038534993382917</v>
      </c>
      <c r="H1622" s="883">
        <v>0.99937109456643825</v>
      </c>
      <c r="I1622" s="883">
        <v>1.0136120919059377</v>
      </c>
      <c r="K1622">
        <v>1.6205859078863298</v>
      </c>
      <c r="L1622">
        <v>0</v>
      </c>
      <c r="M1622">
        <v>6.7437208055294686E-3</v>
      </c>
      <c r="N1622">
        <v>0.12217023689050685</v>
      </c>
      <c r="O1622">
        <v>3.1932284512764406E-2</v>
      </c>
      <c r="P1622">
        <v>1.8079440094734393E-2</v>
      </c>
      <c r="Q1622">
        <v>0</v>
      </c>
      <c r="R1622">
        <v>6.7437208055294686E-3</v>
      </c>
      <c r="S1622">
        <v>0.17633031615397227</v>
      </c>
      <c r="T1622">
        <v>1.1794672950322949</v>
      </c>
      <c r="U1622">
        <v>0</v>
      </c>
      <c r="V1622">
        <v>1.6022825448976208E-2</v>
      </c>
      <c r="W1622">
        <v>6.4925849481361472E-2</v>
      </c>
      <c r="X1622">
        <v>-1.6111781667894946E-2</v>
      </c>
      <c r="Y1622">
        <v>2.7769441939613646E-2</v>
      </c>
    </row>
    <row r="1623" spans="1:25" x14ac:dyDescent="0.25">
      <c r="A1623" s="879"/>
      <c r="B1623" s="1133">
        <v>1373</v>
      </c>
      <c r="C1623" s="883">
        <v>0.98796352909194562</v>
      </c>
      <c r="D1623" s="883">
        <v>1.0360534156000172</v>
      </c>
      <c r="E1623" s="883">
        <v>1.0369863884068584</v>
      </c>
      <c r="F1623" s="883">
        <v>0.97297099719468594</v>
      </c>
      <c r="G1623" s="883">
        <v>1.0378721828174762</v>
      </c>
      <c r="H1623" s="883">
        <v>1.0237354375471659</v>
      </c>
      <c r="I1623" s="883">
        <v>1.012028228250573</v>
      </c>
      <c r="K1623">
        <v>1.5911749136234339</v>
      </c>
      <c r="L1623">
        <v>0</v>
      </c>
      <c r="M1623">
        <v>6.3300310103095465E-3</v>
      </c>
      <c r="N1623">
        <v>0.12465376871621035</v>
      </c>
      <c r="O1623">
        <v>3.0750856455005242E-2</v>
      </c>
      <c r="P1623">
        <v>1.8466453665112927E-2</v>
      </c>
      <c r="Q1623">
        <v>0</v>
      </c>
      <c r="R1623">
        <v>6.3300310103095465E-3</v>
      </c>
      <c r="S1623">
        <v>0.17388241566569221</v>
      </c>
      <c r="T1623">
        <v>1.1532334441142564</v>
      </c>
      <c r="U1623">
        <v>0</v>
      </c>
      <c r="V1623">
        <v>1.5920329400572558E-2</v>
      </c>
      <c r="W1623">
        <v>6.4423831554694222E-2</v>
      </c>
      <c r="X1623">
        <v>-1.6222126945048255E-2</v>
      </c>
      <c r="Y1623">
        <v>2.6065940996936609E-2</v>
      </c>
    </row>
    <row r="1624" spans="1:25" x14ac:dyDescent="0.25">
      <c r="A1624" s="879"/>
      <c r="B1624" s="1133">
        <v>1374</v>
      </c>
      <c r="C1624" s="883">
        <v>1.0077448014759143</v>
      </c>
      <c r="D1624" s="883">
        <v>0.98954183209904134</v>
      </c>
      <c r="E1624" s="883">
        <v>0.99937972476853809</v>
      </c>
      <c r="F1624" s="883">
        <v>0.99608708150980707</v>
      </c>
      <c r="G1624" s="883">
        <v>1.0024624315697059</v>
      </c>
      <c r="H1624" s="883">
        <v>0.9967410135784851</v>
      </c>
      <c r="I1624" s="883">
        <v>1.0006789392836533</v>
      </c>
      <c r="K1624">
        <v>1.6056845402145858</v>
      </c>
      <c r="L1624">
        <v>0</v>
      </c>
      <c r="M1624">
        <v>6.3734929547540455E-3</v>
      </c>
      <c r="N1624">
        <v>0.1187171651055262</v>
      </c>
      <c r="O1624">
        <v>3.0740121133147974E-2</v>
      </c>
      <c r="P1624">
        <v>1.8243346036171948E-2</v>
      </c>
      <c r="Q1624">
        <v>0</v>
      </c>
      <c r="R1624">
        <v>6.3734929547540455E-3</v>
      </c>
      <c r="S1624">
        <v>0.16743641369653822</v>
      </c>
      <c r="T1624">
        <v>1.1813254374237432</v>
      </c>
      <c r="U1624">
        <v>0</v>
      </c>
      <c r="V1624">
        <v>1.581201435548368E-2</v>
      </c>
      <c r="W1624">
        <v>6.250372844104278E-2</v>
      </c>
      <c r="X1624">
        <v>-1.5338595525290297E-2</v>
      </c>
      <c r="Y1624">
        <v>2.6244909548221319E-2</v>
      </c>
    </row>
    <row r="1625" spans="1:25" x14ac:dyDescent="0.25">
      <c r="A1625" s="879"/>
      <c r="B1625" s="1133">
        <v>1375</v>
      </c>
      <c r="C1625" s="883">
        <v>1.0342805134861692</v>
      </c>
      <c r="D1625" s="883">
        <v>1.0206201186612545</v>
      </c>
      <c r="E1625" s="883">
        <v>1.0333934455209508</v>
      </c>
      <c r="F1625" s="883">
        <v>0.97885187868234125</v>
      </c>
      <c r="G1625" s="883">
        <v>1.0342515244974066</v>
      </c>
      <c r="H1625" s="883">
        <v>1.0151117982471853</v>
      </c>
      <c r="I1625" s="883">
        <v>0.98044908508905737</v>
      </c>
      <c r="K1625">
        <v>1.5741789346517836</v>
      </c>
      <c r="L1625">
        <v>0</v>
      </c>
      <c r="M1625">
        <v>6.0548795780696009E-3</v>
      </c>
      <c r="N1625">
        <v>0.11860401723066326</v>
      </c>
      <c r="O1625">
        <v>2.9553930299214524E-2</v>
      </c>
      <c r="P1625">
        <v>1.8328166837516573E-2</v>
      </c>
      <c r="Q1625">
        <v>0</v>
      </c>
      <c r="R1625">
        <v>6.0548795780696009E-3</v>
      </c>
      <c r="S1625">
        <v>0.16058519329676527</v>
      </c>
      <c r="T1625">
        <v>1.160268693473345</v>
      </c>
      <c r="U1625">
        <v>0</v>
      </c>
      <c r="V1625">
        <v>1.5673221255070702E-2</v>
      </c>
      <c r="W1625">
        <v>6.140509748588191E-2</v>
      </c>
      <c r="X1625">
        <v>-1.5172301600777219E-2</v>
      </c>
      <c r="Y1625">
        <v>2.4932916374101735E-2</v>
      </c>
    </row>
    <row r="1626" spans="1:25" x14ac:dyDescent="0.25">
      <c r="A1626" s="879"/>
      <c r="B1626" s="1133">
        <v>1376</v>
      </c>
      <c r="C1626" s="883">
        <v>1.0195036599261429</v>
      </c>
      <c r="D1626" s="883">
        <v>1.0007536279327398</v>
      </c>
      <c r="E1626" s="883">
        <v>0.98868447419182093</v>
      </c>
      <c r="F1626" s="883">
        <v>0.98284864507939274</v>
      </c>
      <c r="G1626" s="883">
        <v>0.96236896985091336</v>
      </c>
      <c r="H1626" s="883">
        <v>0.99981897296180544</v>
      </c>
      <c r="I1626" s="883">
        <v>0.99891768556088545</v>
      </c>
      <c r="K1626">
        <v>1.5839459733525989</v>
      </c>
      <c r="L1626">
        <v>0</v>
      </c>
      <c r="M1626">
        <v>6.3467328169645107E-3</v>
      </c>
      <c r="N1626">
        <v>0.11635950456982956</v>
      </c>
      <c r="O1626">
        <v>3.0257683013756441E-2</v>
      </c>
      <c r="P1626">
        <v>1.7860080110089452E-2</v>
      </c>
      <c r="Q1626">
        <v>0</v>
      </c>
      <c r="R1626">
        <v>6.3467328169645107E-3</v>
      </c>
      <c r="S1626">
        <v>0.16526519853747126</v>
      </c>
      <c r="T1626">
        <v>1.1658207408586971</v>
      </c>
      <c r="U1626">
        <v>0</v>
      </c>
      <c r="V1626">
        <v>1.5749619059703894E-2</v>
      </c>
      <c r="W1626">
        <v>6.1589504933148347E-2</v>
      </c>
      <c r="X1626">
        <v>-1.5091073794028586E-2</v>
      </c>
      <c r="Y1626">
        <v>2.6134716063930984E-2</v>
      </c>
    </row>
    <row r="1627" spans="1:25" x14ac:dyDescent="0.25">
      <c r="A1627" s="879"/>
      <c r="B1627" s="1133">
        <v>1377</v>
      </c>
      <c r="C1627" s="883">
        <v>1.0011773791203848</v>
      </c>
      <c r="D1627" s="883">
        <v>0.99594955664305784</v>
      </c>
      <c r="E1627" s="883">
        <v>0.99850700108325297</v>
      </c>
      <c r="F1627" s="883">
        <v>1.011537767186889</v>
      </c>
      <c r="G1627" s="883">
        <v>0.98599607966242919</v>
      </c>
      <c r="H1627" s="883">
        <v>0.9508796542682123</v>
      </c>
      <c r="I1627" s="883">
        <v>0.99807524980951157</v>
      </c>
      <c r="K1627">
        <v>1.6145613635025327</v>
      </c>
      <c r="L1627">
        <v>0</v>
      </c>
      <c r="M1627">
        <v>6.1071766422569947E-3</v>
      </c>
      <c r="N1627">
        <v>0.1136095749943264</v>
      </c>
      <c r="O1627">
        <v>3.0862724146410538E-2</v>
      </c>
      <c r="P1627">
        <v>1.8449121500753479E-2</v>
      </c>
      <c r="Q1627">
        <v>0</v>
      </c>
      <c r="R1627">
        <v>6.1071766422569947E-3</v>
      </c>
      <c r="S1627">
        <v>0.16537411440339275</v>
      </c>
      <c r="T1627">
        <v>1.1996658367240893</v>
      </c>
      <c r="U1627">
        <v>0</v>
      </c>
      <c r="V1627">
        <v>1.5847500547075236E-2</v>
      </c>
      <c r="W1627">
        <v>5.9840561118656516E-2</v>
      </c>
      <c r="X1627">
        <v>-1.4236336308066828E-2</v>
      </c>
      <c r="Y1627">
        <v>2.5148266375894995E-2</v>
      </c>
    </row>
    <row r="1628" spans="1:25" x14ac:dyDescent="0.25">
      <c r="A1628" s="879"/>
      <c r="B1628" s="1133">
        <v>1378</v>
      </c>
      <c r="C1628" s="883">
        <v>0.9960949497844348</v>
      </c>
      <c r="D1628" s="883">
        <v>0.99963325914369916</v>
      </c>
      <c r="E1628" s="883">
        <v>1.0392155613634915</v>
      </c>
      <c r="F1628" s="883">
        <v>0.9895541375734217</v>
      </c>
      <c r="G1628" s="883">
        <v>0.98216318154284954</v>
      </c>
      <c r="H1628" s="883">
        <v>1.0003133890482838</v>
      </c>
      <c r="I1628" s="883">
        <v>1.0170741845364417</v>
      </c>
      <c r="K1628">
        <v>1.6069615663760828</v>
      </c>
      <c r="L1628">
        <v>0</v>
      </c>
      <c r="M1628">
        <v>6.2211456359083416E-3</v>
      </c>
      <c r="N1628">
        <v>0.12291366133931116</v>
      </c>
      <c r="O1628">
        <v>3.0937398203225514E-2</v>
      </c>
      <c r="P1628">
        <v>1.8744553136483471E-2</v>
      </c>
      <c r="Q1628">
        <v>0</v>
      </c>
      <c r="R1628">
        <v>6.2211456359083416E-3</v>
      </c>
      <c r="S1628">
        <v>0.17231993557431463</v>
      </c>
      <c r="T1628">
        <v>1.172848319708784</v>
      </c>
      <c r="U1628">
        <v>0</v>
      </c>
      <c r="V1628">
        <v>1.5875283961907325E-2</v>
      </c>
      <c r="W1628">
        <v>6.3455302014726073E-2</v>
      </c>
      <c r="X1628">
        <v>-1.575045796869546E-2</v>
      </c>
      <c r="Y1628">
        <v>2.56175704060266E-2</v>
      </c>
    </row>
    <row r="1629" spans="1:25" x14ac:dyDescent="0.25">
      <c r="A1629" s="879"/>
      <c r="B1629" s="1133">
        <v>1379</v>
      </c>
      <c r="C1629" s="883">
        <v>0.99037196034839836</v>
      </c>
      <c r="D1629" s="883">
        <v>1.0322318494392624</v>
      </c>
      <c r="E1629" s="883">
        <v>1.0019406005567979</v>
      </c>
      <c r="F1629" s="883">
        <v>0.99572172534187653</v>
      </c>
      <c r="G1629" s="883">
        <v>0.99688397822675634</v>
      </c>
      <c r="H1629" s="883">
        <v>0.97320518512969878</v>
      </c>
      <c r="I1629" s="883">
        <v>0.96126590574457993</v>
      </c>
      <c r="K1629">
        <v>1.5952986567346479</v>
      </c>
      <c r="L1629">
        <v>0</v>
      </c>
      <c r="M1629">
        <v>6.2001669642300231E-3</v>
      </c>
      <c r="N1629">
        <v>0.11592763525329675</v>
      </c>
      <c r="O1629">
        <v>3.0753163104562404E-2</v>
      </c>
      <c r="P1629">
        <v>1.8200052188856515E-2</v>
      </c>
      <c r="Q1629">
        <v>0</v>
      </c>
      <c r="R1629">
        <v>6.2001669642300231E-3</v>
      </c>
      <c r="S1629">
        <v>0.16195487672226541</v>
      </c>
      <c r="T1629">
        <v>1.1808447539334697</v>
      </c>
      <c r="U1629">
        <v>0</v>
      </c>
      <c r="V1629">
        <v>1.5906910372945712E-2</v>
      </c>
      <c r="W1629">
        <v>6.0957505948438004E-2</v>
      </c>
      <c r="X1629">
        <v>-1.4777424759305482E-2</v>
      </c>
      <c r="Y1629">
        <v>2.5531183970119647E-2</v>
      </c>
    </row>
    <row r="1630" spans="1:25" x14ac:dyDescent="0.25">
      <c r="A1630" s="879"/>
      <c r="B1630" s="1133">
        <v>1380</v>
      </c>
      <c r="C1630" s="883">
        <v>0.97868771946808419</v>
      </c>
      <c r="D1630" s="883">
        <v>0.96382455816229096</v>
      </c>
      <c r="E1630" s="883">
        <v>1.0372127399367801</v>
      </c>
      <c r="F1630" s="883">
        <v>1.016747292219534</v>
      </c>
      <c r="G1630" s="883">
        <v>0.96243512387719887</v>
      </c>
      <c r="H1630" s="883">
        <v>1.0269278433954436</v>
      </c>
      <c r="I1630" s="883">
        <v>0.99443596917328414</v>
      </c>
      <c r="K1630">
        <v>1.6536640608539943</v>
      </c>
      <c r="L1630">
        <v>0</v>
      </c>
      <c r="M1630">
        <v>6.6186256562923698E-3</v>
      </c>
      <c r="N1630">
        <v>0.13038049616277783</v>
      </c>
      <c r="O1630">
        <v>3.195248376206191E-2</v>
      </c>
      <c r="P1630">
        <v>1.9177771807250717E-2</v>
      </c>
      <c r="Q1630">
        <v>0</v>
      </c>
      <c r="R1630">
        <v>6.6186256562923698E-3</v>
      </c>
      <c r="S1630">
        <v>0.17346324186992745</v>
      </c>
      <c r="T1630">
        <v>1.2051159387984265</v>
      </c>
      <c r="U1630">
        <v>0</v>
      </c>
      <c r="V1630">
        <v>1.5972628332063553E-2</v>
      </c>
      <c r="W1630">
        <v>6.7376070738016589E-2</v>
      </c>
      <c r="X1630">
        <v>-1.7028892997693702E-2</v>
      </c>
      <c r="Y1630">
        <v>2.7254322381161811E-2</v>
      </c>
    </row>
    <row r="1631" spans="1:25" x14ac:dyDescent="0.25">
      <c r="A1631" s="879"/>
      <c r="B1631" s="1133">
        <v>1381</v>
      </c>
      <c r="C1631" s="883">
        <v>1.0379863948805041</v>
      </c>
      <c r="D1631" s="883">
        <v>0.96400445496913645</v>
      </c>
      <c r="E1631" s="883">
        <v>1.0041196895860347</v>
      </c>
      <c r="F1631" s="883">
        <v>1.0086720196078782</v>
      </c>
      <c r="G1631" s="883">
        <v>1.0021570721522308</v>
      </c>
      <c r="H1631" s="883">
        <v>1.0148181301840324</v>
      </c>
      <c r="I1631" s="883">
        <v>0.98592051560621974</v>
      </c>
      <c r="K1631">
        <v>1.6142233637393666</v>
      </c>
      <c r="L1631">
        <v>0</v>
      </c>
      <c r="M1631">
        <v>6.3476854418824296E-3</v>
      </c>
      <c r="N1631">
        <v>0.11906954637729697</v>
      </c>
      <c r="O1631">
        <v>3.0154309612539756E-2</v>
      </c>
      <c r="P1631">
        <v>1.8425186493016148E-2</v>
      </c>
      <c r="Q1631">
        <v>0</v>
      </c>
      <c r="R1631">
        <v>6.3476854418824296E-3</v>
      </c>
      <c r="S1631">
        <v>0.16143878897086325</v>
      </c>
      <c r="T1631">
        <v>1.1961619258226743</v>
      </c>
      <c r="U1631">
        <v>0</v>
      </c>
      <c r="V1631">
        <v>1.5654402644583506E-2</v>
      </c>
      <c r="W1631">
        <v>6.2541961196792131E-2</v>
      </c>
      <c r="X1631">
        <v>-1.5361396182181099E-2</v>
      </c>
      <c r="Y1631">
        <v>2.6138638803782057E-2</v>
      </c>
    </row>
    <row r="1632" spans="1:25" x14ac:dyDescent="0.25">
      <c r="A1632" s="879"/>
      <c r="B1632" s="1133">
        <v>1382</v>
      </c>
      <c r="C1632" s="883">
        <v>1.0042824309638647</v>
      </c>
      <c r="D1632" s="883">
        <v>1.000208049273358</v>
      </c>
      <c r="E1632" s="883">
        <v>1.0041724710567017</v>
      </c>
      <c r="F1632" s="883">
        <v>1.0259591584171226</v>
      </c>
      <c r="G1632" s="883">
        <v>1.015596602535304</v>
      </c>
      <c r="H1632" s="883">
        <v>1.0165645383459943</v>
      </c>
      <c r="I1632" s="883">
        <v>1.0181161299525014</v>
      </c>
      <c r="K1632">
        <v>1.6500142030989533</v>
      </c>
      <c r="L1632">
        <v>0</v>
      </c>
      <c r="M1632">
        <v>6.4644076583376528E-3</v>
      </c>
      <c r="N1632">
        <v>0.12126849479450816</v>
      </c>
      <c r="O1632">
        <v>3.0710013606271042E-2</v>
      </c>
      <c r="P1632">
        <v>1.8845235542895807E-2</v>
      </c>
      <c r="Q1632">
        <v>0</v>
      </c>
      <c r="R1632">
        <v>6.4644076583376528E-3</v>
      </c>
      <c r="S1632">
        <v>0.17200106255225536</v>
      </c>
      <c r="T1632">
        <v>1.2166613574451506</v>
      </c>
      <c r="U1632">
        <v>0</v>
      </c>
      <c r="V1632">
        <v>1.5830664970163659E-2</v>
      </c>
      <c r="W1632">
        <v>6.3695304602318356E-2</v>
      </c>
      <c r="X1632">
        <v>-1.5617210529975287E-2</v>
      </c>
      <c r="Y1632">
        <v>2.6619280115364633E-2</v>
      </c>
    </row>
    <row r="1633" spans="1:25" x14ac:dyDescent="0.25">
      <c r="A1633" s="879"/>
      <c r="B1633" s="1133">
        <v>1383</v>
      </c>
      <c r="C1633" s="883">
        <v>1.0213492554055288</v>
      </c>
      <c r="D1633" s="883">
        <v>1.0293907268969678</v>
      </c>
      <c r="E1633" s="883">
        <v>1.0101278978576018</v>
      </c>
      <c r="F1633" s="883">
        <v>0.97175055126918175</v>
      </c>
      <c r="G1633" s="883">
        <v>0.96830505915553122</v>
      </c>
      <c r="H1633" s="883">
        <v>0.96823737913096031</v>
      </c>
      <c r="I1633" s="883">
        <v>0.97750575422735519</v>
      </c>
      <c r="K1633">
        <v>1.5569312329339604</v>
      </c>
      <c r="L1633">
        <v>0</v>
      </c>
      <c r="M1633">
        <v>5.9460655571452262E-3</v>
      </c>
      <c r="N1633">
        <v>0.11253267247640279</v>
      </c>
      <c r="O1633">
        <v>2.984643717854342E-2</v>
      </c>
      <c r="P1633">
        <v>1.7891685634392744E-2</v>
      </c>
      <c r="Q1633">
        <v>0</v>
      </c>
      <c r="R1633">
        <v>5.9460655571452262E-3</v>
      </c>
      <c r="S1633">
        <v>0.15945565468269249</v>
      </c>
      <c r="T1633">
        <v>1.1522692431482453</v>
      </c>
      <c r="U1633">
        <v>0</v>
      </c>
      <c r="V1633">
        <v>1.5739956337525465E-2</v>
      </c>
      <c r="W1633">
        <v>5.8932832181914016E-2</v>
      </c>
      <c r="X1633">
        <v>-1.4222088309863989E-2</v>
      </c>
      <c r="Y1633">
        <v>2.4484839604108865E-2</v>
      </c>
    </row>
    <row r="1634" spans="1:25" x14ac:dyDescent="0.25">
      <c r="A1634" s="879"/>
      <c r="B1634" s="1133">
        <v>1384</v>
      </c>
      <c r="C1634" s="883">
        <v>0.99525746379756419</v>
      </c>
      <c r="D1634" s="883">
        <v>0.99798677927140467</v>
      </c>
      <c r="E1634" s="883">
        <v>1.0042016427433145</v>
      </c>
      <c r="F1634" s="883">
        <v>1.0078120596650277</v>
      </c>
      <c r="G1634" s="883">
        <v>0.98709076499216408</v>
      </c>
      <c r="H1634" s="883">
        <v>0.97566810113486913</v>
      </c>
      <c r="I1634" s="883">
        <v>1.0271931464879476</v>
      </c>
      <c r="K1634">
        <v>1.6234565547483277</v>
      </c>
      <c r="L1634">
        <v>0</v>
      </c>
      <c r="M1634">
        <v>6.2666571500354911E-3</v>
      </c>
      <c r="N1634">
        <v>0.11756389039579944</v>
      </c>
      <c r="O1634">
        <v>3.1016036555785723E-2</v>
      </c>
      <c r="P1634">
        <v>1.8566783881911554E-2</v>
      </c>
      <c r="Q1634">
        <v>0</v>
      </c>
      <c r="R1634">
        <v>6.2666571500354911E-3</v>
      </c>
      <c r="S1634">
        <v>0.17268310647394847</v>
      </c>
      <c r="T1634">
        <v>1.1951405847632608</v>
      </c>
      <c r="U1634">
        <v>0</v>
      </c>
      <c r="V1634">
        <v>1.5879889362458023E-2</v>
      </c>
      <c r="W1634">
        <v>6.1748597774906107E-2</v>
      </c>
      <c r="X1634">
        <v>-1.4947313180197239E-2</v>
      </c>
      <c r="Y1634">
        <v>2.5804978720454664E-2</v>
      </c>
    </row>
    <row r="1635" spans="1:25" x14ac:dyDescent="0.25">
      <c r="A1635" s="879"/>
      <c r="B1635" s="1133">
        <v>1385</v>
      </c>
      <c r="C1635" s="883">
        <v>0.97249024564359154</v>
      </c>
      <c r="D1635" s="883">
        <v>1.0083278278405909</v>
      </c>
      <c r="E1635" s="883">
        <v>1.005774903840855</v>
      </c>
      <c r="F1635" s="883">
        <v>1.0478052011392331</v>
      </c>
      <c r="G1635" s="883">
        <v>1.0261908872645469</v>
      </c>
      <c r="H1635" s="883">
        <v>1.0466316094182258</v>
      </c>
      <c r="I1635" s="883">
        <v>0.98082627532349231</v>
      </c>
      <c r="K1635">
        <v>1.6895383373221873</v>
      </c>
      <c r="L1635">
        <v>0</v>
      </c>
      <c r="M1635">
        <v>6.8388664791174053E-3</v>
      </c>
      <c r="N1635">
        <v>0.12859793653375404</v>
      </c>
      <c r="O1635">
        <v>3.1610147411570172E-2</v>
      </c>
      <c r="P1635">
        <v>1.9228511120870668E-2</v>
      </c>
      <c r="Q1635">
        <v>0</v>
      </c>
      <c r="R1635">
        <v>6.8388664791174053E-3</v>
      </c>
      <c r="S1635">
        <v>0.17278608170195611</v>
      </c>
      <c r="T1635">
        <v>1.2425369081640585</v>
      </c>
      <c r="U1635">
        <v>0</v>
      </c>
      <c r="V1635">
        <v>1.6008126942181507E-2</v>
      </c>
      <c r="W1635">
        <v>6.7491411681050925E-2</v>
      </c>
      <c r="X1635">
        <v>-1.688202112140421E-2</v>
      </c>
      <c r="Y1635">
        <v>2.8161234888150199E-2</v>
      </c>
    </row>
    <row r="1636" spans="1:25" x14ac:dyDescent="0.25">
      <c r="A1636" s="879"/>
      <c r="B1636" s="1133">
        <v>1386</v>
      </c>
      <c r="C1636" s="883">
        <v>1.0240471602447236</v>
      </c>
      <c r="D1636" s="883">
        <v>0.97592020317552242</v>
      </c>
      <c r="E1636" s="883">
        <v>0.97300051947719279</v>
      </c>
      <c r="F1636" s="883">
        <v>1.0184059428222985</v>
      </c>
      <c r="G1636" s="883">
        <v>1.0040361920467162</v>
      </c>
      <c r="H1636" s="883">
        <v>1.0074627033623389</v>
      </c>
      <c r="I1636" s="883">
        <v>0.99416694192328448</v>
      </c>
      <c r="K1636">
        <v>1.6280822711274572</v>
      </c>
      <c r="L1636">
        <v>0</v>
      </c>
      <c r="M1636">
        <v>6.5273256198603172E-3</v>
      </c>
      <c r="N1636">
        <v>0.11691804369552208</v>
      </c>
      <c r="O1636">
        <v>3.044003322840717E-2</v>
      </c>
      <c r="P1636">
        <v>1.8190403157167565E-2</v>
      </c>
      <c r="Q1636">
        <v>0</v>
      </c>
      <c r="R1636">
        <v>6.5273256198603172E-3</v>
      </c>
      <c r="S1636">
        <v>0.16442118010995704</v>
      </c>
      <c r="T1636">
        <v>1.2082957568417247</v>
      </c>
      <c r="U1636">
        <v>0</v>
      </c>
      <c r="V1636">
        <v>1.5725893970333134E-2</v>
      </c>
      <c r="W1636">
        <v>6.2372878091022252E-2</v>
      </c>
      <c r="X1636">
        <v>-1.5160283048612418E-2</v>
      </c>
      <c r="Y1636">
        <v>2.6878365081935286E-2</v>
      </c>
    </row>
    <row r="1637" spans="1:25" x14ac:dyDescent="0.25">
      <c r="A1637" s="879"/>
      <c r="B1637" s="1133">
        <v>1387</v>
      </c>
      <c r="C1637" s="883">
        <v>0.97478831572942415</v>
      </c>
      <c r="D1637" s="883">
        <v>1.0097792295437416</v>
      </c>
      <c r="E1637" s="883">
        <v>1.0059393905500018</v>
      </c>
      <c r="F1637" s="883">
        <v>0.99360348598124248</v>
      </c>
      <c r="G1637" s="883">
        <v>0.97369196867338115</v>
      </c>
      <c r="H1637" s="883">
        <v>1.0036233376403623</v>
      </c>
      <c r="I1637" s="883">
        <v>1.0121214883383423</v>
      </c>
      <c r="K1637">
        <v>1.6178157040813443</v>
      </c>
      <c r="L1637">
        <v>0</v>
      </c>
      <c r="M1637">
        <v>6.5372491352153009E-3</v>
      </c>
      <c r="N1637">
        <v>0.12295627463210568</v>
      </c>
      <c r="O1637">
        <v>3.15173414327223E-2</v>
      </c>
      <c r="P1637">
        <v>1.8400937909441452E-2</v>
      </c>
      <c r="Q1637">
        <v>0</v>
      </c>
      <c r="R1637">
        <v>6.5372491352153009E-3</v>
      </c>
      <c r="S1637">
        <v>0.17528440336161383</v>
      </c>
      <c r="T1637">
        <v>1.1782589204536198</v>
      </c>
      <c r="U1637">
        <v>0</v>
      </c>
      <c r="V1637">
        <v>1.5994911133537851E-2</v>
      </c>
      <c r="W1637">
        <v>6.4525267826078064E-2</v>
      </c>
      <c r="X1637">
        <v>-1.6041581019622188E-2</v>
      </c>
      <c r="Y1637">
        <v>2.6919228351847221E-2</v>
      </c>
    </row>
    <row r="1638" spans="1:25" x14ac:dyDescent="0.25">
      <c r="A1638" s="879"/>
      <c r="B1638" s="1133">
        <v>1388</v>
      </c>
      <c r="C1638" s="883">
        <v>0.99229898066123745</v>
      </c>
      <c r="D1638" s="883">
        <v>1.018865092501724</v>
      </c>
      <c r="E1638" s="883">
        <v>0.99195765462787222</v>
      </c>
      <c r="F1638" s="883">
        <v>0.97971117491689907</v>
      </c>
      <c r="G1638" s="883">
        <v>0.97195950837499778</v>
      </c>
      <c r="H1638" s="883">
        <v>0.9893257863989372</v>
      </c>
      <c r="I1638" s="883">
        <v>1.0136815494482385</v>
      </c>
      <c r="K1638">
        <v>1.5890061110623812</v>
      </c>
      <c r="L1638">
        <v>0</v>
      </c>
      <c r="M1638">
        <v>6.3826558783265054E-3</v>
      </c>
      <c r="N1638">
        <v>0.11758733573846357</v>
      </c>
      <c r="O1638">
        <v>3.0862293005153835E-2</v>
      </c>
      <c r="P1638">
        <v>1.7939675103750458E-2</v>
      </c>
      <c r="Q1638">
        <v>0</v>
      </c>
      <c r="R1638">
        <v>6.3826558783265054E-3</v>
      </c>
      <c r="S1638">
        <v>0.17151015668583286</v>
      </c>
      <c r="T1638">
        <v>1.1620394488533823</v>
      </c>
      <c r="U1638">
        <v>0</v>
      </c>
      <c r="V1638">
        <v>1.5896220526855902E-2</v>
      </c>
      <c r="W1638">
        <v>6.2137907644349892E-2</v>
      </c>
      <c r="X1638">
        <v>-1.5249567331960706E-2</v>
      </c>
      <c r="Y1638">
        <v>2.6282640836553121E-2</v>
      </c>
    </row>
    <row r="1639" spans="1:25" x14ac:dyDescent="0.25">
      <c r="A1639" s="879"/>
      <c r="B1639" s="1133">
        <v>1389</v>
      </c>
      <c r="C1639" s="883">
        <v>1.0256346065429611</v>
      </c>
      <c r="D1639" s="883">
        <v>0.99415051376615371</v>
      </c>
      <c r="E1639" s="883">
        <v>1.0353530905247943</v>
      </c>
      <c r="F1639" s="883">
        <v>0.99427726754439827</v>
      </c>
      <c r="G1639" s="883">
        <v>0.99182206956464625</v>
      </c>
      <c r="H1639" s="883">
        <v>1.0103832243824524</v>
      </c>
      <c r="I1639" s="883">
        <v>0.98404833135517311</v>
      </c>
      <c r="K1639">
        <v>1.5983504527268737</v>
      </c>
      <c r="L1639">
        <v>0</v>
      </c>
      <c r="M1639">
        <v>6.1385431167424219E-3</v>
      </c>
      <c r="N1639">
        <v>0.12059153733491146</v>
      </c>
      <c r="O1639">
        <v>3.0116151681102359E-2</v>
      </c>
      <c r="P1639">
        <v>1.8632568511257726E-2</v>
      </c>
      <c r="Q1639">
        <v>0</v>
      </c>
      <c r="R1639">
        <v>6.1385431167424219E-3</v>
      </c>
      <c r="S1639">
        <v>0.16253430104739749</v>
      </c>
      <c r="T1639">
        <v>1.1785170513297119</v>
      </c>
      <c r="U1639">
        <v>0</v>
      </c>
      <c r="V1639">
        <v>1.5717654250223256E-2</v>
      </c>
      <c r="W1639">
        <v>6.237421349423386E-2</v>
      </c>
      <c r="X1639">
        <v>-1.5410452856766609E-2</v>
      </c>
      <c r="Y1639">
        <v>2.5277427934801658E-2</v>
      </c>
    </row>
    <row r="1640" spans="1:25" x14ac:dyDescent="0.25">
      <c r="A1640" s="879"/>
      <c r="B1640" s="1133">
        <v>1390</v>
      </c>
      <c r="C1640" s="883">
        <v>0.98634231541098827</v>
      </c>
      <c r="D1640" s="883">
        <v>0.99180493544234605</v>
      </c>
      <c r="E1640" s="883">
        <v>1.036991107681307</v>
      </c>
      <c r="F1640" s="883">
        <v>1.0262891633962998</v>
      </c>
      <c r="G1640" s="883">
        <v>1.0356927354220922</v>
      </c>
      <c r="H1640" s="883">
        <v>0.99969125101863654</v>
      </c>
      <c r="I1640" s="883">
        <v>1.0235488747075883</v>
      </c>
      <c r="K1640">
        <v>1.6569964821127718</v>
      </c>
      <c r="L1640">
        <v>0</v>
      </c>
      <c r="M1640">
        <v>6.3131190913722577E-3</v>
      </c>
      <c r="N1640">
        <v>0.12432159855155264</v>
      </c>
      <c r="O1640">
        <v>3.1343880877519291E-2</v>
      </c>
      <c r="P1640">
        <v>1.9353157876762842E-2</v>
      </c>
      <c r="Q1640">
        <v>0</v>
      </c>
      <c r="R1640">
        <v>6.3131190913722577E-3</v>
      </c>
      <c r="S1640">
        <v>0.17517519809062232</v>
      </c>
      <c r="T1640">
        <v>1.2164297837885363</v>
      </c>
      <c r="U1640">
        <v>0</v>
      </c>
      <c r="V1640">
        <v>1.5929399200830995E-2</v>
      </c>
      <c r="W1640">
        <v>6.4252010315144187E-2</v>
      </c>
      <c r="X1640">
        <v>-1.5804847313158982E-2</v>
      </c>
      <c r="Y1640">
        <v>2.5996300724962205E-2</v>
      </c>
    </row>
    <row r="1641" spans="1:25" x14ac:dyDescent="0.25">
      <c r="A1641" s="879"/>
      <c r="B1641" s="1133">
        <v>1391</v>
      </c>
      <c r="C1641" s="883">
        <v>0.98624764893953654</v>
      </c>
      <c r="D1641" s="883">
        <v>0.99600554957615528</v>
      </c>
      <c r="E1641" s="883">
        <v>1.0077784894085569</v>
      </c>
      <c r="F1641" s="883">
        <v>1.0169577672322982</v>
      </c>
      <c r="G1641" s="883">
        <v>1.0320789933369292</v>
      </c>
      <c r="H1641" s="883">
        <v>0.99690056355881174</v>
      </c>
      <c r="I1641" s="883">
        <v>0.97938109716238553</v>
      </c>
      <c r="K1641">
        <v>1.6354772443444578</v>
      </c>
      <c r="L1641">
        <v>0</v>
      </c>
      <c r="M1641">
        <v>6.4470681249250731E-3</v>
      </c>
      <c r="N1641">
        <v>0.12159076567023464</v>
      </c>
      <c r="O1641">
        <v>3.1321115762547466E-2</v>
      </c>
      <c r="P1641">
        <v>1.8691324579075339E-2</v>
      </c>
      <c r="Q1641">
        <v>0</v>
      </c>
      <c r="R1641">
        <v>6.4470681249250731E-3</v>
      </c>
      <c r="S1641">
        <v>0.16739684079364273</v>
      </c>
      <c r="T1641">
        <v>1.2059187558190572</v>
      </c>
      <c r="U1641">
        <v>0</v>
      </c>
      <c r="V1641">
        <v>1.5929929729166466E-2</v>
      </c>
      <c r="W1641">
        <v>6.3750582325580354E-2</v>
      </c>
      <c r="X1641">
        <v>-1.566994933794073E-2</v>
      </c>
      <c r="Y1641">
        <v>2.6547879003093522E-2</v>
      </c>
    </row>
    <row r="1642" spans="1:25" x14ac:dyDescent="0.25">
      <c r="A1642" s="879"/>
      <c r="B1642" s="1133">
        <v>1392</v>
      </c>
      <c r="C1642" s="883">
        <v>1.0093601127809095</v>
      </c>
      <c r="D1642" s="883">
        <v>0.98701928459318888</v>
      </c>
      <c r="E1642" s="883">
        <v>0.96651756230750874</v>
      </c>
      <c r="F1642" s="883">
        <v>1.0037690946851865</v>
      </c>
      <c r="G1642" s="883">
        <v>1.0266593743861594</v>
      </c>
      <c r="H1642" s="883">
        <v>1.0117642546361862</v>
      </c>
      <c r="I1642" s="883">
        <v>0.99425048753777234</v>
      </c>
      <c r="K1642">
        <v>1.6156019130282067</v>
      </c>
      <c r="L1642">
        <v>0</v>
      </c>
      <c r="M1642">
        <v>6.6545364143037813E-3</v>
      </c>
      <c r="N1642">
        <v>0.11805477920004795</v>
      </c>
      <c r="O1642">
        <v>3.0748499521444976E-2</v>
      </c>
      <c r="P1642">
        <v>1.7908106797126403E-2</v>
      </c>
      <c r="Q1642">
        <v>0</v>
      </c>
      <c r="R1642">
        <v>6.6545364143037813E-3</v>
      </c>
      <c r="S1642">
        <v>0.16694858182140632</v>
      </c>
      <c r="T1642">
        <v>1.1910515514719486</v>
      </c>
      <c r="U1642">
        <v>0</v>
      </c>
      <c r="V1642">
        <v>1.5803356993664228E-2</v>
      </c>
      <c r="W1642">
        <v>6.3184927018970355E-2</v>
      </c>
      <c r="X1642">
        <v>-1.5500086287178494E-2</v>
      </c>
      <c r="Y1642">
        <v>2.7402196490776146E-2</v>
      </c>
    </row>
    <row r="1643" spans="1:25" x14ac:dyDescent="0.25">
      <c r="A1643" s="879"/>
      <c r="B1643" s="1133">
        <v>1393</v>
      </c>
      <c r="C1643" s="883">
        <v>0.9897779460012921</v>
      </c>
      <c r="D1643" s="883">
        <v>1.0245465037399619</v>
      </c>
      <c r="E1643" s="883">
        <v>1.002799469213087</v>
      </c>
      <c r="F1643" s="883">
        <v>0.99081772656085931</v>
      </c>
      <c r="G1643" s="883">
        <v>1.0204937481772816</v>
      </c>
      <c r="H1643" s="883">
        <v>0.97687021353011705</v>
      </c>
      <c r="I1643" s="883">
        <v>0.97081348747384477</v>
      </c>
      <c r="K1643">
        <v>1.5929365052110285</v>
      </c>
      <c r="L1643">
        <v>0</v>
      </c>
      <c r="M1643">
        <v>6.2433234026474721E-3</v>
      </c>
      <c r="N1643">
        <v>0.11688315409863473</v>
      </c>
      <c r="O1643">
        <v>3.0863005229197538E-2</v>
      </c>
      <c r="P1643">
        <v>1.8160353052403211E-2</v>
      </c>
      <c r="Q1643">
        <v>0</v>
      </c>
      <c r="R1643">
        <v>6.2433234026474721E-3</v>
      </c>
      <c r="S1643">
        <v>0.16393436396812511</v>
      </c>
      <c r="T1643">
        <v>1.1750132044954973</v>
      </c>
      <c r="U1643">
        <v>0</v>
      </c>
      <c r="V1643">
        <v>1.5910213968452758E-2</v>
      </c>
      <c r="W1643">
        <v>6.1433756100113791E-2</v>
      </c>
      <c r="X1643">
        <v>-1.4970440203358595E-2</v>
      </c>
      <c r="Y1643">
        <v>2.5708894501963012E-2</v>
      </c>
    </row>
    <row r="1644" spans="1:25" x14ac:dyDescent="0.25">
      <c r="A1644" s="879"/>
      <c r="B1644" s="1133">
        <v>1394</v>
      </c>
      <c r="C1644" s="883">
        <v>0.99865229722598969</v>
      </c>
      <c r="D1644" s="883">
        <v>0.98934507828684692</v>
      </c>
      <c r="E1644" s="883">
        <v>0.97559791695698483</v>
      </c>
      <c r="F1644" s="883">
        <v>1.0089159314778824</v>
      </c>
      <c r="G1644" s="883">
        <v>1.0105589717781565</v>
      </c>
      <c r="H1644" s="883">
        <v>0.98507062148514513</v>
      </c>
      <c r="I1644" s="883">
        <v>0.97394708080272063</v>
      </c>
      <c r="K1644">
        <v>1.6162219351452223</v>
      </c>
      <c r="L1644">
        <v>0</v>
      </c>
      <c r="M1644">
        <v>6.4900411510001232E-3</v>
      </c>
      <c r="N1644">
        <v>0.11669924957091377</v>
      </c>
      <c r="O1644">
        <v>3.1041952152752093E-2</v>
      </c>
      <c r="P1644">
        <v>1.8071762376156729E-2</v>
      </c>
      <c r="Q1644">
        <v>0</v>
      </c>
      <c r="R1644">
        <v>6.4900411510001232E-3</v>
      </c>
      <c r="S1644">
        <v>0.16376151066241917</v>
      </c>
      <c r="T1644">
        <v>1.1969872607960197</v>
      </c>
      <c r="U1644">
        <v>0</v>
      </c>
      <c r="V1644">
        <v>1.586126871565852E-2</v>
      </c>
      <c r="W1644">
        <v>6.2175054005205697E-2</v>
      </c>
      <c r="X1644">
        <v>-1.5100957409460481E-2</v>
      </c>
      <c r="Y1644">
        <v>2.6724834275557077E-2</v>
      </c>
    </row>
    <row r="1645" spans="1:25" x14ac:dyDescent="0.25">
      <c r="A1645" s="879"/>
      <c r="B1645" s="1133">
        <v>1395</v>
      </c>
      <c r="C1645" s="883">
        <v>0.96571363416699851</v>
      </c>
      <c r="D1645" s="883">
        <v>0.97555641354542999</v>
      </c>
      <c r="E1645" s="883">
        <v>1.0208018253904598</v>
      </c>
      <c r="F1645" s="883">
        <v>0.96593313965394723</v>
      </c>
      <c r="G1645" s="883">
        <v>0.95803084540584793</v>
      </c>
      <c r="H1645" s="883">
        <v>1.043376024299181</v>
      </c>
      <c r="I1645" s="883">
        <v>1.0228531345427276</v>
      </c>
      <c r="K1645">
        <v>1.6049841172479011</v>
      </c>
      <c r="L1645">
        <v>0</v>
      </c>
      <c r="M1645">
        <v>6.876417396769626E-3</v>
      </c>
      <c r="N1645">
        <v>0.13221201038708949</v>
      </c>
      <c r="O1645">
        <v>3.2241471541709435E-2</v>
      </c>
      <c r="P1645">
        <v>1.824527388641263E-2</v>
      </c>
      <c r="Q1645">
        <v>0</v>
      </c>
      <c r="R1645">
        <v>6.876417396769626E-3</v>
      </c>
      <c r="S1645">
        <v>0.18167284734024486</v>
      </c>
      <c r="T1645">
        <v>1.1451802339650998</v>
      </c>
      <c r="U1645">
        <v>0</v>
      </c>
      <c r="V1645">
        <v>1.6047464284140129E-2</v>
      </c>
      <c r="W1645">
        <v>6.887504178792192E-2</v>
      </c>
      <c r="X1645">
        <v>-1.7806088827946143E-2</v>
      </c>
      <c r="Y1645">
        <v>2.8315862883227867E-2</v>
      </c>
    </row>
    <row r="1646" spans="1:25" x14ac:dyDescent="0.25">
      <c r="A1646" s="879"/>
      <c r="B1646" s="1133">
        <v>1396</v>
      </c>
      <c r="C1646" s="883">
        <v>0.98324279135566406</v>
      </c>
      <c r="D1646" s="883">
        <v>1.0095133037722039</v>
      </c>
      <c r="E1646" s="883">
        <v>0.97027239588364633</v>
      </c>
      <c r="F1646" s="883">
        <v>1.0057086439446119</v>
      </c>
      <c r="G1646" s="883">
        <v>1.0067031004436537</v>
      </c>
      <c r="H1646" s="883">
        <v>1.0114317212517241</v>
      </c>
      <c r="I1646" s="883">
        <v>0.97414098718505004</v>
      </c>
      <c r="K1646">
        <v>1.622514200727617</v>
      </c>
      <c r="L1646">
        <v>0</v>
      </c>
      <c r="M1646">
        <v>6.7386866400567704E-3</v>
      </c>
      <c r="N1646">
        <v>0.12021607792755123</v>
      </c>
      <c r="O1646">
        <v>3.1279130516328003E-2</v>
      </c>
      <c r="P1646">
        <v>1.800104685661879E-2</v>
      </c>
      <c r="Q1646">
        <v>0</v>
      </c>
      <c r="R1646">
        <v>6.7386866400567704E-3</v>
      </c>
      <c r="S1646">
        <v>0.16766736706396046</v>
      </c>
      <c r="T1646">
        <v>1.1932822778684335</v>
      </c>
      <c r="U1646">
        <v>0</v>
      </c>
      <c r="V1646">
        <v>1.594682258914552E-2</v>
      </c>
      <c r="W1646">
        <v>6.4220262570586911E-2</v>
      </c>
      <c r="X1646">
        <v>-1.5847496807252844E-2</v>
      </c>
      <c r="Y1646">
        <v>2.7748712142245141E-2</v>
      </c>
    </row>
    <row r="1647" spans="1:25" x14ac:dyDescent="0.25">
      <c r="A1647" s="879"/>
      <c r="B1647" s="1133">
        <v>1397</v>
      </c>
      <c r="C1647" s="883">
        <v>0.98399800942199744</v>
      </c>
      <c r="D1647" s="883">
        <v>0.97706451897552826</v>
      </c>
      <c r="E1647" s="883">
        <v>1.0089682946478804</v>
      </c>
      <c r="F1647" s="883">
        <v>1.0032517566941213</v>
      </c>
      <c r="G1647" s="883">
        <v>1.0254882482614645</v>
      </c>
      <c r="H1647" s="883">
        <v>0.99454692022156421</v>
      </c>
      <c r="I1647" s="883">
        <v>1.0168793828411333</v>
      </c>
      <c r="K1647">
        <v>1.6279303332087796</v>
      </c>
      <c r="L1647">
        <v>0</v>
      </c>
      <c r="M1647">
        <v>6.4952797737192055E-3</v>
      </c>
      <c r="N1647">
        <v>0.12271601434897503</v>
      </c>
      <c r="O1647">
        <v>3.1633680868742665E-2</v>
      </c>
      <c r="P1647">
        <v>1.8581799052169418E-2</v>
      </c>
      <c r="Q1647">
        <v>0</v>
      </c>
      <c r="R1647">
        <v>6.4952797737192055E-3</v>
      </c>
      <c r="S1647">
        <v>0.17426740076388794</v>
      </c>
      <c r="T1647">
        <v>1.189643889780216</v>
      </c>
      <c r="U1647">
        <v>0</v>
      </c>
      <c r="V1647">
        <v>1.5942567159442294E-2</v>
      </c>
      <c r="W1647">
        <v>6.430267755371355E-2</v>
      </c>
      <c r="X1647">
        <v>-1.5904102309842811E-2</v>
      </c>
      <c r="Y1647">
        <v>2.6746405991474168E-2</v>
      </c>
    </row>
    <row r="1648" spans="1:25" x14ac:dyDescent="0.25">
      <c r="A1648" s="879"/>
      <c r="B1648" s="1133">
        <v>1398</v>
      </c>
      <c r="C1648" s="883">
        <v>0.97667123176688686</v>
      </c>
      <c r="D1648" s="883">
        <v>0.9641191151656221</v>
      </c>
      <c r="E1648" s="883">
        <v>0.96173802858038215</v>
      </c>
      <c r="F1648" s="883">
        <v>0.97085494538777573</v>
      </c>
      <c r="G1648" s="883">
        <v>1.0085371166069035</v>
      </c>
      <c r="H1648" s="883">
        <v>0.99546162100290259</v>
      </c>
      <c r="I1648" s="883">
        <v>0.98289059199004547</v>
      </c>
      <c r="K1648">
        <v>1.585287224295554</v>
      </c>
      <c r="L1648">
        <v>0</v>
      </c>
      <c r="M1648">
        <v>6.8662671412015683E-3</v>
      </c>
      <c r="N1648">
        <v>0.12094923398497746</v>
      </c>
      <c r="O1648">
        <v>3.2081139172100419E-2</v>
      </c>
      <c r="P1648">
        <v>1.7375428335561501E-2</v>
      </c>
      <c r="Q1648">
        <v>0</v>
      </c>
      <c r="R1648">
        <v>6.8662671412015683E-3</v>
      </c>
      <c r="S1648">
        <v>0.16985153012182447</v>
      </c>
      <c r="T1648">
        <v>1.1520832695833469</v>
      </c>
      <c r="U1648">
        <v>0</v>
      </c>
      <c r="V1648">
        <v>1.598412915941903E-2</v>
      </c>
      <c r="W1648">
        <v>6.4890204173249005E-2</v>
      </c>
      <c r="X1648">
        <v>-1.6201776172401983E-2</v>
      </c>
      <c r="Y1648">
        <v>2.8274065937476743E-2</v>
      </c>
    </row>
    <row r="1649" spans="1:25" x14ac:dyDescent="0.25">
      <c r="A1649" s="879"/>
      <c r="B1649" s="1133">
        <v>1399</v>
      </c>
      <c r="C1649" s="883">
        <v>1.031405932338239</v>
      </c>
      <c r="D1649" s="883">
        <v>0.99166923678589913</v>
      </c>
      <c r="E1649" s="883">
        <v>0.98221311602068362</v>
      </c>
      <c r="F1649" s="883">
        <v>0.98856157911691023</v>
      </c>
      <c r="G1649" s="883">
        <v>0.97302048133829178</v>
      </c>
      <c r="H1649" s="883">
        <v>1.0330356347136849</v>
      </c>
      <c r="I1649" s="883">
        <v>0.99647382183148336</v>
      </c>
      <c r="K1649">
        <v>1.5944628660910447</v>
      </c>
      <c r="L1649">
        <v>0</v>
      </c>
      <c r="M1649">
        <v>6.5451768216046383E-3</v>
      </c>
      <c r="N1649">
        <v>0.1188515559384876</v>
      </c>
      <c r="O1649">
        <v>3.0022898141433701E-2</v>
      </c>
      <c r="P1649">
        <v>1.7857018371922533E-2</v>
      </c>
      <c r="Q1649">
        <v>0</v>
      </c>
      <c r="R1649">
        <v>6.5451768216046383E-3</v>
      </c>
      <c r="S1649">
        <v>0.16490914972434434</v>
      </c>
      <c r="T1649">
        <v>1.1727165266694544</v>
      </c>
      <c r="U1649">
        <v>0</v>
      </c>
      <c r="V1649">
        <v>1.568791162210615E-2</v>
      </c>
      <c r="W1649">
        <v>6.3112273274280484E-2</v>
      </c>
      <c r="X1649">
        <v>-1.5646340804307789E-2</v>
      </c>
      <c r="Y1649">
        <v>2.6951873153322946E-2</v>
      </c>
    </row>
    <row r="1650" spans="1:25" x14ac:dyDescent="0.25">
      <c r="A1650" s="879"/>
      <c r="B1650" s="1133">
        <v>1400</v>
      </c>
      <c r="C1650" s="883">
        <v>1.0430152974782985</v>
      </c>
      <c r="D1650" s="883">
        <v>1.0419566138788605</v>
      </c>
      <c r="E1650" s="883">
        <v>1.0298089649627775</v>
      </c>
      <c r="F1650" s="883">
        <v>1.0176295607178649</v>
      </c>
      <c r="G1650" s="883">
        <v>1.0113815317780961</v>
      </c>
      <c r="H1650" s="883">
        <v>1.0100128805035862</v>
      </c>
      <c r="I1650" s="883">
        <v>0.9647627579181941</v>
      </c>
      <c r="K1650">
        <v>1.611762077973071</v>
      </c>
      <c r="L1650">
        <v>0</v>
      </c>
      <c r="M1650">
        <v>5.9378584848891035E-3</v>
      </c>
      <c r="N1650">
        <v>0.11569720460763425</v>
      </c>
      <c r="O1650">
        <v>2.9068077159478903E-2</v>
      </c>
      <c r="P1650">
        <v>1.8848949391988373E-2</v>
      </c>
      <c r="Q1650">
        <v>0</v>
      </c>
      <c r="R1650">
        <v>5.9378584848891035E-3</v>
      </c>
      <c r="S1650">
        <v>0.15622959647316711</v>
      </c>
      <c r="T1650">
        <v>1.206300572382593</v>
      </c>
      <c r="U1650">
        <v>0</v>
      </c>
      <c r="V1650">
        <v>1.562907954132884E-2</v>
      </c>
      <c r="W1650">
        <v>6.0005505470199678E-2</v>
      </c>
      <c r="X1650">
        <v>-1.4467951394682158E-2</v>
      </c>
      <c r="Y1650">
        <v>2.4451044341362551E-2</v>
      </c>
    </row>
    <row r="1651" spans="1:25" x14ac:dyDescent="0.25">
      <c r="A1651" s="879"/>
      <c r="B1651" s="1133">
        <v>1401</v>
      </c>
      <c r="C1651" s="883">
        <v>0.98111903411994539</v>
      </c>
      <c r="D1651" s="883">
        <v>0.98352308802730026</v>
      </c>
      <c r="E1651" s="883">
        <v>1.0000481675556048</v>
      </c>
      <c r="F1651" s="883">
        <v>1.0144380364008341</v>
      </c>
      <c r="G1651" s="883">
        <v>1.0002756838327829</v>
      </c>
      <c r="H1651" s="883">
        <v>0.9908556689565039</v>
      </c>
      <c r="I1651" s="883">
        <v>1.0224919005773723</v>
      </c>
      <c r="K1651">
        <v>1.6415233387980959</v>
      </c>
      <c r="L1651">
        <v>0</v>
      </c>
      <c r="M1651">
        <v>6.521741806013226E-3</v>
      </c>
      <c r="N1651">
        <v>0.12159891313762555</v>
      </c>
      <c r="O1651">
        <v>3.1650915672868506E-2</v>
      </c>
      <c r="P1651">
        <v>1.8652626357478393E-2</v>
      </c>
      <c r="Q1651">
        <v>0</v>
      </c>
      <c r="R1651">
        <v>6.521741806013226E-3</v>
      </c>
      <c r="S1651">
        <v>0.17543737822193481</v>
      </c>
      <c r="T1651">
        <v>1.2030764430776875</v>
      </c>
      <c r="U1651">
        <v>0</v>
      </c>
      <c r="V1651">
        <v>1.5958824445931587E-2</v>
      </c>
      <c r="W1651">
        <v>6.3999695857149611E-2</v>
      </c>
      <c r="X1651">
        <v>-1.5706829902975346E-2</v>
      </c>
      <c r="Y1651">
        <v>2.6855371930394778E-2</v>
      </c>
    </row>
    <row r="1652" spans="1:25" x14ac:dyDescent="0.25">
      <c r="A1652" s="879"/>
      <c r="B1652" s="1133">
        <v>1402</v>
      </c>
      <c r="C1652" s="883">
        <v>1.0336997772850141</v>
      </c>
      <c r="D1652" s="883">
        <v>0.98447203694016783</v>
      </c>
      <c r="E1652" s="883">
        <v>1.003320209711454</v>
      </c>
      <c r="F1652" s="883">
        <v>1.0008143336379867</v>
      </c>
      <c r="G1652" s="883">
        <v>1.0093253258629471</v>
      </c>
      <c r="H1652" s="883">
        <v>0.99344046386328266</v>
      </c>
      <c r="I1652" s="883">
        <v>0.99528307496237278</v>
      </c>
      <c r="K1652">
        <v>1.6005680798724342</v>
      </c>
      <c r="L1652">
        <v>0</v>
      </c>
      <c r="M1652">
        <v>6.1857697498943816E-3</v>
      </c>
      <c r="N1652">
        <v>0.11589502919437894</v>
      </c>
      <c r="O1652">
        <v>3.0026629604168291E-2</v>
      </c>
      <c r="P1652">
        <v>1.8300151558456802E-2</v>
      </c>
      <c r="Q1652">
        <v>0</v>
      </c>
      <c r="R1652">
        <v>6.1857697498943816E-3</v>
      </c>
      <c r="S1652">
        <v>0.16222169418267049</v>
      </c>
      <c r="T1652">
        <v>1.186858526704337</v>
      </c>
      <c r="U1652">
        <v>0</v>
      </c>
      <c r="V1652">
        <v>1.5676182485307482E-2</v>
      </c>
      <c r="W1652">
        <v>6.0898666096223714E-2</v>
      </c>
      <c r="X1652">
        <v>-1.4780698757204237E-2</v>
      </c>
      <c r="Y1652">
        <v>2.5471898804094097E-2</v>
      </c>
    </row>
    <row r="1653" spans="1:25" x14ac:dyDescent="0.25">
      <c r="A1653" s="879"/>
      <c r="B1653" s="1133">
        <v>1403</v>
      </c>
      <c r="C1653" s="883">
        <v>1.0083537616121936</v>
      </c>
      <c r="D1653" s="883">
        <v>1.0166615468258073</v>
      </c>
      <c r="E1653" s="883">
        <v>1.0123962742591888</v>
      </c>
      <c r="F1653" s="883">
        <v>1.0445309337032032</v>
      </c>
      <c r="G1653" s="883">
        <v>1.0452967887336904</v>
      </c>
      <c r="H1653" s="883">
        <v>0.98535750472342643</v>
      </c>
      <c r="I1653" s="883">
        <v>1.0015270460584524</v>
      </c>
      <c r="K1653">
        <v>1.6591228534463125</v>
      </c>
      <c r="L1653">
        <v>0</v>
      </c>
      <c r="M1653">
        <v>6.1510407917794484E-3</v>
      </c>
      <c r="N1653">
        <v>0.11680348531759414</v>
      </c>
      <c r="O1653">
        <v>3.0379957205053675E-2</v>
      </c>
      <c r="P1653">
        <v>1.9183586422456635E-2</v>
      </c>
      <c r="Q1653">
        <v>0</v>
      </c>
      <c r="R1653">
        <v>6.1510407917794484E-3</v>
      </c>
      <c r="S1653">
        <v>0.16657108923150007</v>
      </c>
      <c r="T1653">
        <v>1.2385258636617131</v>
      </c>
      <c r="U1653">
        <v>0</v>
      </c>
      <c r="V1653">
        <v>1.5808747338324106E-2</v>
      </c>
      <c r="W1653">
        <v>6.1100880991314575E-2</v>
      </c>
      <c r="X1653">
        <v>-1.4579647857744377E-2</v>
      </c>
      <c r="Y1653">
        <v>2.5328891136100894E-2</v>
      </c>
    </row>
    <row r="1654" spans="1:25" x14ac:dyDescent="0.25">
      <c r="A1654" s="879"/>
      <c r="B1654" s="1133">
        <v>1404</v>
      </c>
      <c r="C1654" s="883">
        <v>1.0201640249537873</v>
      </c>
      <c r="D1654" s="883">
        <v>0.97752852450170147</v>
      </c>
      <c r="E1654" s="883">
        <v>1.0259065746579414</v>
      </c>
      <c r="F1654" s="883">
        <v>0.96342508092077794</v>
      </c>
      <c r="G1654" s="883">
        <v>0.96904921617134565</v>
      </c>
      <c r="H1654" s="883">
        <v>1.0004712762740495</v>
      </c>
      <c r="I1654" s="883">
        <v>0.99027337758346756</v>
      </c>
      <c r="K1654">
        <v>1.5631677608143868</v>
      </c>
      <c r="L1654">
        <v>0</v>
      </c>
      <c r="M1654">
        <v>6.2082768005517061E-3</v>
      </c>
      <c r="N1654">
        <v>0.12027032111551078</v>
      </c>
      <c r="O1654">
        <v>3.0491326129480033E-2</v>
      </c>
      <c r="P1654">
        <v>1.8027815014485356E-2</v>
      </c>
      <c r="Q1654">
        <v>0</v>
      </c>
      <c r="R1654">
        <v>6.2082768005517061E-3</v>
      </c>
      <c r="S1654">
        <v>0.16404121922842824</v>
      </c>
      <c r="T1654">
        <v>1.1421158611838482</v>
      </c>
      <c r="U1654">
        <v>0</v>
      </c>
      <c r="V1654">
        <v>1.574615766350335E-2</v>
      </c>
      <c r="W1654">
        <v>6.2496956656035621E-2</v>
      </c>
      <c r="X1654">
        <v>-1.5586475009498588E-2</v>
      </c>
      <c r="Y1654">
        <v>2.5564578832595275E-2</v>
      </c>
    </row>
    <row r="1655" spans="1:25" x14ac:dyDescent="0.25">
      <c r="A1655" s="879"/>
      <c r="B1655" s="1133">
        <v>1405</v>
      </c>
      <c r="C1655" s="883">
        <v>1.0289245814356618</v>
      </c>
      <c r="D1655" s="883">
        <v>1.000848821564867</v>
      </c>
      <c r="E1655" s="883">
        <v>0.97718399944592593</v>
      </c>
      <c r="F1655" s="883">
        <v>0.97537164061787607</v>
      </c>
      <c r="G1655" s="883">
        <v>1.0274108708117875</v>
      </c>
      <c r="H1655" s="883">
        <v>1.0320482890654239</v>
      </c>
      <c r="I1655" s="883">
        <v>1.0347813817487248</v>
      </c>
      <c r="K1655">
        <v>1.5844927301092468</v>
      </c>
      <c r="L1655">
        <v>0</v>
      </c>
      <c r="M1655">
        <v>6.5564783524033297E-3</v>
      </c>
      <c r="N1655">
        <v>0.11817170903937094</v>
      </c>
      <c r="O1655">
        <v>2.9988452813957484E-2</v>
      </c>
      <c r="P1655">
        <v>1.7670340602576388E-2</v>
      </c>
      <c r="Q1655">
        <v>0</v>
      </c>
      <c r="R1655">
        <v>6.5564783524033297E-3</v>
      </c>
      <c r="S1655">
        <v>0.17149599262233214</v>
      </c>
      <c r="T1655">
        <v>1.1571610905442145</v>
      </c>
      <c r="U1655">
        <v>0</v>
      </c>
      <c r="V1655">
        <v>1.5700658418767555E-2</v>
      </c>
      <c r="W1655">
        <v>6.2909496980597154E-2</v>
      </c>
      <c r="X1655">
        <v>-1.5603421758124609E-2</v>
      </c>
      <c r="Y1655">
        <v>2.699841084555446E-2</v>
      </c>
    </row>
    <row r="1656" spans="1:25" x14ac:dyDescent="0.25">
      <c r="A1656" s="879"/>
      <c r="B1656" s="1133">
        <v>1406</v>
      </c>
      <c r="C1656" s="883">
        <v>0.95838210764758025</v>
      </c>
      <c r="D1656" s="883">
        <v>1.0060674157188072</v>
      </c>
      <c r="E1656" s="883">
        <v>1.0074151866093994</v>
      </c>
      <c r="F1656" s="883">
        <v>0.96568760110551644</v>
      </c>
      <c r="G1656" s="883">
        <v>1.0180510049887401</v>
      </c>
      <c r="H1656" s="883">
        <v>0.96657991763028928</v>
      </c>
      <c r="I1656" s="883">
        <v>0.99893657815734704</v>
      </c>
      <c r="K1656">
        <v>1.5797990211719046</v>
      </c>
      <c r="L1656">
        <v>0</v>
      </c>
      <c r="M1656">
        <v>6.4059924305417473E-3</v>
      </c>
      <c r="N1656">
        <v>0.12075111170383634</v>
      </c>
      <c r="O1656">
        <v>3.2102794784067482E-2</v>
      </c>
      <c r="P1656">
        <v>1.7956786484802749E-2</v>
      </c>
      <c r="Q1656">
        <v>0</v>
      </c>
      <c r="R1656">
        <v>6.4059924305417473E-3</v>
      </c>
      <c r="S1656">
        <v>0.17377034225220073</v>
      </c>
      <c r="T1656">
        <v>1.1451285854830087</v>
      </c>
      <c r="U1656">
        <v>0</v>
      </c>
      <c r="V1656">
        <v>1.6090649330561244E-2</v>
      </c>
      <c r="W1656">
        <v>6.3321736609951898E-2</v>
      </c>
      <c r="X1656">
        <v>-1.5701722081348592E-2</v>
      </c>
      <c r="Y1656">
        <v>2.6378736604824031E-2</v>
      </c>
    </row>
    <row r="1657" spans="1:25" x14ac:dyDescent="0.25">
      <c r="A1657" s="879"/>
      <c r="B1657" s="1133">
        <v>1407</v>
      </c>
      <c r="C1657" s="883">
        <v>0.97086168660344263</v>
      </c>
      <c r="D1657" s="883">
        <v>1.0377192622514539</v>
      </c>
      <c r="E1657" s="883">
        <v>1.0031514685814116</v>
      </c>
      <c r="F1657" s="883">
        <v>0.98765146613527155</v>
      </c>
      <c r="G1657" s="883">
        <v>1.0093769837024935</v>
      </c>
      <c r="H1657" s="883">
        <v>0.96116141379165609</v>
      </c>
      <c r="I1657" s="883">
        <v>0.99262126828689945</v>
      </c>
      <c r="K1657">
        <v>1.5952646541450659</v>
      </c>
      <c r="L1657">
        <v>0</v>
      </c>
      <c r="M1657">
        <v>6.2251769347211649E-3</v>
      </c>
      <c r="N1657">
        <v>0.11660420614063663</v>
      </c>
      <c r="O1657">
        <v>3.1303656920431036E-2</v>
      </c>
      <c r="P1657">
        <v>1.8195648978926275E-2</v>
      </c>
      <c r="Q1657">
        <v>0</v>
      </c>
      <c r="R1657">
        <v>6.2251769347211649E-3</v>
      </c>
      <c r="S1657">
        <v>0.16984956902672677</v>
      </c>
      <c r="T1657">
        <v>1.1712518717186198</v>
      </c>
      <c r="U1657">
        <v>0</v>
      </c>
      <c r="V1657">
        <v>1.6017530385952786E-2</v>
      </c>
      <c r="W1657">
        <v>6.1276441176911882E-2</v>
      </c>
      <c r="X1657">
        <v>-1.4868440780133279E-2</v>
      </c>
      <c r="Y1657">
        <v>2.5634170576993361E-2</v>
      </c>
    </row>
    <row r="1658" spans="1:25" x14ac:dyDescent="0.25">
      <c r="A1658" s="879"/>
      <c r="B1658" s="1133">
        <v>1408</v>
      </c>
      <c r="C1658" s="883">
        <v>1.0008324445529886</v>
      </c>
      <c r="D1658" s="883">
        <v>0.98368624874625132</v>
      </c>
      <c r="E1658" s="883">
        <v>0.9941137831846083</v>
      </c>
      <c r="F1658" s="883">
        <v>1.0181596877541752</v>
      </c>
      <c r="G1658" s="883">
        <v>1.0163571439544294</v>
      </c>
      <c r="H1658" s="883">
        <v>0.99865496966436296</v>
      </c>
      <c r="I1658" s="883">
        <v>1.0002855844403806</v>
      </c>
      <c r="K1658">
        <v>1.6358265033611532</v>
      </c>
      <c r="L1658">
        <v>0</v>
      </c>
      <c r="M1658">
        <v>6.4766067860903102E-3</v>
      </c>
      <c r="N1658">
        <v>0.11970012897808309</v>
      </c>
      <c r="O1658">
        <v>3.1030458208421329E-2</v>
      </c>
      <c r="P1658">
        <v>1.853756182707169E-2</v>
      </c>
      <c r="Q1658">
        <v>0</v>
      </c>
      <c r="R1658">
        <v>6.4766067860903102E-3</v>
      </c>
      <c r="S1658">
        <v>0.16869390821113298</v>
      </c>
      <c r="T1658">
        <v>1.2076025210385706</v>
      </c>
      <c r="U1658">
        <v>0</v>
      </c>
      <c r="V1658">
        <v>1.5849377227637986E-2</v>
      </c>
      <c r="W1658">
        <v>6.318650333629576E-2</v>
      </c>
      <c r="X1658">
        <v>-1.5443469418147256E-2</v>
      </c>
      <c r="Y1658">
        <v>2.6669513952086273E-2</v>
      </c>
    </row>
    <row r="1659" spans="1:25" x14ac:dyDescent="0.25">
      <c r="A1659" s="879"/>
      <c r="B1659" s="1133">
        <v>1409</v>
      </c>
      <c r="C1659" s="883">
        <v>0.99240215675938448</v>
      </c>
      <c r="D1659" s="883">
        <v>0.97943819593743886</v>
      </c>
      <c r="E1659" s="883">
        <v>0.98200726291476681</v>
      </c>
      <c r="F1659" s="883">
        <v>1.0095039194361262</v>
      </c>
      <c r="G1659" s="883">
        <v>0.99885647411702549</v>
      </c>
      <c r="H1659" s="883">
        <v>1.0008662317961623</v>
      </c>
      <c r="I1659" s="883">
        <v>1.0051385474850043</v>
      </c>
      <c r="K1659">
        <v>1.6300149443276528</v>
      </c>
      <c r="L1659">
        <v>0</v>
      </c>
      <c r="M1659">
        <v>6.6283901600057609E-3</v>
      </c>
      <c r="N1659">
        <v>0.12032584779839503</v>
      </c>
      <c r="O1659">
        <v>3.1358319351211E-2</v>
      </c>
      <c r="P1659">
        <v>1.8266686621119004E-2</v>
      </c>
      <c r="Q1659">
        <v>0</v>
      </c>
      <c r="R1659">
        <v>6.6283901600057609E-3</v>
      </c>
      <c r="S1659">
        <v>0.1711161279767599</v>
      </c>
      <c r="T1659">
        <v>1.1975640052528624</v>
      </c>
      <c r="U1659">
        <v>0</v>
      </c>
      <c r="V1659">
        <v>1.5895649344351552E-2</v>
      </c>
      <c r="W1659">
        <v>6.3901728769439975E-2</v>
      </c>
      <c r="X1659">
        <v>-1.5707951655922044E-2</v>
      </c>
      <c r="Y1659">
        <v>2.7294530869436673E-2</v>
      </c>
    </row>
    <row r="1660" spans="1:25" x14ac:dyDescent="0.25">
      <c r="A1660" s="879"/>
      <c r="B1660" s="1133">
        <v>1410</v>
      </c>
      <c r="C1660" s="883">
        <v>0.99560173511967376</v>
      </c>
      <c r="D1660" s="883">
        <v>1.0189553814846246</v>
      </c>
      <c r="E1660" s="883">
        <v>1.0363250404232949</v>
      </c>
      <c r="F1660" s="883">
        <v>1.0065690420602709</v>
      </c>
      <c r="G1660" s="883">
        <v>1.0205932398288466</v>
      </c>
      <c r="H1660" s="883">
        <v>0.98657586527221652</v>
      </c>
      <c r="I1660" s="883">
        <v>0.9913132806348246</v>
      </c>
      <c r="K1660">
        <v>1.6177156314192853</v>
      </c>
      <c r="L1660">
        <v>0</v>
      </c>
      <c r="M1660">
        <v>6.102029597442344E-3</v>
      </c>
      <c r="N1660">
        <v>0.12004650674031117</v>
      </c>
      <c r="O1660">
        <v>3.0719362681631172E-2</v>
      </c>
      <c r="P1660">
        <v>1.891028455441229E-2</v>
      </c>
      <c r="Q1660">
        <v>0</v>
      </c>
      <c r="R1660">
        <v>6.102029597442344E-3</v>
      </c>
      <c r="S1660">
        <v>0.16705818620632537</v>
      </c>
      <c r="T1660">
        <v>1.1930684666834392</v>
      </c>
      <c r="U1660">
        <v>0</v>
      </c>
      <c r="V1660">
        <v>1.587799524982644E-2</v>
      </c>
      <c r="W1660">
        <v>6.2062774693053102E-2</v>
      </c>
      <c r="X1660">
        <v>-1.5155017151202892E-2</v>
      </c>
      <c r="Y1660">
        <v>2.5127071761488096E-2</v>
      </c>
    </row>
    <row r="1661" spans="1:25" x14ac:dyDescent="0.25">
      <c r="A1661" s="879"/>
      <c r="B1661" s="1133">
        <v>1411</v>
      </c>
      <c r="C1661" s="883">
        <v>1.012997186936115</v>
      </c>
      <c r="D1661" s="883">
        <v>1.0302305537102729</v>
      </c>
      <c r="E1661" s="883">
        <v>1.0015184061324065</v>
      </c>
      <c r="F1661" s="883">
        <v>1.001200503163296</v>
      </c>
      <c r="G1661" s="883">
        <v>0.97295397776520365</v>
      </c>
      <c r="H1661" s="883">
        <v>1.0083928974382892</v>
      </c>
      <c r="I1661" s="883">
        <v>0.99841537395276225</v>
      </c>
      <c r="K1661">
        <v>1.6081294805064195</v>
      </c>
      <c r="L1661">
        <v>0</v>
      </c>
      <c r="M1661">
        <v>6.2886051770016478E-3</v>
      </c>
      <c r="N1661">
        <v>0.11750769744055982</v>
      </c>
      <c r="O1661">
        <v>3.0089994647936463E-2</v>
      </c>
      <c r="P1661">
        <v>1.8340075637766035E-2</v>
      </c>
      <c r="Q1661">
        <v>0</v>
      </c>
      <c r="R1661">
        <v>6.2886051770016478E-3</v>
      </c>
      <c r="S1661">
        <v>0.16645762965539482</v>
      </c>
      <c r="T1661">
        <v>1.1873499903709916</v>
      </c>
      <c r="U1661">
        <v>0</v>
      </c>
      <c r="V1661">
        <v>1.5783964939348218E-2</v>
      </c>
      <c r="W1661">
        <v>6.1801287938944627E-2</v>
      </c>
      <c r="X1661">
        <v>-1.5096516913421357E-2</v>
      </c>
      <c r="Y1661">
        <v>2.5895356788898136E-2</v>
      </c>
    </row>
    <row r="1662" spans="1:25" x14ac:dyDescent="0.25">
      <c r="A1662" s="879"/>
      <c r="B1662" s="1133">
        <v>1412</v>
      </c>
      <c r="C1662" s="883">
        <v>0.99935782533603656</v>
      </c>
      <c r="D1662" s="883">
        <v>1.0088551667488153</v>
      </c>
      <c r="E1662" s="883">
        <v>1.0113189421729998</v>
      </c>
      <c r="F1662" s="883">
        <v>1.0010738731239401</v>
      </c>
      <c r="G1662" s="883">
        <v>0.99590775343220872</v>
      </c>
      <c r="H1662" s="883">
        <v>0.99473845300042341</v>
      </c>
      <c r="I1662" s="883">
        <v>0.99445177467442736</v>
      </c>
      <c r="K1662">
        <v>1.6119683225104402</v>
      </c>
      <c r="L1662">
        <v>0</v>
      </c>
      <c r="M1662">
        <v>6.2929881206089285E-3</v>
      </c>
      <c r="N1662">
        <v>0.1193085480192372</v>
      </c>
      <c r="O1662">
        <v>3.0749038024333143E-2</v>
      </c>
      <c r="P1662">
        <v>1.848654729985828E-2</v>
      </c>
      <c r="Q1662">
        <v>0</v>
      </c>
      <c r="R1662">
        <v>6.2929881206089285E-3</v>
      </c>
      <c r="S1662">
        <v>0.16749441723458888</v>
      </c>
      <c r="T1662">
        <v>1.1870177522704655</v>
      </c>
      <c r="U1662">
        <v>0</v>
      </c>
      <c r="V1662">
        <v>1.5857414774851843E-2</v>
      </c>
      <c r="W1662">
        <v>6.2444540262497024E-2</v>
      </c>
      <c r="X1662">
        <v>-1.5303340345931137E-2</v>
      </c>
      <c r="Y1662">
        <v>2.5913404970538036E-2</v>
      </c>
    </row>
    <row r="1663" spans="1:25" x14ac:dyDescent="0.25">
      <c r="A1663" s="879"/>
      <c r="B1663" s="1133">
        <v>1413</v>
      </c>
      <c r="C1663" s="883">
        <v>0.96310832597274199</v>
      </c>
      <c r="D1663" s="883">
        <v>1.023278131226705</v>
      </c>
      <c r="E1663" s="883">
        <v>1.0096654400978111</v>
      </c>
      <c r="F1663" s="883">
        <v>0.99184741846394353</v>
      </c>
      <c r="G1663" s="883">
        <v>0.98751970942939449</v>
      </c>
      <c r="H1663" s="883">
        <v>0.99199972595169172</v>
      </c>
      <c r="I1663" s="883">
        <v>1.0023650986652985</v>
      </c>
      <c r="K1663">
        <v>1.6147098622446985</v>
      </c>
      <c r="L1663">
        <v>0</v>
      </c>
      <c r="M1663">
        <v>6.4801667583736311E-3</v>
      </c>
      <c r="N1663">
        <v>0.1225569077515085</v>
      </c>
      <c r="O1663">
        <v>3.17272179542928E-2</v>
      </c>
      <c r="P1663">
        <v>1.8418994695233885E-2</v>
      </c>
      <c r="Q1663">
        <v>0</v>
      </c>
      <c r="R1663">
        <v>6.4801667583736311E-3</v>
      </c>
      <c r="S1663">
        <v>0.17487238151224649</v>
      </c>
      <c r="T1663">
        <v>1.1761079397406962</v>
      </c>
      <c r="U1663">
        <v>0</v>
      </c>
      <c r="V1663">
        <v>1.606273507910887E-2</v>
      </c>
      <c r="W1663">
        <v>6.4197160256612956E-2</v>
      </c>
      <c r="X1663">
        <v>-1.5917648029299073E-2</v>
      </c>
      <c r="Y1663">
        <v>2.6684173284297553E-2</v>
      </c>
    </row>
    <row r="1664" spans="1:25" x14ac:dyDescent="0.25">
      <c r="A1664" s="879"/>
      <c r="B1664" s="1133">
        <v>1414</v>
      </c>
      <c r="C1664" s="883">
        <v>0.99515795970537213</v>
      </c>
      <c r="D1664" s="883">
        <v>0.99136954976976044</v>
      </c>
      <c r="E1664" s="883">
        <v>0.96356244488389764</v>
      </c>
      <c r="F1664" s="883">
        <v>0.99394245348719568</v>
      </c>
      <c r="G1664" s="883">
        <v>1.0118573229734977</v>
      </c>
      <c r="H1664" s="883">
        <v>0.98270157219208765</v>
      </c>
      <c r="I1664" s="883">
        <v>1.0113731248311559</v>
      </c>
      <c r="K1664">
        <v>1.6045831490096167</v>
      </c>
      <c r="L1664">
        <v>0</v>
      </c>
      <c r="M1664">
        <v>6.559619001839343E-3</v>
      </c>
      <c r="N1664">
        <v>0.11586122762893107</v>
      </c>
      <c r="O1664">
        <v>3.1134734974854791E-2</v>
      </c>
      <c r="P1664">
        <v>1.7762868547367368E-2</v>
      </c>
      <c r="Q1664">
        <v>0</v>
      </c>
      <c r="R1664">
        <v>6.559619001839343E-3</v>
      </c>
      <c r="S1664">
        <v>0.17047772919060605</v>
      </c>
      <c r="T1664">
        <v>1.1794464987633568</v>
      </c>
      <c r="U1664">
        <v>0</v>
      </c>
      <c r="V1664">
        <v>1.5880437058394287E-2</v>
      </c>
      <c r="W1664">
        <v>6.2103287460468393E-2</v>
      </c>
      <c r="X1664">
        <v>-1.509497809527929E-2</v>
      </c>
      <c r="Y1664">
        <v>2.7011343480917209E-2</v>
      </c>
    </row>
    <row r="1665" spans="1:25" x14ac:dyDescent="0.25">
      <c r="A1665" s="879"/>
      <c r="B1665" s="1133">
        <v>1415</v>
      </c>
      <c r="C1665" s="883">
        <v>1.0225330403539183</v>
      </c>
      <c r="D1665" s="883">
        <v>0.97602558222916758</v>
      </c>
      <c r="E1665" s="883">
        <v>0.98866642378592673</v>
      </c>
      <c r="F1665" s="883">
        <v>1.0098385688842517</v>
      </c>
      <c r="G1665" s="883">
        <v>1.0063485966932322</v>
      </c>
      <c r="H1665" s="883">
        <v>0.9979443977818111</v>
      </c>
      <c r="I1665" s="883">
        <v>1.0257719488410386</v>
      </c>
      <c r="K1665">
        <v>1.622053593606547</v>
      </c>
      <c r="L1665">
        <v>0</v>
      </c>
      <c r="M1665">
        <v>6.3870951928714573E-3</v>
      </c>
      <c r="N1665">
        <v>0.11709636487802487</v>
      </c>
      <c r="O1665">
        <v>3.047149161179773E-2</v>
      </c>
      <c r="P1665">
        <v>1.8338381221522024E-2</v>
      </c>
      <c r="Q1665">
        <v>0</v>
      </c>
      <c r="R1665">
        <v>6.3870951928714573E-3</v>
      </c>
      <c r="S1665">
        <v>0.16935555623421186</v>
      </c>
      <c r="T1665">
        <v>1.1978355856390697</v>
      </c>
      <c r="U1665">
        <v>0</v>
      </c>
      <c r="V1665">
        <v>1.5733776924440893E-2</v>
      </c>
      <c r="W1665">
        <v>6.1980085940235262E-2</v>
      </c>
      <c r="X1665">
        <v>-1.505856998643698E-2</v>
      </c>
      <c r="Y1665">
        <v>2.6300921143680701E-2</v>
      </c>
    </row>
    <row r="1666" spans="1:25" x14ac:dyDescent="0.25">
      <c r="A1666" s="879"/>
      <c r="B1666" s="1133">
        <v>1416</v>
      </c>
      <c r="C1666" s="883">
        <v>0.9889047020790579</v>
      </c>
      <c r="D1666" s="883">
        <v>1.000216497898085</v>
      </c>
      <c r="E1666" s="883">
        <v>1.031120412689104</v>
      </c>
      <c r="F1666" s="883">
        <v>0.98515953794536026</v>
      </c>
      <c r="G1666" s="883">
        <v>0.98218834281435508</v>
      </c>
      <c r="H1666" s="883">
        <v>0.99085648849376029</v>
      </c>
      <c r="I1666" s="883">
        <v>0.97834531239689049</v>
      </c>
      <c r="K1666">
        <v>1.5950439146956681</v>
      </c>
      <c r="L1666">
        <v>0</v>
      </c>
      <c r="M1666">
        <v>6.249728672450109E-3</v>
      </c>
      <c r="N1666">
        <v>0.12201018082833436</v>
      </c>
      <c r="O1666">
        <v>3.1162869918386963E-2</v>
      </c>
      <c r="P1666">
        <v>1.8483535237723687E-2</v>
      </c>
      <c r="Q1666">
        <v>0</v>
      </c>
      <c r="R1666">
        <v>6.249728672450109E-3</v>
      </c>
      <c r="S1666">
        <v>0.16640641970602865</v>
      </c>
      <c r="T1666">
        <v>1.1677866899006217</v>
      </c>
      <c r="U1666">
        <v>0</v>
      </c>
      <c r="V1666">
        <v>1.5915077697781201E-2</v>
      </c>
      <c r="W1666">
        <v>6.3238992263283195E-2</v>
      </c>
      <c r="X1666">
        <v>-1.5695121119407594E-2</v>
      </c>
      <c r="Y1666">
        <v>2.5735270262914743E-2</v>
      </c>
    </row>
    <row r="1667" spans="1:25" x14ac:dyDescent="0.25">
      <c r="A1667" s="879"/>
      <c r="B1667" s="1133">
        <v>1417</v>
      </c>
      <c r="C1667" s="883">
        <v>0.96702704598819289</v>
      </c>
      <c r="D1667" s="883">
        <v>0.9936354120989811</v>
      </c>
      <c r="E1667" s="883">
        <v>1.0183749481542312</v>
      </c>
      <c r="F1667" s="883">
        <v>0.99527849796424772</v>
      </c>
      <c r="G1667" s="883">
        <v>1.0255059196741574</v>
      </c>
      <c r="H1667" s="883">
        <v>0.99834499640359042</v>
      </c>
      <c r="I1667" s="883">
        <v>0.99390084630924025</v>
      </c>
      <c r="K1667">
        <v>1.6209323720901201</v>
      </c>
      <c r="L1667">
        <v>0</v>
      </c>
      <c r="M1667">
        <v>6.5309181355675695E-3</v>
      </c>
      <c r="N1667">
        <v>0.1251191340747104</v>
      </c>
      <c r="O1667">
        <v>3.196434157991395E-2</v>
      </c>
      <c r="P1667">
        <v>1.8571846279736518E-2</v>
      </c>
      <c r="Q1667">
        <v>0</v>
      </c>
      <c r="R1667">
        <v>6.5309181355675695E-3</v>
      </c>
      <c r="S1667">
        <v>0.17337804529625714</v>
      </c>
      <c r="T1667">
        <v>1.1800158590993226</v>
      </c>
      <c r="U1667">
        <v>0</v>
      </c>
      <c r="V1667">
        <v>1.6039797027890584E-2</v>
      </c>
      <c r="W1667">
        <v>6.5258031131506911E-2</v>
      </c>
      <c r="X1667">
        <v>-1.6307840821391639E-2</v>
      </c>
      <c r="Y1667">
        <v>2.6893158422173793E-2</v>
      </c>
    </row>
    <row r="1668" spans="1:25" x14ac:dyDescent="0.25">
      <c r="A1668" s="879"/>
      <c r="B1668" s="1133">
        <v>1418</v>
      </c>
      <c r="C1668" s="883">
        <v>1.0002145741324755</v>
      </c>
      <c r="D1668" s="883">
        <v>0.98558632536160296</v>
      </c>
      <c r="E1668" s="883">
        <v>0.98039354530721223</v>
      </c>
      <c r="F1668" s="883">
        <v>0.99404681600967715</v>
      </c>
      <c r="G1668" s="883">
        <v>0.98087335220653904</v>
      </c>
      <c r="H1668" s="883">
        <v>1.0121600270880688</v>
      </c>
      <c r="I1668" s="883">
        <v>0.98188668209999463</v>
      </c>
      <c r="K1668">
        <v>1.6062312303446777</v>
      </c>
      <c r="L1668">
        <v>0</v>
      </c>
      <c r="M1668">
        <v>6.6416087599844775E-3</v>
      </c>
      <c r="N1668">
        <v>0.12027751388401338</v>
      </c>
      <c r="O1668">
        <v>3.1036898969554881E-2</v>
      </c>
      <c r="P1668">
        <v>1.7940446863483599E-2</v>
      </c>
      <c r="Q1668">
        <v>0</v>
      </c>
      <c r="R1668">
        <v>6.6416087599844775E-3</v>
      </c>
      <c r="S1668">
        <v>0.16643265996023748</v>
      </c>
      <c r="T1668">
        <v>1.1792573486281903</v>
      </c>
      <c r="U1668">
        <v>0</v>
      </c>
      <c r="V1668">
        <v>1.5852742102297663E-2</v>
      </c>
      <c r="W1668">
        <v>6.3927667615121184E-2</v>
      </c>
      <c r="X1668">
        <v>-1.5843010389548773E-2</v>
      </c>
      <c r="Y1668">
        <v>2.7348962711325944E-2</v>
      </c>
    </row>
    <row r="1669" spans="1:25" x14ac:dyDescent="0.25">
      <c r="A1669" s="879"/>
      <c r="B1669" s="1133">
        <v>1419</v>
      </c>
      <c r="C1669" s="883">
        <v>1.0155684011425214</v>
      </c>
      <c r="D1669" s="883">
        <v>1.0043668701376596</v>
      </c>
      <c r="E1669" s="883">
        <v>1.0018522273245007</v>
      </c>
      <c r="F1669" s="883">
        <v>1.0190207759082446</v>
      </c>
      <c r="G1669" s="883">
        <v>1.0020718040732337</v>
      </c>
      <c r="H1669" s="883">
        <v>1.008781790087071</v>
      </c>
      <c r="I1669" s="883">
        <v>1.0037841770157745</v>
      </c>
      <c r="K1669">
        <v>1.6323277228610713</v>
      </c>
      <c r="L1669">
        <v>0</v>
      </c>
      <c r="M1669">
        <v>6.34475096451161E-3</v>
      </c>
      <c r="N1669">
        <v>0.11861546654766911</v>
      </c>
      <c r="O1669">
        <v>3.032033353356129E-2</v>
      </c>
      <c r="P1669">
        <v>1.8637458318627974E-2</v>
      </c>
      <c r="Q1669">
        <v>0</v>
      </c>
      <c r="R1669">
        <v>6.34475096451161E-3</v>
      </c>
      <c r="S1669">
        <v>0.16720441754838472</v>
      </c>
      <c r="T1669">
        <v>1.208477200534088</v>
      </c>
      <c r="U1669">
        <v>0</v>
      </c>
      <c r="V1669">
        <v>1.5770339614005757E-2</v>
      </c>
      <c r="W1669">
        <v>6.2373566868110755E-2</v>
      </c>
      <c r="X1669">
        <v>-1.5197615251662687E-2</v>
      </c>
      <c r="Y1669">
        <v>2.6126555148286532E-2</v>
      </c>
    </row>
    <row r="1670" spans="1:25" x14ac:dyDescent="0.25">
      <c r="A1670" s="879"/>
      <c r="B1670" s="1133">
        <v>1420</v>
      </c>
      <c r="C1670" s="883">
        <v>0.96933683037066576</v>
      </c>
      <c r="D1670" s="883">
        <v>0.98256118927849057</v>
      </c>
      <c r="E1670" s="883">
        <v>1.0018177147780558</v>
      </c>
      <c r="F1670" s="883">
        <v>1.0054322845845474</v>
      </c>
      <c r="G1670" s="883">
        <v>0.9965136992964494</v>
      </c>
      <c r="H1670" s="883">
        <v>1.0164980098735408</v>
      </c>
      <c r="I1670" s="883">
        <v>1.0243871872090398</v>
      </c>
      <c r="K1670">
        <v>1.6426586524545395</v>
      </c>
      <c r="L1670">
        <v>0</v>
      </c>
      <c r="M1670">
        <v>6.7643340603625477E-3</v>
      </c>
      <c r="N1670">
        <v>0.12645313069257971</v>
      </c>
      <c r="O1670">
        <v>3.2046600995178982E-2</v>
      </c>
      <c r="P1670">
        <v>1.8589521445818262E-2</v>
      </c>
      <c r="Q1670">
        <v>0</v>
      </c>
      <c r="R1670">
        <v>6.7643340603625477E-3</v>
      </c>
      <c r="S1670">
        <v>0.17949505208737962</v>
      </c>
      <c r="T1670">
        <v>1.1923629804394533</v>
      </c>
      <c r="U1670">
        <v>0</v>
      </c>
      <c r="V1670">
        <v>1.6026363683570757E-2</v>
      </c>
      <c r="W1670">
        <v>6.6496116585723741E-2</v>
      </c>
      <c r="X1670">
        <v>-1.6665437129157887E-2</v>
      </c>
      <c r="Y1670">
        <v>2.7854323653993689E-2</v>
      </c>
    </row>
    <row r="1671" spans="1:25" x14ac:dyDescent="0.25">
      <c r="A1671" s="879"/>
      <c r="B1671" s="1133">
        <v>1421</v>
      </c>
      <c r="C1671" s="883">
        <v>0.99365528545364212</v>
      </c>
      <c r="D1671" s="883">
        <v>0.97597877030503866</v>
      </c>
      <c r="E1671" s="883">
        <v>1.0240294402089964</v>
      </c>
      <c r="F1671" s="883">
        <v>1.0086382782754222</v>
      </c>
      <c r="G1671" s="883">
        <v>0.99268883135761299</v>
      </c>
      <c r="H1671" s="883">
        <v>1.0030769595432985</v>
      </c>
      <c r="I1671" s="883">
        <v>0.96874160704891776</v>
      </c>
      <c r="K1671">
        <v>1.6251357369869444</v>
      </c>
      <c r="L1671">
        <v>0</v>
      </c>
      <c r="M1671">
        <v>6.4055556034769935E-3</v>
      </c>
      <c r="N1671">
        <v>0.12374814190219305</v>
      </c>
      <c r="O1671">
        <v>3.1326409547675495E-2</v>
      </c>
      <c r="P1671">
        <v>1.8746903834971438E-2</v>
      </c>
      <c r="Q1671">
        <v>0</v>
      </c>
      <c r="R1671">
        <v>6.4055556034769935E-3</v>
      </c>
      <c r="S1671">
        <v>0.16491892818263063</v>
      </c>
      <c r="T1671">
        <v>1.1957499332893617</v>
      </c>
      <c r="U1671">
        <v>0</v>
      </c>
      <c r="V1671">
        <v>1.5888721497648771E-2</v>
      </c>
      <c r="W1671">
        <v>6.4363529026636876E-2</v>
      </c>
      <c r="X1671">
        <v>-1.5983768122898031E-2</v>
      </c>
      <c r="Y1671">
        <v>2.6376937828723697E-2</v>
      </c>
    </row>
    <row r="1672" spans="1:25" x14ac:dyDescent="0.25">
      <c r="A1672" s="879"/>
      <c r="B1672" s="1133">
        <v>1422</v>
      </c>
      <c r="C1672" s="883">
        <v>1.0157553171654847</v>
      </c>
      <c r="D1672" s="883">
        <v>0.99875455796270429</v>
      </c>
      <c r="E1672" s="883">
        <v>1.0103987478038567</v>
      </c>
      <c r="F1672" s="883">
        <v>0.98087685600220098</v>
      </c>
      <c r="G1672" s="883">
        <v>0.99749776134961943</v>
      </c>
      <c r="H1672" s="883">
        <v>0.98484220384267429</v>
      </c>
      <c r="I1672" s="883">
        <v>1.0358822172234965</v>
      </c>
      <c r="K1672">
        <v>1.5868362409421841</v>
      </c>
      <c r="L1672">
        <v>0</v>
      </c>
      <c r="M1672">
        <v>6.1623290083539766E-3</v>
      </c>
      <c r="N1672">
        <v>0.11667235220040691</v>
      </c>
      <c r="O1672">
        <v>3.0375463215354708E-2</v>
      </c>
      <c r="P1672">
        <v>1.8199707999939602E-2</v>
      </c>
      <c r="Q1672">
        <v>0</v>
      </c>
      <c r="R1672">
        <v>6.1623290083539766E-3</v>
      </c>
      <c r="S1672">
        <v>0.17117163987285922</v>
      </c>
      <c r="T1672">
        <v>1.1630859839440879</v>
      </c>
      <c r="U1672">
        <v>0</v>
      </c>
      <c r="V1672">
        <v>1.5769351802025707E-2</v>
      </c>
      <c r="W1672">
        <v>6.1092579089991585E-2</v>
      </c>
      <c r="X1672">
        <v>-1.4906211185208127E-2</v>
      </c>
      <c r="Y1672">
        <v>2.5375374002727158E-2</v>
      </c>
    </row>
    <row r="1673" spans="1:25" x14ac:dyDescent="0.25">
      <c r="A1673" s="879"/>
      <c r="B1673" s="1133">
        <v>1423</v>
      </c>
      <c r="C1673" s="883">
        <v>0.97564089992157932</v>
      </c>
      <c r="D1673" s="883">
        <v>0.98549603735440783</v>
      </c>
      <c r="E1673" s="883">
        <v>0.98023135147252161</v>
      </c>
      <c r="F1673" s="883">
        <v>0.99331168725273944</v>
      </c>
      <c r="G1673" s="883">
        <v>0.96995230727598969</v>
      </c>
      <c r="H1673" s="883">
        <v>0.99395420627751285</v>
      </c>
      <c r="I1673" s="883">
        <v>1.0085128447352876</v>
      </c>
      <c r="K1673">
        <v>1.6154444530967516</v>
      </c>
      <c r="L1673">
        <v>0</v>
      </c>
      <c r="M1673">
        <v>6.6876390591676113E-3</v>
      </c>
      <c r="N1673">
        <v>0.12108196815711383</v>
      </c>
      <c r="O1673">
        <v>3.1819930632943152E-2</v>
      </c>
      <c r="P1673">
        <v>1.8030470126763478E-2</v>
      </c>
      <c r="Q1673">
        <v>0</v>
      </c>
      <c r="R1673">
        <v>6.6876390591676113E-3</v>
      </c>
      <c r="S1673">
        <v>0.17415427401341949</v>
      </c>
      <c r="T1673">
        <v>1.1783882589801389</v>
      </c>
      <c r="U1673">
        <v>0</v>
      </c>
      <c r="V1673">
        <v>1.5990023900994004E-2</v>
      </c>
      <c r="W1673">
        <v>6.4360462157149023E-2</v>
      </c>
      <c r="X1673">
        <v>-1.5919442162045785E-2</v>
      </c>
      <c r="Y1673">
        <v>2.7538507290274249E-2</v>
      </c>
    </row>
    <row r="1674" spans="1:25" x14ac:dyDescent="0.25">
      <c r="A1674" s="879"/>
      <c r="B1674" s="1133">
        <v>1424</v>
      </c>
      <c r="C1674" s="883">
        <v>0.99266648913532773</v>
      </c>
      <c r="D1674" s="883">
        <v>1.0243005381641626</v>
      </c>
      <c r="E1674" s="883">
        <v>1.0116448947669432</v>
      </c>
      <c r="F1674" s="883">
        <v>1.035291354210758</v>
      </c>
      <c r="G1674" s="883">
        <v>0.98104905413449373</v>
      </c>
      <c r="H1674" s="883">
        <v>1.0030081228130283</v>
      </c>
      <c r="I1674" s="883">
        <v>1.0133487013942493</v>
      </c>
      <c r="K1674">
        <v>1.6596220498255418</v>
      </c>
      <c r="L1674">
        <v>0</v>
      </c>
      <c r="M1674">
        <v>6.3431622492958716E-3</v>
      </c>
      <c r="N1674">
        <v>0.12031783485326433</v>
      </c>
      <c r="O1674">
        <v>3.0768455237489546E-2</v>
      </c>
      <c r="P1674">
        <v>1.9101896919823769E-2</v>
      </c>
      <c r="Q1674">
        <v>0</v>
      </c>
      <c r="R1674">
        <v>6.3431622492958716E-3</v>
      </c>
      <c r="S1674">
        <v>0.17216153467916548</v>
      </c>
      <c r="T1674">
        <v>1.2275846846451008</v>
      </c>
      <c r="U1674">
        <v>0</v>
      </c>
      <c r="V1674">
        <v>1.5894186543043046E-2</v>
      </c>
      <c r="W1674">
        <v>6.2962642391008183E-2</v>
      </c>
      <c r="X1674">
        <v>-1.5289198545161494E-2</v>
      </c>
      <c r="Y1674">
        <v>2.6120013101808882E-2</v>
      </c>
    </row>
    <row r="1675" spans="1:25" x14ac:dyDescent="0.25">
      <c r="A1675" s="879"/>
      <c r="B1675" s="1133">
        <v>1425</v>
      </c>
      <c r="C1675" s="883">
        <v>0.99822310351263666</v>
      </c>
      <c r="D1675" s="883">
        <v>0.96007274690374145</v>
      </c>
      <c r="E1675" s="883">
        <v>1.0266279839894421</v>
      </c>
      <c r="F1675" s="883">
        <v>1.0112393721390682</v>
      </c>
      <c r="G1675" s="883">
        <v>1.0091046667529948</v>
      </c>
      <c r="H1675" s="883">
        <v>1.0027059300916843</v>
      </c>
      <c r="I1675" s="883">
        <v>1.015279630827274</v>
      </c>
      <c r="K1675">
        <v>1.6363256053197877</v>
      </c>
      <c r="L1675">
        <v>0</v>
      </c>
      <c r="M1675">
        <v>6.4062624620073528E-3</v>
      </c>
      <c r="N1675">
        <v>0.12423826531815431</v>
      </c>
      <c r="O1675">
        <v>3.1386247969432977E-2</v>
      </c>
      <c r="P1675">
        <v>1.8923795629218868E-2</v>
      </c>
      <c r="Q1675">
        <v>0</v>
      </c>
      <c r="R1675">
        <v>6.4062624620073528E-3</v>
      </c>
      <c r="S1675">
        <v>0.17221271804613061</v>
      </c>
      <c r="T1675">
        <v>1.1987850102180966</v>
      </c>
      <c r="U1675">
        <v>0</v>
      </c>
      <c r="V1675">
        <v>1.5863615847420034E-2</v>
      </c>
      <c r="W1675">
        <v>6.4535969819258424E-2</v>
      </c>
      <c r="X1675">
        <v>-1.5999866074260662E-2</v>
      </c>
      <c r="Y1675">
        <v>2.6379848546335582E-2</v>
      </c>
    </row>
    <row r="1676" spans="1:25" x14ac:dyDescent="0.25">
      <c r="A1676" s="879"/>
      <c r="B1676" s="1133">
        <v>1426</v>
      </c>
      <c r="C1676" s="883">
        <v>1.0103409328515267</v>
      </c>
      <c r="D1676" s="883">
        <v>0.99212316297151903</v>
      </c>
      <c r="E1676" s="883">
        <v>0.98790875669154976</v>
      </c>
      <c r="F1676" s="883">
        <v>1.0094752313493029</v>
      </c>
      <c r="G1676" s="883">
        <v>0.98521436994148748</v>
      </c>
      <c r="H1676" s="883">
        <v>0.9820315209131818</v>
      </c>
      <c r="I1676" s="883">
        <v>1.0066772096122907</v>
      </c>
      <c r="K1676">
        <v>1.6174875442751802</v>
      </c>
      <c r="L1676">
        <v>0</v>
      </c>
      <c r="M1676">
        <v>6.3189830161251223E-3</v>
      </c>
      <c r="N1676">
        <v>0.11571757037824472</v>
      </c>
      <c r="O1676">
        <v>3.0638681079308047E-2</v>
      </c>
      <c r="P1676">
        <v>1.8293343124719353E-2</v>
      </c>
      <c r="Q1676">
        <v>0</v>
      </c>
      <c r="R1676">
        <v>6.3189830161251223E-3</v>
      </c>
      <c r="S1676">
        <v>0.16711571581022208</v>
      </c>
      <c r="T1676">
        <v>1.197418861259453</v>
      </c>
      <c r="U1676">
        <v>0</v>
      </c>
      <c r="V1676">
        <v>1.5798113734816363E-2</v>
      </c>
      <c r="W1676">
        <v>6.1273440869657955E-2</v>
      </c>
      <c r="X1676">
        <v>-1.4788629304596526E-2</v>
      </c>
      <c r="Y1676">
        <v>2.60204473233548E-2</v>
      </c>
    </row>
    <row r="1677" spans="1:25" x14ac:dyDescent="0.25">
      <c r="A1677" s="879"/>
      <c r="B1677" s="1133">
        <v>1427</v>
      </c>
      <c r="C1677" s="883">
        <v>1.0032602256740344</v>
      </c>
      <c r="D1677" s="883">
        <v>0.99993235449266438</v>
      </c>
      <c r="E1677" s="883">
        <v>1.0094878408989534</v>
      </c>
      <c r="F1677" s="883">
        <v>0.98617213875648835</v>
      </c>
      <c r="G1677" s="883">
        <v>1.0021842179978979</v>
      </c>
      <c r="H1677" s="883">
        <v>0.95040673557451738</v>
      </c>
      <c r="I1677" s="883">
        <v>1.0295200150980988</v>
      </c>
      <c r="K1677">
        <v>1.5884177875174739</v>
      </c>
      <c r="L1677">
        <v>0</v>
      </c>
      <c r="M1677">
        <v>6.0225566018077383E-3</v>
      </c>
      <c r="N1677">
        <v>0.11387235877958178</v>
      </c>
      <c r="O1677">
        <v>3.0740078344059275E-2</v>
      </c>
      <c r="P1677">
        <v>1.8259533542181086E-2</v>
      </c>
      <c r="Q1677">
        <v>0</v>
      </c>
      <c r="R1677">
        <v>6.0225566018077383E-3</v>
      </c>
      <c r="S1677">
        <v>0.1701773458984302</v>
      </c>
      <c r="T1677">
        <v>1.1693815822699662</v>
      </c>
      <c r="U1677">
        <v>0</v>
      </c>
      <c r="V1677">
        <v>1.5836195856136378E-2</v>
      </c>
      <c r="W1677">
        <v>5.9653303023515833E-2</v>
      </c>
      <c r="X1677">
        <v>-1.4302426307528763E-2</v>
      </c>
      <c r="Y1677">
        <v>2.4799816111130683E-2</v>
      </c>
    </row>
    <row r="1678" spans="1:25" x14ac:dyDescent="0.25">
      <c r="A1678" s="879"/>
      <c r="B1678" s="1133">
        <v>1428</v>
      </c>
      <c r="C1678" s="883">
        <v>1.0170477531341804</v>
      </c>
      <c r="D1678" s="883">
        <v>1.003455555503403</v>
      </c>
      <c r="E1678" s="883">
        <v>1.0141958335400254</v>
      </c>
      <c r="F1678" s="883">
        <v>1.0140324156069684</v>
      </c>
      <c r="G1678" s="883">
        <v>0.99686536573914775</v>
      </c>
      <c r="H1678" s="883">
        <v>0.97081765618329419</v>
      </c>
      <c r="I1678" s="883">
        <v>1.0076244222171435</v>
      </c>
      <c r="K1678">
        <v>1.6179399718931284</v>
      </c>
      <c r="L1678">
        <v>0</v>
      </c>
      <c r="M1678">
        <v>6.0340874028772095E-3</v>
      </c>
      <c r="N1678">
        <v>0.1148882164030038</v>
      </c>
      <c r="O1678">
        <v>3.0276626979890645E-2</v>
      </c>
      <c r="P1678">
        <v>1.8704356390936427E-2</v>
      </c>
      <c r="Q1678">
        <v>0</v>
      </c>
      <c r="R1678">
        <v>6.0340874028772095E-3</v>
      </c>
      <c r="S1678">
        <v>0.16544492596304092</v>
      </c>
      <c r="T1678">
        <v>1.2023292173543767</v>
      </c>
      <c r="U1678">
        <v>0</v>
      </c>
      <c r="V1678">
        <v>1.5762531483968986E-2</v>
      </c>
      <c r="W1678">
        <v>6.004559067933006E-2</v>
      </c>
      <c r="X1678">
        <v>-1.4358791258947456E-2</v>
      </c>
      <c r="Y1678">
        <v>2.4847297897528688E-2</v>
      </c>
    </row>
    <row r="1679" spans="1:25" x14ac:dyDescent="0.25">
      <c r="A1679" s="879"/>
      <c r="B1679" s="1133">
        <v>1429</v>
      </c>
      <c r="C1679" s="883">
        <v>0.99930099332144817</v>
      </c>
      <c r="D1679" s="883">
        <v>0.99314701244748427</v>
      </c>
      <c r="E1679" s="883">
        <v>1.0267633163257202</v>
      </c>
      <c r="F1679" s="883">
        <v>1.0232729523986135</v>
      </c>
      <c r="G1679" s="883">
        <v>1.0284073909334075</v>
      </c>
      <c r="H1679" s="883">
        <v>0.99615532073024626</v>
      </c>
      <c r="I1679" s="883">
        <v>0.96986510772768797</v>
      </c>
      <c r="K1679">
        <v>1.6373219309018021</v>
      </c>
      <c r="L1679">
        <v>0</v>
      </c>
      <c r="M1679">
        <v>6.2613508834006171E-3</v>
      </c>
      <c r="N1679">
        <v>0.12145225824926936</v>
      </c>
      <c r="O1679">
        <v>3.0930373008366749E-2</v>
      </c>
      <c r="P1679">
        <v>1.9002625549591947E-2</v>
      </c>
      <c r="Q1679">
        <v>0</v>
      </c>
      <c r="R1679">
        <v>6.2613508834006171E-3</v>
      </c>
      <c r="S1679">
        <v>0.16361116278547036</v>
      </c>
      <c r="T1679">
        <v>1.2130477949590386</v>
      </c>
      <c r="U1679">
        <v>0</v>
      </c>
      <c r="V1679">
        <v>1.5857725017683479E-2</v>
      </c>
      <c r="W1679">
        <v>6.3084575296852533E-2</v>
      </c>
      <c r="X1679">
        <v>-1.5447712423405219E-2</v>
      </c>
      <c r="Y1679">
        <v>2.5783128458932509E-2</v>
      </c>
    </row>
    <row r="1680" spans="1:25" x14ac:dyDescent="0.25">
      <c r="A1680" s="879"/>
      <c r="B1680" s="1133">
        <v>1430</v>
      </c>
      <c r="C1680" s="883">
        <v>0.96659253406268097</v>
      </c>
      <c r="D1680" s="883">
        <v>0.97361748185314645</v>
      </c>
      <c r="E1680" s="883">
        <v>0.99630472126323799</v>
      </c>
      <c r="F1680" s="883">
        <v>1.0052163407678734</v>
      </c>
      <c r="G1680" s="883">
        <v>1.0160942702036224</v>
      </c>
      <c r="H1680" s="883">
        <v>0.99977746910219945</v>
      </c>
      <c r="I1680" s="883">
        <v>0.98904628946813156</v>
      </c>
      <c r="K1680">
        <v>1.6337625440598595</v>
      </c>
      <c r="L1680">
        <v>0</v>
      </c>
      <c r="M1680">
        <v>6.7315962199501591E-3</v>
      </c>
      <c r="N1680">
        <v>0.12481744661467019</v>
      </c>
      <c r="O1680">
        <v>3.2260240814789273E-2</v>
      </c>
      <c r="P1680">
        <v>1.8421849523960882E-2</v>
      </c>
      <c r="Q1680">
        <v>0</v>
      </c>
      <c r="R1680">
        <v>6.7315962199501591E-3</v>
      </c>
      <c r="S1680">
        <v>0.1728876912920701</v>
      </c>
      <c r="T1680">
        <v>1.1922099057818023</v>
      </c>
      <c r="U1680">
        <v>0</v>
      </c>
      <c r="V1680">
        <v>1.6042331255887457E-2</v>
      </c>
      <c r="W1680">
        <v>6.5816005289185131E-2</v>
      </c>
      <c r="X1680">
        <v>-1.641244156680112E-2</v>
      </c>
      <c r="Y1680">
        <v>2.771951505429384E-2</v>
      </c>
    </row>
    <row r="1681" spans="1:25" x14ac:dyDescent="0.25">
      <c r="A1681" s="879"/>
      <c r="B1681" s="1133">
        <v>1431</v>
      </c>
      <c r="C1681" s="883">
        <v>0.99700585564181043</v>
      </c>
      <c r="D1681" s="883">
        <v>0.98206936705234094</v>
      </c>
      <c r="E1681" s="883">
        <v>0.98475091604800447</v>
      </c>
      <c r="F1681" s="883">
        <v>0.99385752242288483</v>
      </c>
      <c r="G1681" s="883">
        <v>0.9723828749417216</v>
      </c>
      <c r="H1681" s="883">
        <v>1.0064465919798828</v>
      </c>
      <c r="I1681" s="883">
        <v>1.0243278899009405</v>
      </c>
      <c r="K1681">
        <v>1.6138054252327243</v>
      </c>
      <c r="L1681">
        <v>0</v>
      </c>
      <c r="M1681">
        <v>6.610791678107495E-3</v>
      </c>
      <c r="N1681">
        <v>0.12049576367571392</v>
      </c>
      <c r="O1681">
        <v>3.117781895447376E-2</v>
      </c>
      <c r="P1681">
        <v>1.8095624508795184E-2</v>
      </c>
      <c r="Q1681">
        <v>0</v>
      </c>
      <c r="R1681">
        <v>6.610791678107495E-3</v>
      </c>
      <c r="S1681">
        <v>0.17388673884516884</v>
      </c>
      <c r="T1681">
        <v>1.1789519708595635</v>
      </c>
      <c r="U1681">
        <v>0</v>
      </c>
      <c r="V1681">
        <v>1.5870283604025363E-2</v>
      </c>
      <c r="W1681">
        <v>6.3904237412959836E-2</v>
      </c>
      <c r="X1681">
        <v>-1.5799076081370111E-2</v>
      </c>
      <c r="Y1681">
        <v>2.7222063453392627E-2</v>
      </c>
    </row>
    <row r="1682" spans="1:25" x14ac:dyDescent="0.25">
      <c r="A1682" s="879"/>
      <c r="B1682" s="1133">
        <v>1432</v>
      </c>
      <c r="C1682" s="883">
        <v>0.99800136672267237</v>
      </c>
      <c r="D1682" s="883">
        <v>0.99623296826099716</v>
      </c>
      <c r="E1682" s="883">
        <v>1.0218355226142755</v>
      </c>
      <c r="F1682" s="883">
        <v>0.96737849925182651</v>
      </c>
      <c r="G1682" s="883">
        <v>0.9990588294191548</v>
      </c>
      <c r="H1682" s="883">
        <v>1.0220303199504945</v>
      </c>
      <c r="I1682" s="883">
        <v>1.0245689411810948</v>
      </c>
      <c r="K1682">
        <v>1.5855869562359133</v>
      </c>
      <c r="L1682">
        <v>0</v>
      </c>
      <c r="M1682">
        <v>6.4512403734866761E-3</v>
      </c>
      <c r="N1682">
        <v>0.12422698188751961</v>
      </c>
      <c r="O1682">
        <v>3.0936798681353943E-2</v>
      </c>
      <c r="P1682">
        <v>1.8183123592842309E-2</v>
      </c>
      <c r="Q1682">
        <v>0</v>
      </c>
      <c r="R1682">
        <v>6.4512403734866761E-3</v>
      </c>
      <c r="S1682">
        <v>0.17456957293211472</v>
      </c>
      <c r="T1682">
        <v>1.1468753164364864</v>
      </c>
      <c r="U1682">
        <v>0</v>
      </c>
      <c r="V1682">
        <v>1.5864829250362526E-2</v>
      </c>
      <c r="W1682">
        <v>6.4682363403279611E-2</v>
      </c>
      <c r="X1682">
        <v>-1.6317089528084167E-2</v>
      </c>
      <c r="Y1682">
        <v>2.6565059580037641E-2</v>
      </c>
    </row>
    <row r="1683" spans="1:25" x14ac:dyDescent="0.25">
      <c r="A1683" s="879"/>
      <c r="B1683" s="1133">
        <v>1433</v>
      </c>
      <c r="C1683" s="883">
        <v>0.97568292691239134</v>
      </c>
      <c r="D1683" s="883">
        <v>0.99524827959112794</v>
      </c>
      <c r="E1683" s="883">
        <v>1.0120910611845226</v>
      </c>
      <c r="F1683" s="883">
        <v>0.98332670211189388</v>
      </c>
      <c r="G1683" s="883">
        <v>1.0021821458443456</v>
      </c>
      <c r="H1683" s="883">
        <v>0.95662744894811258</v>
      </c>
      <c r="I1683" s="883">
        <v>0.96225166527936334</v>
      </c>
      <c r="K1683">
        <v>1.5864401835822084</v>
      </c>
      <c r="L1683">
        <v>0</v>
      </c>
      <c r="M1683">
        <v>6.2321804014818655E-3</v>
      </c>
      <c r="N1683">
        <v>0.11829081259094261</v>
      </c>
      <c r="O1683">
        <v>3.1665997949754214E-2</v>
      </c>
      <c r="P1683">
        <v>1.8167017161764644E-2</v>
      </c>
      <c r="Q1683">
        <v>0</v>
      </c>
      <c r="R1683">
        <v>6.2321804014818655E-3</v>
      </c>
      <c r="S1683">
        <v>0.16395427486196565</v>
      </c>
      <c r="T1683">
        <v>1.1659600717244498</v>
      </c>
      <c r="U1683">
        <v>0</v>
      </c>
      <c r="V1683">
        <v>1.5989783212332114E-2</v>
      </c>
      <c r="W1683">
        <v>6.1888247798993781E-2</v>
      </c>
      <c r="X1683">
        <v>-1.5139031324537255E-2</v>
      </c>
      <c r="Y1683">
        <v>2.566300960654332E-2</v>
      </c>
    </row>
    <row r="1684" spans="1:25" x14ac:dyDescent="0.25">
      <c r="A1684" s="879"/>
      <c r="B1684" s="1133">
        <v>1434</v>
      </c>
      <c r="C1684" s="883">
        <v>0.97796556271240398</v>
      </c>
      <c r="D1684" s="883">
        <v>0.96968794941436576</v>
      </c>
      <c r="E1684" s="883">
        <v>0.99655939037227548</v>
      </c>
      <c r="F1684" s="883">
        <v>1.0039615725337341</v>
      </c>
      <c r="G1684" s="883">
        <v>1.0425039192919296</v>
      </c>
      <c r="H1684" s="883">
        <v>0.9968729344492353</v>
      </c>
      <c r="I1684" s="883">
        <v>0.98499634438086237</v>
      </c>
      <c r="K1684">
        <v>1.6264991856205857</v>
      </c>
      <c r="L1684">
        <v>0</v>
      </c>
      <c r="M1684">
        <v>6.6445032358918559E-3</v>
      </c>
      <c r="N1684">
        <v>0.12324906991181801</v>
      </c>
      <c r="O1684">
        <v>3.1936477437907396E-2</v>
      </c>
      <c r="P1684">
        <v>1.8366699610355135E-2</v>
      </c>
      <c r="Q1684">
        <v>0</v>
      </c>
      <c r="R1684">
        <v>6.6445032358918559E-3</v>
      </c>
      <c r="S1684">
        <v>0.17004932846697626</v>
      </c>
      <c r="T1684">
        <v>1.1907169657039389</v>
      </c>
      <c r="U1684">
        <v>0</v>
      </c>
      <c r="V1684">
        <v>1.5976741626691448E-2</v>
      </c>
      <c r="W1684">
        <v>6.4980772094738196E-2</v>
      </c>
      <c r="X1684">
        <v>-1.6137750879755778E-2</v>
      </c>
      <c r="Y1684">
        <v>2.7360881647915027E-2</v>
      </c>
    </row>
    <row r="1685" spans="1:25" x14ac:dyDescent="0.25">
      <c r="A1685" s="879"/>
      <c r="B1685" s="1133">
        <v>1435</v>
      </c>
      <c r="C1685" s="883">
        <v>1.0104001715909259</v>
      </c>
      <c r="D1685" s="883">
        <v>1.0247324517830154</v>
      </c>
      <c r="E1685" s="883">
        <v>1.0046280072951852</v>
      </c>
      <c r="F1685" s="883">
        <v>0.9961556095810975</v>
      </c>
      <c r="G1685" s="883">
        <v>0.98177786742436834</v>
      </c>
      <c r="H1685" s="883">
        <v>1.022103323666683</v>
      </c>
      <c r="I1685" s="883">
        <v>1.0347764710119851</v>
      </c>
      <c r="K1685">
        <v>1.6132345103349184</v>
      </c>
      <c r="L1685">
        <v>0</v>
      </c>
      <c r="M1685">
        <v>6.3883546936118907E-3</v>
      </c>
      <c r="N1685">
        <v>0.1199226641716485</v>
      </c>
      <c r="O1685">
        <v>3.0229353145793874E-2</v>
      </c>
      <c r="P1685">
        <v>1.8401425227445176E-2</v>
      </c>
      <c r="Q1685">
        <v>0</v>
      </c>
      <c r="R1685">
        <v>6.3883546936118907E-3</v>
      </c>
      <c r="S1685">
        <v>0.17382604730301887</v>
      </c>
      <c r="T1685">
        <v>1.1813095897591428</v>
      </c>
      <c r="U1685">
        <v>0</v>
      </c>
      <c r="V1685">
        <v>1.5797797382885476E-2</v>
      </c>
      <c r="W1685">
        <v>6.2974194894031416E-2</v>
      </c>
      <c r="X1685">
        <v>-1.55326690925952E-2</v>
      </c>
      <c r="Y1685">
        <v>2.6306107543547026E-2</v>
      </c>
    </row>
    <row r="1686" spans="1:25" x14ac:dyDescent="0.25">
      <c r="A1686" s="879"/>
      <c r="B1686" s="1133">
        <v>1436</v>
      </c>
      <c r="C1686" s="883">
        <v>1.0128065612368078</v>
      </c>
      <c r="D1686" s="883">
        <v>1.0074825739074689</v>
      </c>
      <c r="E1686" s="883">
        <v>1.0278983112364701</v>
      </c>
      <c r="F1686" s="883">
        <v>1.0083246974079085</v>
      </c>
      <c r="G1686" s="883">
        <v>1.0159685681545787</v>
      </c>
      <c r="H1686" s="883">
        <v>1.0177770716302965</v>
      </c>
      <c r="I1686" s="883">
        <v>1.0166804120794368</v>
      </c>
      <c r="K1686">
        <v>1.6257799987101289</v>
      </c>
      <c r="L1686">
        <v>0</v>
      </c>
      <c r="M1686">
        <v>6.2654963716007959E-3</v>
      </c>
      <c r="N1686">
        <v>0.12173678118307461</v>
      </c>
      <c r="O1686">
        <v>3.0342439001079864E-2</v>
      </c>
      <c r="P1686">
        <v>1.8867294468266713E-2</v>
      </c>
      <c r="Q1686">
        <v>0</v>
      </c>
      <c r="R1686">
        <v>6.2654963716007959E-3</v>
      </c>
      <c r="S1686">
        <v>0.17033254777525919</v>
      </c>
      <c r="T1686">
        <v>1.1953061247589225</v>
      </c>
      <c r="U1686">
        <v>0</v>
      </c>
      <c r="V1686">
        <v>1.578497785374847E-2</v>
      </c>
      <c r="W1686">
        <v>6.3197124674629193E-2</v>
      </c>
      <c r="X1686">
        <v>-1.5587489846324184E-2</v>
      </c>
      <c r="Y1686">
        <v>2.5800198841471448E-2</v>
      </c>
    </row>
    <row r="1687" spans="1:25" x14ac:dyDescent="0.25">
      <c r="A1687" s="879"/>
      <c r="B1687" s="1133">
        <v>1437</v>
      </c>
      <c r="C1687" s="883">
        <v>0.9753783406819152</v>
      </c>
      <c r="D1687" s="883">
        <v>0.97463853919121934</v>
      </c>
      <c r="E1687" s="883">
        <v>1.0057507689424843</v>
      </c>
      <c r="F1687" s="883">
        <v>0.99698700796839168</v>
      </c>
      <c r="G1687" s="883">
        <v>1.0070765121416865</v>
      </c>
      <c r="H1687" s="883">
        <v>1.040658350051143</v>
      </c>
      <c r="I1687" s="883">
        <v>0.99777759928152943</v>
      </c>
      <c r="K1687">
        <v>1.632372824414362</v>
      </c>
      <c r="L1687">
        <v>0</v>
      </c>
      <c r="M1687">
        <v>6.8834438967392952E-3</v>
      </c>
      <c r="N1687">
        <v>0.12943154360068801</v>
      </c>
      <c r="O1687">
        <v>3.1947894685226394E-2</v>
      </c>
      <c r="P1687">
        <v>1.8452346034323681E-2</v>
      </c>
      <c r="Q1687">
        <v>0</v>
      </c>
      <c r="R1687">
        <v>6.8834438967392952E-3</v>
      </c>
      <c r="S1687">
        <v>0.17529451938161858</v>
      </c>
      <c r="T1687">
        <v>1.1822747405297296</v>
      </c>
      <c r="U1687">
        <v>0</v>
      </c>
      <c r="V1687">
        <v>1.5991528047854402E-2</v>
      </c>
      <c r="W1687">
        <v>6.7929721807672969E-2</v>
      </c>
      <c r="X1687">
        <v>-1.7294266432185065E-2</v>
      </c>
      <c r="Y1687">
        <v>2.8344796759432599E-2</v>
      </c>
    </row>
    <row r="1688" spans="1:25" x14ac:dyDescent="0.25">
      <c r="A1688" s="879"/>
      <c r="B1688" s="1133">
        <v>1438</v>
      </c>
      <c r="C1688" s="883">
        <v>0.99809663151519068</v>
      </c>
      <c r="D1688" s="883">
        <v>1.0043756784836286</v>
      </c>
      <c r="E1688" s="883">
        <v>1.031676488457026</v>
      </c>
      <c r="F1688" s="883">
        <v>1.0053538974744807</v>
      </c>
      <c r="G1688" s="883">
        <v>1.0278461893976891</v>
      </c>
      <c r="H1688" s="883">
        <v>0.97941454995026667</v>
      </c>
      <c r="I1688" s="883">
        <v>1.010801222066487</v>
      </c>
      <c r="K1688">
        <v>1.6181283851532082</v>
      </c>
      <c r="L1688">
        <v>0</v>
      </c>
      <c r="M1688">
        <v>6.1063738913260364E-3</v>
      </c>
      <c r="N1688">
        <v>0.11930956125082171</v>
      </c>
      <c r="O1688">
        <v>3.0824145564007456E-2</v>
      </c>
      <c r="P1688">
        <v>1.8862298982580173E-2</v>
      </c>
      <c r="Q1688">
        <v>0</v>
      </c>
      <c r="R1688">
        <v>6.1063738913260364E-3</v>
      </c>
      <c r="S1688">
        <v>0.16963189848383814</v>
      </c>
      <c r="T1688">
        <v>1.1917143318929073</v>
      </c>
      <c r="U1688">
        <v>0</v>
      </c>
      <c r="V1688">
        <v>1.5864307869914402E-2</v>
      </c>
      <c r="W1688">
        <v>6.1822378432915055E-2</v>
      </c>
      <c r="X1688">
        <v>-1.5045498114221668E-2</v>
      </c>
      <c r="Y1688">
        <v>2.5144960790445654E-2</v>
      </c>
    </row>
    <row r="1689" spans="1:25" x14ac:dyDescent="0.25">
      <c r="A1689" s="879"/>
      <c r="B1689" s="1133">
        <v>1439</v>
      </c>
      <c r="C1689" s="883">
        <v>0.96660646899127856</v>
      </c>
      <c r="D1689" s="883">
        <v>0.98504308544537611</v>
      </c>
      <c r="E1689" s="883">
        <v>1.014880595296908</v>
      </c>
      <c r="F1689" s="883">
        <v>1.0076520801601814</v>
      </c>
      <c r="G1689" s="883">
        <v>1.0046338755281883</v>
      </c>
      <c r="H1689" s="883">
        <v>1.0051307090336343</v>
      </c>
      <c r="I1689" s="883">
        <v>0.968390131569841</v>
      </c>
      <c r="K1689">
        <v>1.6340111941969357</v>
      </c>
      <c r="L1689">
        <v>0</v>
      </c>
      <c r="M1689">
        <v>6.623942809720249E-3</v>
      </c>
      <c r="N1689">
        <v>0.12624685443341843</v>
      </c>
      <c r="O1689">
        <v>3.2092806209761703E-2</v>
      </c>
      <c r="P1689">
        <v>1.8669984129958468E-2</v>
      </c>
      <c r="Q1689">
        <v>0</v>
      </c>
      <c r="R1689">
        <v>6.623942809720249E-3</v>
      </c>
      <c r="S1689">
        <v>0.16948428835060747</v>
      </c>
      <c r="T1689">
        <v>1.194751330659457</v>
      </c>
      <c r="U1689">
        <v>0</v>
      </c>
      <c r="V1689">
        <v>1.6042249947068068E-2</v>
      </c>
      <c r="W1689">
        <v>6.5959807830482636E-2</v>
      </c>
      <c r="X1689">
        <v>-1.6512344836378472E-2</v>
      </c>
      <c r="Y1689">
        <v>2.7276217472559768E-2</v>
      </c>
    </row>
    <row r="1690" spans="1:25" x14ac:dyDescent="0.25">
      <c r="A1690" s="879"/>
      <c r="B1690" s="1133">
        <v>1440</v>
      </c>
      <c r="C1690" s="883">
        <v>1.0095033022458297</v>
      </c>
      <c r="D1690" s="883">
        <v>0.9907124983391522</v>
      </c>
      <c r="E1690" s="883">
        <v>1.0141412763181306</v>
      </c>
      <c r="F1690" s="883">
        <v>1.0013949479803503</v>
      </c>
      <c r="G1690" s="883">
        <v>0.98192048180989699</v>
      </c>
      <c r="H1690" s="883">
        <v>1.029673937548448</v>
      </c>
      <c r="I1690" s="883">
        <v>0.99967125527614942</v>
      </c>
      <c r="K1690">
        <v>1.6198243159300212</v>
      </c>
      <c r="L1690">
        <v>0</v>
      </c>
      <c r="M1690">
        <v>6.4849127940823491E-3</v>
      </c>
      <c r="N1690">
        <v>0.12346190269010474</v>
      </c>
      <c r="O1690">
        <v>3.0659282084277203E-2</v>
      </c>
      <c r="P1690">
        <v>1.8548133215328867E-2</v>
      </c>
      <c r="Q1690">
        <v>0</v>
      </c>
      <c r="R1690">
        <v>6.4849127940823491E-3</v>
      </c>
      <c r="S1690">
        <v>0.1688789528083682</v>
      </c>
      <c r="T1690">
        <v>1.1873460963419851</v>
      </c>
      <c r="U1690">
        <v>0</v>
      </c>
      <c r="V1690">
        <v>1.5802590897611466E-2</v>
      </c>
      <c r="W1690">
        <v>6.4528311198904467E-2</v>
      </c>
      <c r="X1690">
        <v>-1.6104669921141304E-2</v>
      </c>
      <c r="Y1690">
        <v>2.6703716614583189E-2</v>
      </c>
    </row>
    <row r="1691" spans="1:25" x14ac:dyDescent="0.25">
      <c r="A1691" s="879"/>
      <c r="B1691" s="1133">
        <v>1441</v>
      </c>
      <c r="C1691" s="883">
        <v>1.002916028136067</v>
      </c>
      <c r="D1691" s="883">
        <v>0.97818691505263733</v>
      </c>
      <c r="E1691" s="883">
        <v>0.97543396334693588</v>
      </c>
      <c r="F1691" s="883">
        <v>0.9986206618611364</v>
      </c>
      <c r="G1691" s="883">
        <v>0.98480160736054179</v>
      </c>
      <c r="H1691" s="883">
        <v>0.98487251534286924</v>
      </c>
      <c r="I1691" s="883">
        <v>1.0298377034521478</v>
      </c>
      <c r="K1691">
        <v>1.6128015048570206</v>
      </c>
      <c r="L1691">
        <v>0</v>
      </c>
      <c r="M1691">
        <v>6.4948795825655317E-3</v>
      </c>
      <c r="N1691">
        <v>0.11675783597517655</v>
      </c>
      <c r="O1691">
        <v>3.1050667437465415E-2</v>
      </c>
      <c r="P1691">
        <v>1.8024183975936355E-2</v>
      </c>
      <c r="Q1691">
        <v>0</v>
      </c>
      <c r="R1691">
        <v>6.4948795825655317E-3</v>
      </c>
      <c r="S1691">
        <v>0.17252822977616836</v>
      </c>
      <c r="T1691">
        <v>1.1847759174025132</v>
      </c>
      <c r="U1691">
        <v>0</v>
      </c>
      <c r="V1691">
        <v>1.5838060756499382E-2</v>
      </c>
      <c r="W1691">
        <v>6.2211383975524732E-2</v>
      </c>
      <c r="X1691">
        <v>-1.5129532517798066E-2</v>
      </c>
      <c r="Y1691">
        <v>2.6744758075534707E-2</v>
      </c>
    </row>
    <row r="1692" spans="1:25" x14ac:dyDescent="0.25">
      <c r="A1692" s="879"/>
      <c r="B1692" s="1133">
        <v>1442</v>
      </c>
      <c r="C1692" s="883">
        <v>0.9676684553993351</v>
      </c>
      <c r="D1692" s="883">
        <v>0.98128060902045278</v>
      </c>
      <c r="E1692" s="883">
        <v>1.0104366216416354</v>
      </c>
      <c r="F1692" s="883">
        <v>0.96174606176256849</v>
      </c>
      <c r="G1692" s="883">
        <v>0.99916663732305144</v>
      </c>
      <c r="H1692" s="883">
        <v>1.0040115915728987</v>
      </c>
      <c r="I1692" s="883">
        <v>0.98015448261406302</v>
      </c>
      <c r="K1692">
        <v>1.580155034439535</v>
      </c>
      <c r="L1692">
        <v>0</v>
      </c>
      <c r="M1692">
        <v>6.6463959305302616E-3</v>
      </c>
      <c r="N1692">
        <v>0.12584432339622553</v>
      </c>
      <c r="O1692">
        <v>3.211080470472507E-2</v>
      </c>
      <c r="P1692">
        <v>1.790014856648511E-2</v>
      </c>
      <c r="Q1692">
        <v>0</v>
      </c>
      <c r="R1692">
        <v>6.6463959305302616E-3</v>
      </c>
      <c r="S1692">
        <v>0.17132499289396749</v>
      </c>
      <c r="T1692">
        <v>1.1404007499200655</v>
      </c>
      <c r="U1692">
        <v>0</v>
      </c>
      <c r="V1692">
        <v>1.6036060259640366E-2</v>
      </c>
      <c r="W1692">
        <v>6.589401979824297E-2</v>
      </c>
      <c r="X1692">
        <v>-1.672474052736728E-2</v>
      </c>
      <c r="Y1692">
        <v>2.7368675427548898E-2</v>
      </c>
    </row>
    <row r="1693" spans="1:25" x14ac:dyDescent="0.25">
      <c r="A1693" s="879"/>
      <c r="B1693" s="1133">
        <v>1443</v>
      </c>
      <c r="C1693" s="883">
        <v>1.0037450798264869</v>
      </c>
      <c r="D1693" s="883">
        <v>1.0059165513932131</v>
      </c>
      <c r="E1693" s="883">
        <v>1.0119991996735449</v>
      </c>
      <c r="F1693" s="883">
        <v>0.98036571706721498</v>
      </c>
      <c r="G1693" s="883">
        <v>0.9996622193638065</v>
      </c>
      <c r="H1693" s="883">
        <v>1.0009793479595419</v>
      </c>
      <c r="I1693" s="883">
        <v>0.99186469086262874</v>
      </c>
      <c r="K1693">
        <v>1.5866595727804518</v>
      </c>
      <c r="L1693">
        <v>0</v>
      </c>
      <c r="M1693">
        <v>6.3092413476537705E-3</v>
      </c>
      <c r="N1693">
        <v>0.11973719741162299</v>
      </c>
      <c r="O1693">
        <v>3.064978204822371E-2</v>
      </c>
      <c r="P1693">
        <v>1.8153616223051786E-2</v>
      </c>
      <c r="Q1693">
        <v>0</v>
      </c>
      <c r="R1693">
        <v>6.3092413476537705E-3</v>
      </c>
      <c r="S1693">
        <v>0.16671434936902432</v>
      </c>
      <c r="T1693">
        <v>1.1624508115984571</v>
      </c>
      <c r="U1693">
        <v>0</v>
      </c>
      <c r="V1693">
        <v>1.5833571032452882E-2</v>
      </c>
      <c r="W1693">
        <v>6.2647821926921962E-2</v>
      </c>
      <c r="X1693">
        <v>-1.5507909695845987E-2</v>
      </c>
      <c r="Y1693">
        <v>2.5980332866542128E-2</v>
      </c>
    </row>
    <row r="1694" spans="1:25" x14ac:dyDescent="0.25">
      <c r="A1694" s="879"/>
      <c r="B1694" s="1133">
        <v>1444</v>
      </c>
      <c r="C1694" s="883">
        <v>1.017828012210592</v>
      </c>
      <c r="D1694" s="883">
        <v>0.98004165653751829</v>
      </c>
      <c r="E1694" s="883">
        <v>1.0070673655950413</v>
      </c>
      <c r="F1694" s="883">
        <v>0.95669700397286783</v>
      </c>
      <c r="G1694" s="883">
        <v>1.018365516177719</v>
      </c>
      <c r="H1694" s="883">
        <v>1.0250883242422621</v>
      </c>
      <c r="I1694" s="883">
        <v>1.0319155201122792</v>
      </c>
      <c r="K1694">
        <v>1.5678009507839936</v>
      </c>
      <c r="L1694">
        <v>0</v>
      </c>
      <c r="M1694">
        <v>6.4741897140776954E-3</v>
      </c>
      <c r="N1694">
        <v>0.12197377645152953</v>
      </c>
      <c r="O1694">
        <v>3.054670997088671E-2</v>
      </c>
      <c r="P1694">
        <v>1.7790537761361913E-2</v>
      </c>
      <c r="Q1694">
        <v>0</v>
      </c>
      <c r="R1694">
        <v>6.4741897140776954E-3</v>
      </c>
      <c r="S1694">
        <v>0.17274364796922378</v>
      </c>
      <c r="T1694">
        <v>1.1344735581438576</v>
      </c>
      <c r="U1694">
        <v>0</v>
      </c>
      <c r="V1694">
        <v>1.5758422361110032E-2</v>
      </c>
      <c r="W1694">
        <v>6.3973917762481333E-2</v>
      </c>
      <c r="X1694">
        <v>-1.6119180516218138E-2</v>
      </c>
      <c r="Y1694">
        <v>2.665956087976111E-2</v>
      </c>
    </row>
    <row r="1695" spans="1:25" x14ac:dyDescent="0.25">
      <c r="A1695" s="879"/>
      <c r="B1695" s="1133">
        <v>1445</v>
      </c>
      <c r="C1695" s="883">
        <v>0.96071980359306641</v>
      </c>
      <c r="D1695" s="883">
        <v>1.0029493325416876</v>
      </c>
      <c r="E1695" s="883">
        <v>1.0214531859207157</v>
      </c>
      <c r="F1695" s="883">
        <v>0.97518007064136858</v>
      </c>
      <c r="G1695" s="883">
        <v>0.97074010949817113</v>
      </c>
      <c r="H1695" s="883">
        <v>1.0026984025150159</v>
      </c>
      <c r="I1695" s="883">
        <v>0.99990302594646041</v>
      </c>
      <c r="K1695">
        <v>1.6006568728511004</v>
      </c>
      <c r="L1695">
        <v>0</v>
      </c>
      <c r="M1695">
        <v>6.5573436017305952E-3</v>
      </c>
      <c r="N1695">
        <v>0.12619874900126082</v>
      </c>
      <c r="O1695">
        <v>3.2051432951795383E-2</v>
      </c>
      <c r="P1695">
        <v>1.8322523825864186E-2</v>
      </c>
      <c r="Q1695">
        <v>0</v>
      </c>
      <c r="R1695">
        <v>6.5573436017305952E-3</v>
      </c>
      <c r="S1695">
        <v>0.17573744123794807</v>
      </c>
      <c r="T1695">
        <v>1.156131361152009</v>
      </c>
      <c r="U1695">
        <v>0</v>
      </c>
      <c r="V1695">
        <v>1.6076807975021038E-2</v>
      </c>
      <c r="W1695">
        <v>6.5721389120305895E-2</v>
      </c>
      <c r="X1695">
        <v>-1.6584806201380909E-2</v>
      </c>
      <c r="Y1695">
        <v>2.7001973788275496E-2</v>
      </c>
    </row>
    <row r="1696" spans="1:25" x14ac:dyDescent="0.25">
      <c r="A1696" s="879"/>
      <c r="B1696" s="1133">
        <v>1446</v>
      </c>
      <c r="C1696" s="883">
        <v>0.9870376904301883</v>
      </c>
      <c r="D1696" s="883">
        <v>0.98766634909114537</v>
      </c>
      <c r="E1696" s="883">
        <v>1.0427884453146641</v>
      </c>
      <c r="F1696" s="883">
        <v>1.0258476990154966</v>
      </c>
      <c r="G1696" s="883">
        <v>1.02229823004817</v>
      </c>
      <c r="H1696" s="883">
        <v>0.98641096649742721</v>
      </c>
      <c r="I1696" s="883">
        <v>1.007091095682499</v>
      </c>
      <c r="K1696">
        <v>1.6507262427396239</v>
      </c>
      <c r="L1696">
        <v>0</v>
      </c>
      <c r="M1696">
        <v>6.204853636103653E-3</v>
      </c>
      <c r="N1696">
        <v>0.1232404169630638</v>
      </c>
      <c r="O1696">
        <v>3.1368528832793979E-2</v>
      </c>
      <c r="P1696">
        <v>1.9375807984368058E-2</v>
      </c>
      <c r="Q1696">
        <v>0</v>
      </c>
      <c r="R1696">
        <v>6.204853636103653E-3</v>
      </c>
      <c r="S1696">
        <v>0.17149748864994882</v>
      </c>
      <c r="T1696">
        <v>1.2157970494803794</v>
      </c>
      <c r="U1696">
        <v>0</v>
      </c>
      <c r="V1696">
        <v>1.5925505310426691E-2</v>
      </c>
      <c r="W1696">
        <v>6.351306839056417E-2</v>
      </c>
      <c r="X1696">
        <v>-1.5542105722620556E-2</v>
      </c>
      <c r="Y1696">
        <v>2.555048285069875E-2</v>
      </c>
    </row>
    <row r="1697" spans="1:25" x14ac:dyDescent="0.25">
      <c r="A1697" s="879"/>
      <c r="B1697" s="1133">
        <v>1447</v>
      </c>
      <c r="C1697" s="883">
        <v>1.0072055607982573</v>
      </c>
      <c r="D1697" s="883">
        <v>1.0157150005294142</v>
      </c>
      <c r="E1697" s="883">
        <v>0.96938767712706309</v>
      </c>
      <c r="F1697" s="883">
        <v>1.0068957725252594</v>
      </c>
      <c r="G1697" s="883">
        <v>1.0297535667820203</v>
      </c>
      <c r="H1697" s="883">
        <v>1.0362655599716164</v>
      </c>
      <c r="I1697" s="883">
        <v>0.99849401485982825</v>
      </c>
      <c r="K1697">
        <v>1.6238998054087825</v>
      </c>
      <c r="L1697">
        <v>0</v>
      </c>
      <c r="M1697">
        <v>6.726689950406442E-3</v>
      </c>
      <c r="N1697">
        <v>0.11984452587438457</v>
      </c>
      <c r="O1697">
        <v>3.0460911063748274E-2</v>
      </c>
      <c r="P1697">
        <v>1.8024610035070967E-2</v>
      </c>
      <c r="Q1697">
        <v>0</v>
      </c>
      <c r="R1697">
        <v>6.726689950406442E-3</v>
      </c>
      <c r="S1697">
        <v>0.16912439891526782</v>
      </c>
      <c r="T1697">
        <v>1.1947074896644287</v>
      </c>
      <c r="U1697">
        <v>0</v>
      </c>
      <c r="V1697">
        <v>1.5814910631883474E-2</v>
      </c>
      <c r="W1697">
        <v>6.4050262238096706E-2</v>
      </c>
      <c r="X1697">
        <v>-1.5826614923694877E-2</v>
      </c>
      <c r="Y1697">
        <v>2.7699311909596232E-2</v>
      </c>
    </row>
    <row r="1698" spans="1:25" x14ac:dyDescent="0.25">
      <c r="A1698" s="879"/>
      <c r="B1698" s="1133">
        <v>1448</v>
      </c>
      <c r="C1698" s="883">
        <v>0.99668802570028359</v>
      </c>
      <c r="D1698" s="883">
        <v>1.0331779562359724</v>
      </c>
      <c r="E1698" s="883">
        <v>0.9879581500234933</v>
      </c>
      <c r="F1698" s="883">
        <v>0.99161987784284678</v>
      </c>
      <c r="G1698" s="883">
        <v>1.019117173374001</v>
      </c>
      <c r="H1698" s="883">
        <v>1.020725267109291</v>
      </c>
      <c r="I1698" s="883">
        <v>0.95712066866234924</v>
      </c>
      <c r="K1698">
        <v>1.5977969606419486</v>
      </c>
      <c r="L1698">
        <v>0</v>
      </c>
      <c r="M1698">
        <v>6.5384015586157709E-3</v>
      </c>
      <c r="N1698">
        <v>0.1197444837511823</v>
      </c>
      <c r="O1698">
        <v>3.0558664820280409E-2</v>
      </c>
      <c r="P1698">
        <v>1.7957343192278433E-2</v>
      </c>
      <c r="Q1698">
        <v>0</v>
      </c>
      <c r="R1698">
        <v>6.5384015586157709E-3</v>
      </c>
      <c r="S1698">
        <v>0.16281983163132538</v>
      </c>
      <c r="T1698">
        <v>1.1762382934474123</v>
      </c>
      <c r="U1698">
        <v>0</v>
      </c>
      <c r="V1698">
        <v>1.5872027272434582E-2</v>
      </c>
      <c r="W1698">
        <v>6.3404162823188837E-2</v>
      </c>
      <c r="X1698">
        <v>-1.5721820122441558E-2</v>
      </c>
      <c r="Y1698">
        <v>2.6923973826286647E-2</v>
      </c>
    </row>
    <row r="1699" spans="1:25" x14ac:dyDescent="0.25">
      <c r="A1699" s="879"/>
      <c r="B1699" s="1133">
        <v>1449</v>
      </c>
      <c r="C1699" s="883">
        <v>0.98829753983050705</v>
      </c>
      <c r="D1699" s="883">
        <v>1.0336572269139541</v>
      </c>
      <c r="E1699" s="883">
        <v>1.0017556454349776</v>
      </c>
      <c r="F1699" s="883">
        <v>1.0245159853907375</v>
      </c>
      <c r="G1699" s="883">
        <v>0.99115086335078595</v>
      </c>
      <c r="H1699" s="883">
        <v>0.97805989168707375</v>
      </c>
      <c r="I1699" s="883">
        <v>1.0001761975842751</v>
      </c>
      <c r="K1699">
        <v>1.6385840872337591</v>
      </c>
      <c r="L1699">
        <v>0</v>
      </c>
      <c r="M1699">
        <v>6.2413481620456866E-3</v>
      </c>
      <c r="N1699">
        <v>0.11666565351123048</v>
      </c>
      <c r="O1699">
        <v>3.0800866000467601E-2</v>
      </c>
      <c r="P1699">
        <v>1.8751231966125142E-2</v>
      </c>
      <c r="Q1699">
        <v>0</v>
      </c>
      <c r="R1699">
        <v>6.2413481620456866E-3</v>
      </c>
      <c r="S1699">
        <v>0.16913229665280113</v>
      </c>
      <c r="T1699">
        <v>1.2149959180262255</v>
      </c>
      <c r="U1699">
        <v>0</v>
      </c>
      <c r="V1699">
        <v>1.5918464490718789E-2</v>
      </c>
      <c r="W1699">
        <v>6.1351204390010974E-2</v>
      </c>
      <c r="X1699">
        <v>-1.4732308616564683E-2</v>
      </c>
      <c r="Y1699">
        <v>2.5700760812744583E-2</v>
      </c>
    </row>
    <row r="1700" spans="1:25" x14ac:dyDescent="0.25">
      <c r="A1700" s="879"/>
      <c r="B1700" s="1133">
        <v>1450</v>
      </c>
      <c r="C1700" s="883">
        <v>1.0031899752002225</v>
      </c>
      <c r="D1700" s="883">
        <v>1.0391652022122972</v>
      </c>
      <c r="E1700" s="883">
        <v>0.9873859691423218</v>
      </c>
      <c r="F1700" s="883">
        <v>1.0224979023025929</v>
      </c>
      <c r="G1700" s="883">
        <v>1.0253196288114677</v>
      </c>
      <c r="H1700" s="883">
        <v>0.99603341969942105</v>
      </c>
      <c r="I1700" s="883">
        <v>0.97150739853034951</v>
      </c>
      <c r="K1700">
        <v>1.6285471480303488</v>
      </c>
      <c r="L1700">
        <v>0</v>
      </c>
      <c r="M1700">
        <v>6.3257556070483245E-3</v>
      </c>
      <c r="N1700">
        <v>0.11575182803475778</v>
      </c>
      <c r="O1700">
        <v>3.0290971945487622E-2</v>
      </c>
      <c r="P1700">
        <v>1.8433666754787557E-2</v>
      </c>
      <c r="Q1700">
        <v>0</v>
      </c>
      <c r="R1700">
        <v>6.3257556070483245E-3</v>
      </c>
      <c r="S1700">
        <v>0.16277665036936237</v>
      </c>
      <c r="T1700">
        <v>1.2128760506513059</v>
      </c>
      <c r="U1700">
        <v>0</v>
      </c>
      <c r="V1700">
        <v>1.5836576377040643E-2</v>
      </c>
      <c r="W1700">
        <v>6.1307576586873608E-2</v>
      </c>
      <c r="X1700">
        <v>-1.4774508336567604E-2</v>
      </c>
      <c r="Y1700">
        <v>2.6048335647300292E-2</v>
      </c>
    </row>
    <row r="1701" spans="1:25" x14ac:dyDescent="0.25">
      <c r="A1701" s="879"/>
      <c r="B1701" s="1133">
        <v>1451</v>
      </c>
      <c r="C1701" s="883">
        <v>1.0275825150305493</v>
      </c>
      <c r="D1701" s="883">
        <v>0.96790855699223166</v>
      </c>
      <c r="E1701" s="883">
        <v>1.0230165882212547</v>
      </c>
      <c r="F1701" s="883">
        <v>0.98228482814202756</v>
      </c>
      <c r="G1701" s="883">
        <v>1.0000840833193203</v>
      </c>
      <c r="H1701" s="883">
        <v>0.999305860280291</v>
      </c>
      <c r="I1701" s="883">
        <v>1.0280508619288078</v>
      </c>
      <c r="K1701">
        <v>1.5900741244059213</v>
      </c>
      <c r="L1701">
        <v>0</v>
      </c>
      <c r="M1701">
        <v>6.1992098483761218E-3</v>
      </c>
      <c r="N1701">
        <v>0.1195825153649176</v>
      </c>
      <c r="O1701">
        <v>3.0393813924693081E-2</v>
      </c>
      <c r="P1701">
        <v>1.8362583637811503E-2</v>
      </c>
      <c r="Q1701">
        <v>0</v>
      </c>
      <c r="R1701">
        <v>6.1992098483761218E-3</v>
      </c>
      <c r="S1701">
        <v>0.16910382700187915</v>
      </c>
      <c r="T1701">
        <v>1.1645260637733486</v>
      </c>
      <c r="U1701">
        <v>0</v>
      </c>
      <c r="V1701">
        <v>1.57075783184326E-2</v>
      </c>
      <c r="W1701">
        <v>6.2227909937364011E-2</v>
      </c>
      <c r="X1701">
        <v>-1.5357410289918209E-2</v>
      </c>
      <c r="Y1701">
        <v>2.5527242737393544E-2</v>
      </c>
    </row>
    <row r="1702" spans="1:25" x14ac:dyDescent="0.25">
      <c r="A1702" s="879"/>
      <c r="B1702" s="1133">
        <v>1452</v>
      </c>
      <c r="C1702" s="883">
        <v>1.0247791266484012</v>
      </c>
      <c r="D1702" s="883">
        <v>1.0458268528322554</v>
      </c>
      <c r="E1702" s="883">
        <v>1.034409445434991</v>
      </c>
      <c r="F1702" s="883">
        <v>0.99782513360489455</v>
      </c>
      <c r="G1702" s="883">
        <v>1.0151696366615794</v>
      </c>
      <c r="H1702" s="883">
        <v>0.993362275277345</v>
      </c>
      <c r="I1702" s="883">
        <v>0.96041957669139943</v>
      </c>
      <c r="K1702">
        <v>1.5897240374869619</v>
      </c>
      <c r="L1702">
        <v>0</v>
      </c>
      <c r="M1702">
        <v>5.9102133418971973E-3</v>
      </c>
      <c r="N1702">
        <v>0.1159442199783252</v>
      </c>
      <c r="O1702">
        <v>2.9537344822720576E-2</v>
      </c>
      <c r="P1702">
        <v>1.8606766170069761E-2</v>
      </c>
      <c r="Q1702">
        <v>0</v>
      </c>
      <c r="R1702">
        <v>5.9102133418971973E-3</v>
      </c>
      <c r="S1702">
        <v>0.15737809212486353</v>
      </c>
      <c r="T1702">
        <v>1.1827396922200815</v>
      </c>
      <c r="U1702">
        <v>0</v>
      </c>
      <c r="V1702">
        <v>1.5722091490139947E-2</v>
      </c>
      <c r="W1702">
        <v>5.9998170211469887E-2</v>
      </c>
      <c r="X1702">
        <v>-1.4539546093883051E-2</v>
      </c>
      <c r="Y1702">
        <v>2.4337206563173903E-2</v>
      </c>
    </row>
    <row r="1703" spans="1:25" x14ac:dyDescent="0.25">
      <c r="A1703" s="879"/>
      <c r="B1703" s="1133">
        <v>1453</v>
      </c>
      <c r="C1703" s="883">
        <v>0.99827381693863648</v>
      </c>
      <c r="D1703" s="883">
        <v>0.99537136370663759</v>
      </c>
      <c r="E1703" s="883">
        <v>1.0207913102562522</v>
      </c>
      <c r="F1703" s="883">
        <v>0.98682432423095479</v>
      </c>
      <c r="G1703" s="883">
        <v>0.99073170179648729</v>
      </c>
      <c r="H1703" s="883">
        <v>1.0070690301691143</v>
      </c>
      <c r="I1703" s="883">
        <v>0.98091522893646077</v>
      </c>
      <c r="K1703">
        <v>1.59776219871852</v>
      </c>
      <c r="L1703">
        <v>0</v>
      </c>
      <c r="M1703">
        <v>6.3633360582708454E-3</v>
      </c>
      <c r="N1703">
        <v>0.12234515720192667</v>
      </c>
      <c r="O1703">
        <v>3.0940018139381548E-2</v>
      </c>
      <c r="P1703">
        <v>1.8369025557716048E-2</v>
      </c>
      <c r="Q1703">
        <v>0</v>
      </c>
      <c r="R1703">
        <v>6.3633360582708454E-3</v>
      </c>
      <c r="S1703">
        <v>0.16623995803925551</v>
      </c>
      <c r="T1703">
        <v>1.1699483633753278</v>
      </c>
      <c r="U1703">
        <v>0</v>
      </c>
      <c r="V1703">
        <v>1.5863338405747402E-2</v>
      </c>
      <c r="W1703">
        <v>6.3735294719681562E-2</v>
      </c>
      <c r="X1703">
        <v>-1.5882041976881454E-2</v>
      </c>
      <c r="Y1703">
        <v>2.6203085256363685E-2</v>
      </c>
    </row>
    <row r="1704" spans="1:25" x14ac:dyDescent="0.25">
      <c r="A1704" s="879"/>
      <c r="B1704" s="1133">
        <v>1454</v>
      </c>
      <c r="C1704" s="883">
        <v>0.97880672847412864</v>
      </c>
      <c r="D1704" s="883">
        <v>1.0075979976897809</v>
      </c>
      <c r="E1704" s="883">
        <v>1.0005597279781282</v>
      </c>
      <c r="F1704" s="883">
        <v>1.0143546366829377</v>
      </c>
      <c r="G1704" s="883">
        <v>1.0079453754752306</v>
      </c>
      <c r="H1704" s="883">
        <v>0.96923748721028447</v>
      </c>
      <c r="I1704" s="883">
        <v>0.99663996965604584</v>
      </c>
      <c r="K1704">
        <v>1.6299169861809129</v>
      </c>
      <c r="L1704">
        <v>0</v>
      </c>
      <c r="M1704">
        <v>6.3230734347097918E-3</v>
      </c>
      <c r="N1704">
        <v>0.1179840901571841</v>
      </c>
      <c r="O1704">
        <v>3.1419827305691136E-2</v>
      </c>
      <c r="P1704">
        <v>1.8584197883720201E-2</v>
      </c>
      <c r="Q1704">
        <v>0</v>
      </c>
      <c r="R1704">
        <v>6.3230734347097918E-3</v>
      </c>
      <c r="S1704">
        <v>0.169887872522057</v>
      </c>
      <c r="T1704">
        <v>1.2029678916230642</v>
      </c>
      <c r="U1704">
        <v>0</v>
      </c>
      <c r="V1704">
        <v>1.5971951057470398E-2</v>
      </c>
      <c r="W1704">
        <v>6.2081377155699363E-2</v>
      </c>
      <c r="X1704">
        <v>-1.5017512462993371E-2</v>
      </c>
      <c r="Y1704">
        <v>2.6037290939019107E-2</v>
      </c>
    </row>
    <row r="1705" spans="1:25" x14ac:dyDescent="0.25">
      <c r="A1705" s="879"/>
      <c r="B1705" s="1133">
        <v>1455</v>
      </c>
      <c r="C1705" s="883">
        <v>0.98026576371874574</v>
      </c>
      <c r="D1705" s="883">
        <v>1.0442478456892295</v>
      </c>
      <c r="E1705" s="883">
        <v>0.983840555429213</v>
      </c>
      <c r="F1705" s="883">
        <v>1.0100338078653524</v>
      </c>
      <c r="G1705" s="883">
        <v>1.0268819216293876</v>
      </c>
      <c r="H1705" s="883">
        <v>1.0127295759930395</v>
      </c>
      <c r="I1705" s="883">
        <v>0.9878688039070822</v>
      </c>
      <c r="K1705">
        <v>1.6286939071298814</v>
      </c>
      <c r="L1705">
        <v>0</v>
      </c>
      <c r="M1705">
        <v>6.588269108649506E-3</v>
      </c>
      <c r="N1705">
        <v>0.11992320580645208</v>
      </c>
      <c r="O1705">
        <v>3.094178254467041E-2</v>
      </c>
      <c r="P1705">
        <v>1.8290363282148805E-2</v>
      </c>
      <c r="Q1705">
        <v>0</v>
      </c>
      <c r="R1705">
        <v>6.588269108649506E-3</v>
      </c>
      <c r="S1705">
        <v>0.17029598672805829</v>
      </c>
      <c r="T1705">
        <v>1.1981580541871892</v>
      </c>
      <c r="U1705">
        <v>0</v>
      </c>
      <c r="V1705">
        <v>1.596366112404517E-2</v>
      </c>
      <c r="W1705">
        <v>6.3629531186183655E-2</v>
      </c>
      <c r="X1705">
        <v>-1.5637997250098915E-2</v>
      </c>
      <c r="Y1705">
        <v>2.7129319521232542E-2</v>
      </c>
    </row>
    <row r="1706" spans="1:25" x14ac:dyDescent="0.25">
      <c r="A1706" s="879"/>
      <c r="B1706" s="1133">
        <v>1456</v>
      </c>
      <c r="C1706" s="883">
        <v>0.9971658889187639</v>
      </c>
      <c r="D1706" s="883">
        <v>1.0052916098312077</v>
      </c>
      <c r="E1706" s="883">
        <v>1.0052437303508268</v>
      </c>
      <c r="F1706" s="883">
        <v>1.0106134273701939</v>
      </c>
      <c r="G1706" s="883">
        <v>1.0200947615249925</v>
      </c>
      <c r="H1706" s="883">
        <v>1.0058519162066313</v>
      </c>
      <c r="I1706" s="883">
        <v>0.98807734800717439</v>
      </c>
      <c r="K1706">
        <v>1.6260411907452255</v>
      </c>
      <c r="L1706">
        <v>0</v>
      </c>
      <c r="M1706">
        <v>6.4213708911118588E-3</v>
      </c>
      <c r="N1706">
        <v>0.12065241328747374</v>
      </c>
      <c r="O1706">
        <v>3.086560023265951E-2</v>
      </c>
      <c r="P1706">
        <v>1.8555221784901359E-2</v>
      </c>
      <c r="Q1706">
        <v>0</v>
      </c>
      <c r="R1706">
        <v>6.4213708911118588E-3</v>
      </c>
      <c r="S1706">
        <v>0.16745181196254852</v>
      </c>
      <c r="T1706">
        <v>1.1984431095804242</v>
      </c>
      <c r="U1706">
        <v>0</v>
      </c>
      <c r="V1706">
        <v>1.5869406055347004E-2</v>
      </c>
      <c r="W1706">
        <v>6.3338071207404575E-2</v>
      </c>
      <c r="X1706">
        <v>-1.5576505733722256E-2</v>
      </c>
      <c r="Y1706">
        <v>2.6442062368187816E-2</v>
      </c>
    </row>
    <row r="1707" spans="1:25" x14ac:dyDescent="0.25">
      <c r="A1707" s="879"/>
      <c r="B1707" s="1133">
        <v>1457</v>
      </c>
      <c r="C1707" s="883">
        <v>1.0159353956731327</v>
      </c>
      <c r="D1707" s="883">
        <v>0.98707092957616538</v>
      </c>
      <c r="E1707" s="883">
        <v>0.99848927793780529</v>
      </c>
      <c r="F1707" s="883">
        <v>1.0058534810254895</v>
      </c>
      <c r="G1707" s="883">
        <v>1.0131557208614708</v>
      </c>
      <c r="H1707" s="883">
        <v>1.0235913337326548</v>
      </c>
      <c r="I1707" s="883">
        <v>0.9615572864359655</v>
      </c>
      <c r="K1707">
        <v>1.6143389876389556</v>
      </c>
      <c r="L1707">
        <v>0</v>
      </c>
      <c r="M1707">
        <v>6.5047210067049506E-3</v>
      </c>
      <c r="N1707">
        <v>0.12100177003003607</v>
      </c>
      <c r="O1707">
        <v>3.0523547095180507E-2</v>
      </c>
      <c r="P1707">
        <v>1.8300560086940233E-2</v>
      </c>
      <c r="Q1707">
        <v>0</v>
      </c>
      <c r="R1707">
        <v>6.5047210067049506E-3</v>
      </c>
      <c r="S1707">
        <v>0.16109876683176141</v>
      </c>
      <c r="T1707">
        <v>1.1929247056692207</v>
      </c>
      <c r="U1707">
        <v>0</v>
      </c>
      <c r="V1707">
        <v>1.5768400468662101E-2</v>
      </c>
      <c r="W1707">
        <v>6.3734747601371905E-2</v>
      </c>
      <c r="X1707">
        <v>-1.5798793452651033E-2</v>
      </c>
      <c r="Y1707">
        <v>2.6785283308432651E-2</v>
      </c>
    </row>
    <row r="1708" spans="1:25" x14ac:dyDescent="0.25">
      <c r="A1708" s="879"/>
      <c r="B1708" s="1133">
        <v>1458</v>
      </c>
      <c r="C1708" s="883">
        <v>1.0205591247330541</v>
      </c>
      <c r="D1708" s="883">
        <v>1.0207532612037009</v>
      </c>
      <c r="E1708" s="883">
        <v>0.98621424841025895</v>
      </c>
      <c r="F1708" s="883">
        <v>1.030094808216292</v>
      </c>
      <c r="G1708" s="883">
        <v>1.0115110633351529</v>
      </c>
      <c r="H1708" s="883">
        <v>0.98369566003458764</v>
      </c>
      <c r="I1708" s="883">
        <v>0.97840710746954107</v>
      </c>
      <c r="K1708">
        <v>1.6312065692225624</v>
      </c>
      <c r="L1708">
        <v>0</v>
      </c>
      <c r="M1708">
        <v>6.1964840478803719E-3</v>
      </c>
      <c r="N1708">
        <v>0.11318950567010722</v>
      </c>
      <c r="O1708">
        <v>2.9990047697981064E-2</v>
      </c>
      <c r="P1708">
        <v>1.8506900141963163E-2</v>
      </c>
      <c r="Q1708">
        <v>0</v>
      </c>
      <c r="R1708">
        <v>6.1964840478803719E-3</v>
      </c>
      <c r="S1708">
        <v>0.16062505467969887</v>
      </c>
      <c r="T1708">
        <v>1.2219099207572253</v>
      </c>
      <c r="U1708">
        <v>0</v>
      </c>
      <c r="V1708">
        <v>1.5744088834226413E-2</v>
      </c>
      <c r="W1708">
        <v>5.9985536027594731E-2</v>
      </c>
      <c r="X1708">
        <v>-1.4260502962360616E-2</v>
      </c>
      <c r="Y1708">
        <v>2.5516018376126447E-2</v>
      </c>
    </row>
    <row r="1709" spans="1:25" x14ac:dyDescent="0.25">
      <c r="A1709" s="879"/>
      <c r="B1709" s="1133">
        <v>1459</v>
      </c>
      <c r="C1709" s="883">
        <v>1.0080420816234179</v>
      </c>
      <c r="D1709" s="883">
        <v>0.97734298642426998</v>
      </c>
      <c r="E1709" s="883">
        <v>1.0260862986998291</v>
      </c>
      <c r="F1709" s="883">
        <v>1.0019240996077619</v>
      </c>
      <c r="G1709" s="883">
        <v>1.0187364332505271</v>
      </c>
      <c r="H1709" s="883">
        <v>1.0072446719877555</v>
      </c>
      <c r="I1709" s="883">
        <v>0.97395460946629986</v>
      </c>
      <c r="K1709">
        <v>1.6132252156767541</v>
      </c>
      <c r="L1709">
        <v>0</v>
      </c>
      <c r="M1709">
        <v>6.3250099239539571E-3</v>
      </c>
      <c r="N1709">
        <v>0.12256430921142858</v>
      </c>
      <c r="O1709">
        <v>3.08601679034325E-2</v>
      </c>
      <c r="P1709">
        <v>1.8648236525408545E-2</v>
      </c>
      <c r="Q1709">
        <v>0</v>
      </c>
      <c r="R1709">
        <v>6.3250099239539571E-3</v>
      </c>
      <c r="S1709">
        <v>0.16366362355416464</v>
      </c>
      <c r="T1709">
        <v>1.1877521399309028</v>
      </c>
      <c r="U1709">
        <v>0</v>
      </c>
      <c r="V1709">
        <v>1.5810418980713063E-2</v>
      </c>
      <c r="W1709">
        <v>6.3683374255011208E-2</v>
      </c>
      <c r="X1709">
        <v>-1.5802319741352676E-2</v>
      </c>
      <c r="Y1709">
        <v>2.6045265057044343E-2</v>
      </c>
    </row>
    <row r="1710" spans="1:25" x14ac:dyDescent="0.25">
      <c r="A1710" s="879"/>
      <c r="B1710" s="1133">
        <v>1460</v>
      </c>
      <c r="C1710" s="883">
        <v>0.97241997099294097</v>
      </c>
      <c r="D1710" s="883">
        <v>1.0153256382814799</v>
      </c>
      <c r="E1710" s="883">
        <v>0.98390801523497284</v>
      </c>
      <c r="F1710" s="883">
        <v>0.97613012346016148</v>
      </c>
      <c r="G1710" s="883">
        <v>0.99887302412637891</v>
      </c>
      <c r="H1710" s="883">
        <v>0.98316342788719113</v>
      </c>
      <c r="I1710" s="883">
        <v>1.0227077604138284</v>
      </c>
      <c r="K1710">
        <v>1.5928041658187473</v>
      </c>
      <c r="L1710">
        <v>0</v>
      </c>
      <c r="M1710">
        <v>6.5282959607126101E-3</v>
      </c>
      <c r="N1710">
        <v>0.11884343329644913</v>
      </c>
      <c r="O1710">
        <v>3.1543787314694982E-2</v>
      </c>
      <c r="P1710">
        <v>1.78391504044219E-2</v>
      </c>
      <c r="Q1710">
        <v>0</v>
      </c>
      <c r="R1710">
        <v>6.5282959607126101E-3</v>
      </c>
      <c r="S1710">
        <v>0.17622754247634953</v>
      </c>
      <c r="T1710">
        <v>1.1579383971651775</v>
      </c>
      <c r="U1710">
        <v>0</v>
      </c>
      <c r="V1710">
        <v>1.6008532063980792E-2</v>
      </c>
      <c r="W1710">
        <v>6.3054492888511213E-2</v>
      </c>
      <c r="X1710">
        <v>-1.5533530563688624E-2</v>
      </c>
      <c r="Y1710">
        <v>2.6882360772850795E-2</v>
      </c>
    </row>
    <row r="1711" spans="1:25" x14ac:dyDescent="0.25">
      <c r="A1711" s="879"/>
      <c r="B1711" s="1133">
        <v>1461</v>
      </c>
      <c r="C1711" s="883">
        <v>1.0057430796095259</v>
      </c>
      <c r="D1711" s="883">
        <v>1.0062179563325786</v>
      </c>
      <c r="E1711" s="883">
        <v>1.0328142883037827</v>
      </c>
      <c r="F1711" s="883">
        <v>0.99804728934085929</v>
      </c>
      <c r="G1711" s="883">
        <v>1.0213483533807906</v>
      </c>
      <c r="H1711" s="883">
        <v>0.99464102209601868</v>
      </c>
      <c r="I1711" s="883">
        <v>1.0198036122157399</v>
      </c>
      <c r="K1711">
        <v>1.6114274748110988</v>
      </c>
      <c r="L1711">
        <v>0</v>
      </c>
      <c r="M1711">
        <v>6.1430025418284699E-3</v>
      </c>
      <c r="N1711">
        <v>0.12022723695249467</v>
      </c>
      <c r="O1711">
        <v>3.0566315497528706E-2</v>
      </c>
      <c r="P1711">
        <v>1.8773481237267204E-2</v>
      </c>
      <c r="Q1711">
        <v>0</v>
      </c>
      <c r="R1711">
        <v>6.1430025418284699E-3</v>
      </c>
      <c r="S1711">
        <v>0.17071787805330968</v>
      </c>
      <c r="T1711">
        <v>1.1830323692844396</v>
      </c>
      <c r="U1711">
        <v>0</v>
      </c>
      <c r="V1711">
        <v>1.5822781292062663E-2</v>
      </c>
      <c r="W1711">
        <v>6.2263156023846356E-2</v>
      </c>
      <c r="X1711">
        <v>-1.5271534583407591E-2</v>
      </c>
      <c r="Y1711">
        <v>2.529579105355793E-2</v>
      </c>
    </row>
    <row r="1712" spans="1:25" x14ac:dyDescent="0.25">
      <c r="A1712" s="879"/>
      <c r="B1712" s="1133">
        <v>1462</v>
      </c>
      <c r="C1712" s="883">
        <v>0.98534546557116831</v>
      </c>
      <c r="D1712" s="883">
        <v>1.0080819080124426</v>
      </c>
      <c r="E1712" s="883">
        <v>0.97479854147998957</v>
      </c>
      <c r="F1712" s="883">
        <v>0.97018997171750621</v>
      </c>
      <c r="G1712" s="883">
        <v>0.96335341497972593</v>
      </c>
      <c r="H1712" s="883">
        <v>0.97768181812361699</v>
      </c>
      <c r="I1712" s="883">
        <v>0.9824772321831039</v>
      </c>
      <c r="K1712">
        <v>1.5723592674688351</v>
      </c>
      <c r="L1712">
        <v>0</v>
      </c>
      <c r="M1712">
        <v>6.4784518115601928E-3</v>
      </c>
      <c r="N1712">
        <v>0.11635273099131016</v>
      </c>
      <c r="O1712">
        <v>3.1226574598207466E-2</v>
      </c>
      <c r="P1712">
        <v>1.7499260982459349E-2</v>
      </c>
      <c r="Q1712">
        <v>0</v>
      </c>
      <c r="R1712">
        <v>6.4784518115601928E-3</v>
      </c>
      <c r="S1712">
        <v>0.16681700477989581</v>
      </c>
      <c r="T1712">
        <v>1.1510569189316422</v>
      </c>
      <c r="U1712">
        <v>0</v>
      </c>
      <c r="V1712">
        <v>1.593499084590054E-2</v>
      </c>
      <c r="W1712">
        <v>6.2015301491026457E-2</v>
      </c>
      <c r="X1712">
        <v>-1.5220626590176964E-2</v>
      </c>
      <c r="Y1712">
        <v>2.6677111438568959E-2</v>
      </c>
    </row>
    <row r="1713" spans="1:25" x14ac:dyDescent="0.25">
      <c r="A1713" s="879"/>
      <c r="B1713" s="1133">
        <v>1463</v>
      </c>
      <c r="C1713" s="883">
        <v>0.98331619546578142</v>
      </c>
      <c r="D1713" s="883">
        <v>1.0314377710618301</v>
      </c>
      <c r="E1713" s="883">
        <v>1.0120155493961178</v>
      </c>
      <c r="F1713" s="883">
        <v>0.95471354625856741</v>
      </c>
      <c r="G1713" s="883">
        <v>1.0096498847809547</v>
      </c>
      <c r="H1713" s="883">
        <v>1.0081171642123894</v>
      </c>
      <c r="I1713" s="883">
        <v>0.97057994710230755</v>
      </c>
      <c r="K1713">
        <v>1.5591926509338188</v>
      </c>
      <c r="L1713">
        <v>0</v>
      </c>
      <c r="M1713">
        <v>6.4141447362416242E-3</v>
      </c>
      <c r="N1713">
        <v>0.12173100671195923</v>
      </c>
      <c r="O1713">
        <v>3.0974548460394626E-2</v>
      </c>
      <c r="P1713">
        <v>1.7744532990199794E-2</v>
      </c>
      <c r="Q1713">
        <v>0</v>
      </c>
      <c r="R1713">
        <v>6.4141447362416242E-3</v>
      </c>
      <c r="S1713">
        <v>0.16668548082870388</v>
      </c>
      <c r="T1713">
        <v>1.1320339275162337</v>
      </c>
      <c r="U1713">
        <v>0</v>
      </c>
      <c r="V1713">
        <v>1.5946408691976596E-2</v>
      </c>
      <c r="W1713">
        <v>6.3690490309709441E-2</v>
      </c>
      <c r="X1713">
        <v>-1.6026050923999918E-2</v>
      </c>
      <c r="Y1713">
        <v>2.6412306348639805E-2</v>
      </c>
    </row>
    <row r="1714" spans="1:25" x14ac:dyDescent="0.25">
      <c r="A1714" s="879"/>
      <c r="B1714" s="1133">
        <v>1464</v>
      </c>
      <c r="C1714" s="883">
        <v>0.99336510923658061</v>
      </c>
      <c r="D1714" s="883">
        <v>0.99905296457929604</v>
      </c>
      <c r="E1714" s="883">
        <v>0.99905856546339356</v>
      </c>
      <c r="F1714" s="883">
        <v>0.98948868349453023</v>
      </c>
      <c r="G1714" s="883">
        <v>1.0026171267688748</v>
      </c>
      <c r="H1714" s="883">
        <v>1.0073424596795373</v>
      </c>
      <c r="I1714" s="883">
        <v>1.0239034986853597</v>
      </c>
      <c r="K1714">
        <v>1.6089924891965308</v>
      </c>
      <c r="L1714">
        <v>0</v>
      </c>
      <c r="M1714">
        <v>6.5085194083542696E-3</v>
      </c>
      <c r="N1714">
        <v>0.12117459195197473</v>
      </c>
      <c r="O1714">
        <v>3.1066285728958837E-2</v>
      </c>
      <c r="P1714">
        <v>1.8227827999128445E-2</v>
      </c>
      <c r="Q1714">
        <v>0</v>
      </c>
      <c r="R1714">
        <v>6.5085194083542696E-3</v>
      </c>
      <c r="S1714">
        <v>0.17433545023599883</v>
      </c>
      <c r="T1714">
        <v>1.1735058687243856</v>
      </c>
      <c r="U1714">
        <v>0</v>
      </c>
      <c r="V1714">
        <v>1.5890324164324756E-2</v>
      </c>
      <c r="W1714">
        <v>6.3807725570728238E-2</v>
      </c>
      <c r="X1714">
        <v>-1.5816509629303498E-2</v>
      </c>
      <c r="Y1714">
        <v>2.6800924450334256E-2</v>
      </c>
    </row>
    <row r="1715" spans="1:25" x14ac:dyDescent="0.25">
      <c r="A1715" s="879"/>
      <c r="B1715" s="1133">
        <v>1465</v>
      </c>
      <c r="C1715" s="883">
        <v>0.99319512438807966</v>
      </c>
      <c r="D1715" s="883">
        <v>1.0160205281029173</v>
      </c>
      <c r="E1715" s="883">
        <v>0.98484626425654742</v>
      </c>
      <c r="F1715" s="883">
        <v>1.0025408442307413</v>
      </c>
      <c r="G1715" s="883">
        <v>1.0209796726737552</v>
      </c>
      <c r="H1715" s="883">
        <v>0.99356287480760974</v>
      </c>
      <c r="I1715" s="883">
        <v>0.98801330074752169</v>
      </c>
      <c r="K1715">
        <v>1.6127821283520924</v>
      </c>
      <c r="L1715">
        <v>0</v>
      </c>
      <c r="M1715">
        <v>6.4520987089554194E-3</v>
      </c>
      <c r="N1715">
        <v>0.11761987833061646</v>
      </c>
      <c r="O1715">
        <v>3.0874763450740195E-2</v>
      </c>
      <c r="P1715">
        <v>1.8145834434857958E-2</v>
      </c>
      <c r="Q1715">
        <v>0</v>
      </c>
      <c r="R1715">
        <v>6.4520987089554194E-3</v>
      </c>
      <c r="S1715">
        <v>0.16727805486912087</v>
      </c>
      <c r="T1715">
        <v>1.189250677823301</v>
      </c>
      <c r="U1715">
        <v>0</v>
      </c>
      <c r="V1715">
        <v>1.5891263439345393E-2</v>
      </c>
      <c r="W1715">
        <v>6.2376055929232219E-2</v>
      </c>
      <c r="X1715">
        <v>-1.522299397784138E-2</v>
      </c>
      <c r="Y1715">
        <v>2.6568594052719906E-2</v>
      </c>
    </row>
    <row r="1716" spans="1:25" x14ac:dyDescent="0.25">
      <c r="A1716" s="879"/>
      <c r="B1716" s="1133">
        <v>1466</v>
      </c>
      <c r="C1716" s="883">
        <v>0.99061278475066961</v>
      </c>
      <c r="D1716" s="883">
        <v>1.0130339730901019</v>
      </c>
      <c r="E1716" s="883">
        <v>0.98671977876388317</v>
      </c>
      <c r="F1716" s="883">
        <v>1.0200013506036925</v>
      </c>
      <c r="G1716" s="883">
        <v>0.99731875189759567</v>
      </c>
      <c r="H1716" s="883">
        <v>1.0353567543227991</v>
      </c>
      <c r="I1716" s="883">
        <v>0.99711989389147926</v>
      </c>
      <c r="K1716">
        <v>1.6470481216288317</v>
      </c>
      <c r="L1716">
        <v>0</v>
      </c>
      <c r="M1716">
        <v>6.7388598180863632E-3</v>
      </c>
      <c r="N1716">
        <v>0.12318925640178124</v>
      </c>
      <c r="O1716">
        <v>3.0990196691873275E-2</v>
      </c>
      <c r="P1716">
        <v>1.8504693930341602E-2</v>
      </c>
      <c r="Q1716">
        <v>0</v>
      </c>
      <c r="R1716">
        <v>6.7388598180863632E-3</v>
      </c>
      <c r="S1716">
        <v>0.17171555383185863</v>
      </c>
      <c r="T1716">
        <v>1.2099273352154836</v>
      </c>
      <c r="U1716">
        <v>0</v>
      </c>
      <c r="V1716">
        <v>1.590557216295654E-2</v>
      </c>
      <c r="W1716">
        <v>6.5268491361119216E-2</v>
      </c>
      <c r="X1716">
        <v>-1.6202403225129614E-2</v>
      </c>
      <c r="Y1716">
        <v>2.7749425258546456E-2</v>
      </c>
    </row>
    <row r="1717" spans="1:25" x14ac:dyDescent="0.25">
      <c r="A1717" s="879"/>
      <c r="B1717" s="1133">
        <v>1467</v>
      </c>
      <c r="C1717" s="883">
        <v>0.96206701389223281</v>
      </c>
      <c r="D1717" s="883">
        <v>0.99187154304799252</v>
      </c>
      <c r="E1717" s="883">
        <v>1.0224696981908132</v>
      </c>
      <c r="F1717" s="883">
        <v>1.0020745113636422</v>
      </c>
      <c r="G1717" s="883">
        <v>1.0355587636283703</v>
      </c>
      <c r="H1717" s="883">
        <v>0.96676548689492303</v>
      </c>
      <c r="I1717" s="883">
        <v>0.99306804485349975</v>
      </c>
      <c r="K1717">
        <v>1.6234466009338817</v>
      </c>
      <c r="L1717">
        <v>0</v>
      </c>
      <c r="M1717">
        <v>6.3392142463120056E-3</v>
      </c>
      <c r="N1717">
        <v>0.12218432658439568</v>
      </c>
      <c r="O1717">
        <v>3.2148091672583187E-2</v>
      </c>
      <c r="P1717">
        <v>1.8722144056054612E-2</v>
      </c>
      <c r="Q1717">
        <v>0</v>
      </c>
      <c r="R1717">
        <v>6.3392142463120056E-3</v>
      </c>
      <c r="S1717">
        <v>0.17225219782875517</v>
      </c>
      <c r="T1717">
        <v>1.1879974154598361</v>
      </c>
      <c r="U1717">
        <v>0</v>
      </c>
      <c r="V1717">
        <v>1.6068861777287561E-2</v>
      </c>
      <c r="W1717">
        <v>6.3598942612078213E-2</v>
      </c>
      <c r="X1717">
        <v>-1.5629134985349145E-2</v>
      </c>
      <c r="Y1717">
        <v>2.6103755928239658E-2</v>
      </c>
    </row>
    <row r="1718" spans="1:25" x14ac:dyDescent="0.25">
      <c r="A1718" s="879"/>
      <c r="B1718" s="1133">
        <v>1468</v>
      </c>
      <c r="C1718" s="883">
        <v>1.0084787836915998</v>
      </c>
      <c r="D1718" s="883">
        <v>0.99452932383492376</v>
      </c>
      <c r="E1718" s="883">
        <v>0.98250629197342532</v>
      </c>
      <c r="F1718" s="883">
        <v>0.98054496382301637</v>
      </c>
      <c r="G1718" s="883">
        <v>1.0153993402533235</v>
      </c>
      <c r="H1718" s="883">
        <v>1.0082988651717015</v>
      </c>
      <c r="I1718" s="883">
        <v>0.98287378039515927</v>
      </c>
      <c r="K1718">
        <v>1.5850665056309949</v>
      </c>
      <c r="L1718">
        <v>0</v>
      </c>
      <c r="M1718">
        <v>6.5236266877981078E-3</v>
      </c>
      <c r="N1718">
        <v>0.11851176458346138</v>
      </c>
      <c r="O1718">
        <v>3.0669865500679485E-2</v>
      </c>
      <c r="P1718">
        <v>1.7737286615235898E-2</v>
      </c>
      <c r="Q1718">
        <v>0</v>
      </c>
      <c r="R1718">
        <v>6.5236266877981078E-3</v>
      </c>
      <c r="S1718">
        <v>0.16492437337375135</v>
      </c>
      <c r="T1718">
        <v>1.1632011651902532</v>
      </c>
      <c r="U1718">
        <v>0</v>
      </c>
      <c r="V1718">
        <v>1.5808077094115289E-2</v>
      </c>
      <c r="W1718">
        <v>6.2922609505104157E-2</v>
      </c>
      <c r="X1718">
        <v>-1.5571769769695416E-2</v>
      </c>
      <c r="Y1718">
        <v>2.6863133538088477E-2</v>
      </c>
    </row>
    <row r="1719" spans="1:25" x14ac:dyDescent="0.25">
      <c r="A1719" s="879"/>
      <c r="B1719" s="1133">
        <v>1469</v>
      </c>
      <c r="C1719" s="883">
        <v>1.0321817301726988</v>
      </c>
      <c r="D1719" s="883">
        <v>1.0329647678349501</v>
      </c>
      <c r="E1719" s="883">
        <v>1.0114619275261925</v>
      </c>
      <c r="F1719" s="883">
        <v>0.95589488859381577</v>
      </c>
      <c r="G1719" s="883">
        <v>0.97730415795162684</v>
      </c>
      <c r="H1719" s="883">
        <v>0.98132346041733853</v>
      </c>
      <c r="I1719" s="883">
        <v>0.97892898318762778</v>
      </c>
      <c r="K1719">
        <v>1.5368662528979069</v>
      </c>
      <c r="L1719">
        <v>0</v>
      </c>
      <c r="M1719">
        <v>5.9470446698186314E-3</v>
      </c>
      <c r="N1719">
        <v>0.11277368408875489</v>
      </c>
      <c r="O1719">
        <v>2.9491164361991101E-2</v>
      </c>
      <c r="P1719">
        <v>1.7644645293075065E-2</v>
      </c>
      <c r="Q1719">
        <v>0</v>
      </c>
      <c r="R1719">
        <v>5.9470446698186314E-3</v>
      </c>
      <c r="S1719">
        <v>0.1586936902395909</v>
      </c>
      <c r="T1719">
        <v>1.1334444904045882</v>
      </c>
      <c r="U1719">
        <v>0</v>
      </c>
      <c r="V1719">
        <v>1.5683938894289508E-2</v>
      </c>
      <c r="W1719">
        <v>5.9020105796776294E-2</v>
      </c>
      <c r="X1719">
        <v>-1.4374337596981302E-2</v>
      </c>
      <c r="Y1719">
        <v>2.4488871415822393E-2</v>
      </c>
    </row>
    <row r="1720" spans="1:25" x14ac:dyDescent="0.25">
      <c r="A1720" s="879"/>
      <c r="B1720" s="1133">
        <v>1470</v>
      </c>
      <c r="C1720" s="883">
        <v>0.97762212805138815</v>
      </c>
      <c r="D1720" s="883">
        <v>1.010228152688432</v>
      </c>
      <c r="E1720" s="883">
        <v>1.0184951596796199</v>
      </c>
      <c r="F1720" s="883">
        <v>1.0038776380832692</v>
      </c>
      <c r="G1720" s="883">
        <v>1.0399191332528488</v>
      </c>
      <c r="H1720" s="883">
        <v>1.0269485675753873</v>
      </c>
      <c r="I1720" s="883">
        <v>1.0044464547368315</v>
      </c>
      <c r="K1720">
        <v>1.6340792926165844</v>
      </c>
      <c r="L1720">
        <v>0</v>
      </c>
      <c r="M1720">
        <v>6.5956323225257662E-3</v>
      </c>
      <c r="N1720">
        <v>0.12638140124763503</v>
      </c>
      <c r="O1720">
        <v>3.1409054291838337E-2</v>
      </c>
      <c r="P1720">
        <v>1.8730801977409461E-2</v>
      </c>
      <c r="Q1720">
        <v>0</v>
      </c>
      <c r="R1720">
        <v>6.5956323225257662E-3</v>
      </c>
      <c r="S1720">
        <v>0.1748435693322179</v>
      </c>
      <c r="T1720">
        <v>1.19020888472543</v>
      </c>
      <c r="U1720">
        <v>0</v>
      </c>
      <c r="V1720">
        <v>1.5978699910259644E-2</v>
      </c>
      <c r="W1720">
        <v>6.5912482589450996E-2</v>
      </c>
      <c r="X1720">
        <v>-1.6545241383028514E-2</v>
      </c>
      <c r="Y1720">
        <v>2.7159639925371765E-2</v>
      </c>
    </row>
    <row r="1721" spans="1:25" x14ac:dyDescent="0.25">
      <c r="A1721" s="879"/>
      <c r="B1721" s="1133">
        <v>1471</v>
      </c>
      <c r="C1721" s="883">
        <v>0.9689936874478432</v>
      </c>
      <c r="D1721" s="883">
        <v>0.98256308145654447</v>
      </c>
      <c r="E1721" s="883">
        <v>0.98925710727037131</v>
      </c>
      <c r="F1721" s="883">
        <v>0.98271863209493959</v>
      </c>
      <c r="G1721" s="883">
        <v>1.0171941069372452</v>
      </c>
      <c r="H1721" s="883">
        <v>1.028347996355806</v>
      </c>
      <c r="I1721" s="883">
        <v>0.97536242921062388</v>
      </c>
      <c r="K1721">
        <v>1.6089857872756437</v>
      </c>
      <c r="L1721">
        <v>0</v>
      </c>
      <c r="M1721">
        <v>6.9210979427577419E-3</v>
      </c>
      <c r="N1721">
        <v>0.12699755961455214</v>
      </c>
      <c r="O1721">
        <v>3.2068866433484805E-2</v>
      </c>
      <c r="P1721">
        <v>1.7954255309446859E-2</v>
      </c>
      <c r="Q1721">
        <v>0</v>
      </c>
      <c r="R1721">
        <v>6.9210979427577419E-3</v>
      </c>
      <c r="S1721">
        <v>0.17164862443826995</v>
      </c>
      <c r="T1721">
        <v>1.1656560382349272</v>
      </c>
      <c r="U1721">
        <v>0</v>
      </c>
      <c r="V1721">
        <v>1.6028355298738382E-2</v>
      </c>
      <c r="W1721">
        <v>6.7201065478665056E-2</v>
      </c>
      <c r="X1721">
        <v>-1.7068826951207976E-2</v>
      </c>
      <c r="Y1721">
        <v>2.8499849418766206E-2</v>
      </c>
    </row>
    <row r="1722" spans="1:25" x14ac:dyDescent="0.25">
      <c r="A1722" s="879"/>
      <c r="B1722" s="1133">
        <v>1472</v>
      </c>
      <c r="C1722" s="883">
        <v>0.97679628522105011</v>
      </c>
      <c r="D1722" s="883">
        <v>1.0198612490069776</v>
      </c>
      <c r="E1722" s="883">
        <v>0.99308629540917426</v>
      </c>
      <c r="F1722" s="883">
        <v>0.97664686397138734</v>
      </c>
      <c r="G1722" s="883">
        <v>1.0028974857649828</v>
      </c>
      <c r="H1722" s="883">
        <v>1.0144368584073808</v>
      </c>
      <c r="I1722" s="883">
        <v>1.0076296167419134</v>
      </c>
      <c r="K1722">
        <v>1.5966922039496012</v>
      </c>
      <c r="L1722">
        <v>0</v>
      </c>
      <c r="M1722">
        <v>6.6390926907534701E-3</v>
      </c>
      <c r="N1722">
        <v>0.12251645482754984</v>
      </c>
      <c r="O1722">
        <v>3.1338903479537557E-2</v>
      </c>
      <c r="P1722">
        <v>1.7949812632182049E-2</v>
      </c>
      <c r="Q1722">
        <v>0</v>
      </c>
      <c r="R1722">
        <v>6.6390926907534701E-3</v>
      </c>
      <c r="S1722">
        <v>0.17467226592792301</v>
      </c>
      <c r="T1722">
        <v>1.1583843347541325</v>
      </c>
      <c r="U1722">
        <v>0</v>
      </c>
      <c r="V1722">
        <v>1.5983414549009468E-2</v>
      </c>
      <c r="W1722">
        <v>6.4706263225089697E-2</v>
      </c>
      <c r="X1722">
        <v>-1.6197847431900364E-2</v>
      </c>
      <c r="Y1722">
        <v>2.733860198607628E-2</v>
      </c>
    </row>
    <row r="1723" spans="1:25" x14ac:dyDescent="0.25">
      <c r="A1723" s="879"/>
      <c r="B1723" s="1133">
        <v>1473</v>
      </c>
      <c r="C1723" s="883">
        <v>1.0267451761898561</v>
      </c>
      <c r="D1723" s="883">
        <v>0.99342563560249675</v>
      </c>
      <c r="E1723" s="883">
        <v>1.0418490264747962</v>
      </c>
      <c r="F1723" s="883">
        <v>1.0086329739409809</v>
      </c>
      <c r="G1723" s="883">
        <v>1.0217672501032455</v>
      </c>
      <c r="H1723" s="883">
        <v>0.97154309588945686</v>
      </c>
      <c r="I1723" s="883">
        <v>1.0102813188598216</v>
      </c>
      <c r="K1723">
        <v>1.6107150254402236</v>
      </c>
      <c r="L1723">
        <v>0</v>
      </c>
      <c r="M1723">
        <v>5.8645932659873471E-3</v>
      </c>
      <c r="N1723">
        <v>0.11632069335519848</v>
      </c>
      <c r="O1723">
        <v>3.008624987074E-2</v>
      </c>
      <c r="P1723">
        <v>1.898133952163095E-2</v>
      </c>
      <c r="Q1723">
        <v>0</v>
      </c>
      <c r="R1723">
        <v>5.8645932659873471E-3</v>
      </c>
      <c r="S1723">
        <v>0.1644783355574902</v>
      </c>
      <c r="T1723">
        <v>1.1954122214867218</v>
      </c>
      <c r="U1723">
        <v>0</v>
      </c>
      <c r="V1723">
        <v>1.5711904929937636E-2</v>
      </c>
      <c r="W1723">
        <v>5.9974421224719437E-2</v>
      </c>
      <c r="X1723">
        <v>-1.4399491716864186E-2</v>
      </c>
      <c r="Y1723">
        <v>2.4149351210647957E-2</v>
      </c>
    </row>
    <row r="1724" spans="1:25" x14ac:dyDescent="0.25">
      <c r="A1724" s="879"/>
      <c r="B1724" s="1133">
        <v>1474</v>
      </c>
      <c r="C1724" s="883">
        <v>0.98354589275373172</v>
      </c>
      <c r="D1724" s="883">
        <v>0.98378131708237615</v>
      </c>
      <c r="E1724" s="883">
        <v>1.0074084831938726</v>
      </c>
      <c r="F1724" s="883">
        <v>1.0216613612444421</v>
      </c>
      <c r="G1724" s="883">
        <v>0.99983576027924959</v>
      </c>
      <c r="H1724" s="883">
        <v>0.99354780215189953</v>
      </c>
      <c r="I1724" s="883">
        <v>1.0053577754440488</v>
      </c>
      <c r="K1724">
        <v>1.6472597999392291</v>
      </c>
      <c r="L1724">
        <v>0</v>
      </c>
      <c r="M1724">
        <v>6.4807402685402435E-3</v>
      </c>
      <c r="N1724">
        <v>0.12215887441632858</v>
      </c>
      <c r="O1724">
        <v>3.1563009512262166E-2</v>
      </c>
      <c r="P1724">
        <v>1.8826644397280153E-2</v>
      </c>
      <c r="Q1724">
        <v>0</v>
      </c>
      <c r="R1724">
        <v>6.4807402685402435E-3</v>
      </c>
      <c r="S1724">
        <v>0.17223794825018862</v>
      </c>
      <c r="T1724">
        <v>1.2115033379383162</v>
      </c>
      <c r="U1724">
        <v>0</v>
      </c>
      <c r="V1724">
        <v>1.5945113917626829E-2</v>
      </c>
      <c r="W1724">
        <v>6.4060178290301931E-2</v>
      </c>
      <c r="X1724">
        <v>-1.5721841680159446E-2</v>
      </c>
      <c r="Y1724">
        <v>2.6686534897082653E-2</v>
      </c>
    </row>
    <row r="1725" spans="1:25" x14ac:dyDescent="0.25">
      <c r="A1725" s="879"/>
      <c r="B1725" s="1133">
        <v>1475</v>
      </c>
      <c r="C1725" s="883">
        <v>0.97123209851432446</v>
      </c>
      <c r="D1725" s="883">
        <v>0.96728789585086827</v>
      </c>
      <c r="E1725" s="883">
        <v>1.0184892748133032</v>
      </c>
      <c r="F1725" s="883">
        <v>0.99586753523486815</v>
      </c>
      <c r="G1725" s="883">
        <v>1.0027601374768755</v>
      </c>
      <c r="H1725" s="883">
        <v>0.99781702127951755</v>
      </c>
      <c r="I1725" s="883">
        <v>0.96790630548559708</v>
      </c>
      <c r="K1725">
        <v>1.618113515746336</v>
      </c>
      <c r="L1725">
        <v>0</v>
      </c>
      <c r="M1725">
        <v>6.5770089631295367E-3</v>
      </c>
      <c r="N1725">
        <v>0.12602345481192356</v>
      </c>
      <c r="O1725">
        <v>3.2169805313401703E-2</v>
      </c>
      <c r="P1725">
        <v>1.8514404852597352E-2</v>
      </c>
      <c r="Q1725">
        <v>0</v>
      </c>
      <c r="R1725">
        <v>6.5770089631295367E-3</v>
      </c>
      <c r="S1725">
        <v>0.16836268026080239</v>
      </c>
      <c r="T1725">
        <v>1.180712123015351</v>
      </c>
      <c r="U1725">
        <v>0</v>
      </c>
      <c r="V1725">
        <v>1.6015388824236903E-2</v>
      </c>
      <c r="W1725">
        <v>6.5725991192767272E-2</v>
      </c>
      <c r="X1725">
        <v>-1.6493284770956056E-2</v>
      </c>
      <c r="Y1725">
        <v>2.7082952246212499E-2</v>
      </c>
    </row>
    <row r="1726" spans="1:25" x14ac:dyDescent="0.25">
      <c r="A1726" s="879"/>
      <c r="B1726" s="1133">
        <v>1476</v>
      </c>
      <c r="C1726" s="883">
        <v>1.0226609217728468</v>
      </c>
      <c r="D1726" s="883">
        <v>1.0203637993624404</v>
      </c>
      <c r="E1726" s="883">
        <v>0.98046583834896117</v>
      </c>
      <c r="F1726" s="883">
        <v>0.99436780183480589</v>
      </c>
      <c r="G1726" s="883">
        <v>1.0390715792423255</v>
      </c>
      <c r="H1726" s="883">
        <v>1.0377862346004914</v>
      </c>
      <c r="I1726" s="883">
        <v>0.99017428670400931</v>
      </c>
      <c r="K1726">
        <v>1.6017427640302524</v>
      </c>
      <c r="L1726">
        <v>0</v>
      </c>
      <c r="M1726">
        <v>6.5576723677828385E-3</v>
      </c>
      <c r="N1726">
        <v>0.11877018952590977</v>
      </c>
      <c r="O1726">
        <v>2.9937454498931766E-2</v>
      </c>
      <c r="P1726">
        <v>1.7928981878448547E-2</v>
      </c>
      <c r="Q1726">
        <v>0</v>
      </c>
      <c r="R1726">
        <v>6.5576723677828385E-3</v>
      </c>
      <c r="S1726">
        <v>0.16522918288837934</v>
      </c>
      <c r="T1726">
        <v>1.1796367982860705</v>
      </c>
      <c r="U1726">
        <v>0</v>
      </c>
      <c r="V1726">
        <v>1.5733110233618661E-2</v>
      </c>
      <c r="W1726">
        <v>6.3124237999973604E-2</v>
      </c>
      <c r="X1726">
        <v>-1.5620518869439463E-2</v>
      </c>
      <c r="Y1726">
        <v>2.7003327588360465E-2</v>
      </c>
    </row>
    <row r="1727" spans="1:25" x14ac:dyDescent="0.25">
      <c r="A1727" s="879"/>
      <c r="B1727" s="1133">
        <v>1477</v>
      </c>
      <c r="C1727" s="883">
        <v>1.0101757520078503</v>
      </c>
      <c r="D1727" s="883">
        <v>0.99867673963431836</v>
      </c>
      <c r="E1727" s="883">
        <v>1.0323373306474211</v>
      </c>
      <c r="F1727" s="883">
        <v>0.97640486123156134</v>
      </c>
      <c r="G1727" s="883">
        <v>0.96338792051947642</v>
      </c>
      <c r="H1727" s="883">
        <v>0.99585222431608345</v>
      </c>
      <c r="I1727" s="883">
        <v>1.0319414213073679</v>
      </c>
      <c r="K1727">
        <v>1.5866879310822455</v>
      </c>
      <c r="L1727">
        <v>0</v>
      </c>
      <c r="M1727">
        <v>6.1466430092606541E-3</v>
      </c>
      <c r="N1727">
        <v>0.12021371716055504</v>
      </c>
      <c r="O1727">
        <v>3.0524349146611986E-2</v>
      </c>
      <c r="P1727">
        <v>1.8434754867340294E-2</v>
      </c>
      <c r="Q1727">
        <v>0</v>
      </c>
      <c r="R1727">
        <v>6.1466430092606541E-3</v>
      </c>
      <c r="S1727">
        <v>0.17213971838041947</v>
      </c>
      <c r="T1727">
        <v>1.1573871700329668</v>
      </c>
      <c r="U1727">
        <v>0</v>
      </c>
      <c r="V1727">
        <v>1.5798996044067825E-2</v>
      </c>
      <c r="W1727">
        <v>6.2270708048084794E-2</v>
      </c>
      <c r="X1727">
        <v>-1.5392264448265233E-2</v>
      </c>
      <c r="Y1727">
        <v>2.5310781850464613E-2</v>
      </c>
    </row>
    <row r="1728" spans="1:25" x14ac:dyDescent="0.25">
      <c r="A1728" s="879"/>
      <c r="B1728" s="1133">
        <v>1478</v>
      </c>
      <c r="C1728" s="883">
        <v>0.97911699505109984</v>
      </c>
      <c r="D1728" s="883">
        <v>0.98454206548825474</v>
      </c>
      <c r="E1728" s="883">
        <v>1.0040144657201713</v>
      </c>
      <c r="F1728" s="883">
        <v>1.0096787170965744</v>
      </c>
      <c r="G1728" s="883">
        <v>0.98845678657594549</v>
      </c>
      <c r="H1728" s="883">
        <v>0.99206346357356878</v>
      </c>
      <c r="I1728" s="883">
        <v>0.99432833957093192</v>
      </c>
      <c r="K1728">
        <v>1.6320622181380668</v>
      </c>
      <c r="L1728">
        <v>0</v>
      </c>
      <c r="M1728">
        <v>6.5173929707403782E-3</v>
      </c>
      <c r="N1728">
        <v>0.12223386074907112</v>
      </c>
      <c r="O1728">
        <v>3.1699005602946244E-2</v>
      </c>
      <c r="P1728">
        <v>1.857274981561163E-2</v>
      </c>
      <c r="Q1728">
        <v>0</v>
      </c>
      <c r="R1728">
        <v>6.5173929707403782E-3</v>
      </c>
      <c r="S1728">
        <v>0.17101914169169163</v>
      </c>
      <c r="T1728">
        <v>1.1973577188374367</v>
      </c>
      <c r="U1728">
        <v>0</v>
      </c>
      <c r="V1728">
        <v>1.5970186119281252E-2</v>
      </c>
      <c r="W1728">
        <v>6.4207385117891369E-2</v>
      </c>
      <c r="X1728">
        <v>-1.5835293996668776E-2</v>
      </c>
      <c r="Y1728">
        <v>2.6837464200805013E-2</v>
      </c>
    </row>
    <row r="1729" spans="1:25" x14ac:dyDescent="0.25">
      <c r="A1729" s="879"/>
      <c r="B1729" s="1133">
        <v>1479</v>
      </c>
      <c r="C1729" s="883">
        <v>1.0068982918812359</v>
      </c>
      <c r="D1729" s="883">
        <v>0.98371293630495671</v>
      </c>
      <c r="E1729" s="883">
        <v>0.98450048060715767</v>
      </c>
      <c r="F1729" s="883">
        <v>0.98183384123772588</v>
      </c>
      <c r="G1729" s="883">
        <v>0.96211101411180622</v>
      </c>
      <c r="H1729" s="883">
        <v>0.99620522290060953</v>
      </c>
      <c r="I1729" s="883">
        <v>0.99125669259944393</v>
      </c>
      <c r="K1729">
        <v>1.586992950887911</v>
      </c>
      <c r="L1729">
        <v>0</v>
      </c>
      <c r="M1729">
        <v>6.4758125035488867E-3</v>
      </c>
      <c r="N1729">
        <v>0.11799164584724581</v>
      </c>
      <c r="O1729">
        <v>3.0851067026504825E-2</v>
      </c>
      <c r="P1729">
        <v>1.7798755353850566E-2</v>
      </c>
      <c r="Q1729">
        <v>0</v>
      </c>
      <c r="R1729">
        <v>6.4758125035488867E-3</v>
      </c>
      <c r="S1729">
        <v>0.16601286419363576</v>
      </c>
      <c r="T1729">
        <v>1.1646936047366354</v>
      </c>
      <c r="U1729">
        <v>0</v>
      </c>
      <c r="V1729">
        <v>1.581656236909031E-2</v>
      </c>
      <c r="W1729">
        <v>6.2584025319322473E-2</v>
      </c>
      <c r="X1729">
        <v>-1.5421817196331521E-2</v>
      </c>
      <c r="Y1729">
        <v>2.6666243237957715E-2</v>
      </c>
    </row>
    <row r="1730" spans="1:25" x14ac:dyDescent="0.25">
      <c r="A1730" s="879"/>
      <c r="B1730" s="1133">
        <v>1480</v>
      </c>
      <c r="C1730" s="883">
        <v>0.97927223685960307</v>
      </c>
      <c r="D1730" s="883">
        <v>0.98196160158866075</v>
      </c>
      <c r="E1730" s="883">
        <v>1.0038033916400129</v>
      </c>
      <c r="F1730" s="883">
        <v>1.0155906687310041</v>
      </c>
      <c r="G1730" s="883">
        <v>0.97659970092420068</v>
      </c>
      <c r="H1730" s="883">
        <v>0.9953723636901739</v>
      </c>
      <c r="I1730" s="883">
        <v>0.97659443928936918</v>
      </c>
      <c r="K1730">
        <v>1.6371314814035487</v>
      </c>
      <c r="L1730">
        <v>0</v>
      </c>
      <c r="M1730">
        <v>6.5469672129902278E-3</v>
      </c>
      <c r="N1730">
        <v>0.12275014722244984</v>
      </c>
      <c r="O1730">
        <v>3.172745657776796E-2</v>
      </c>
      <c r="P1730">
        <v>1.862546068468909E-2</v>
      </c>
      <c r="Q1730">
        <v>0</v>
      </c>
      <c r="R1730">
        <v>6.5469672129902278E-3</v>
      </c>
      <c r="S1730">
        <v>0.1681619218465385</v>
      </c>
      <c r="T1730">
        <v>1.2043725639278133</v>
      </c>
      <c r="U1730">
        <v>0</v>
      </c>
      <c r="V1730">
        <v>1.5969303452660521E-2</v>
      </c>
      <c r="W1730">
        <v>6.4485330325984067E-2</v>
      </c>
      <c r="X1730">
        <v>-1.5919948300725094E-2</v>
      </c>
      <c r="Y1730">
        <v>2.6959245666371014E-2</v>
      </c>
    </row>
    <row r="1731" spans="1:25" x14ac:dyDescent="0.25">
      <c r="A1731" s="879"/>
      <c r="B1731" s="1133">
        <v>1481</v>
      </c>
      <c r="C1731" s="883">
        <v>0.95927545557022864</v>
      </c>
      <c r="D1731" s="883">
        <v>0.99584192449386322</v>
      </c>
      <c r="E1731" s="883">
        <v>1.040636838307438</v>
      </c>
      <c r="F1731" s="883">
        <v>1.0160707724568181</v>
      </c>
      <c r="G1731" s="883">
        <v>0.99182105727747261</v>
      </c>
      <c r="H1731" s="883">
        <v>0.97765273780026929</v>
      </c>
      <c r="I1731" s="883">
        <v>0.97539092205177669</v>
      </c>
      <c r="K1731">
        <v>1.6416384005142752</v>
      </c>
      <c r="L1731">
        <v>0</v>
      </c>
      <c r="M1731">
        <v>6.316419657443912E-3</v>
      </c>
      <c r="N1731">
        <v>0.12505829858009268</v>
      </c>
      <c r="O1731">
        <v>3.2172288400909091E-2</v>
      </c>
      <c r="P1731">
        <v>1.9171922413350535E-2</v>
      </c>
      <c r="Q1731">
        <v>0</v>
      </c>
      <c r="R1731">
        <v>6.316419657443912E-3</v>
      </c>
      <c r="S1731">
        <v>0.17030300818828709</v>
      </c>
      <c r="T1731">
        <v>1.2042500218620138</v>
      </c>
      <c r="U1731">
        <v>0</v>
      </c>
      <c r="V1731">
        <v>1.6085351907678971E-2</v>
      </c>
      <c r="W1731">
        <v>6.4517671401789364E-2</v>
      </c>
      <c r="X1731">
        <v>-1.5930054108411806E-2</v>
      </c>
      <c r="Y1731">
        <v>2.6009891868566413E-2</v>
      </c>
    </row>
    <row r="1732" spans="1:25" x14ac:dyDescent="0.25">
      <c r="A1732" s="879"/>
      <c r="B1732" s="1133">
        <v>1482</v>
      </c>
      <c r="C1732" s="883">
        <v>1.0076560246847699</v>
      </c>
      <c r="D1732" s="883">
        <v>0.96918707683070393</v>
      </c>
      <c r="E1732" s="883">
        <v>1.040017009187032</v>
      </c>
      <c r="F1732" s="883">
        <v>1.0265894873389789</v>
      </c>
      <c r="G1732" s="883">
        <v>1.0335657173260604</v>
      </c>
      <c r="H1732" s="883">
        <v>0.99611447290179933</v>
      </c>
      <c r="I1732" s="883">
        <v>1.0088937092771422</v>
      </c>
      <c r="K1732">
        <v>1.647980782062918</v>
      </c>
      <c r="L1732">
        <v>0</v>
      </c>
      <c r="M1732">
        <v>6.2047423646279043E-3</v>
      </c>
      <c r="N1732">
        <v>0.12273478969944343</v>
      </c>
      <c r="O1732">
        <v>3.0962395830397744E-2</v>
      </c>
      <c r="P1732">
        <v>1.9314092150331523E-2</v>
      </c>
      <c r="Q1732">
        <v>0</v>
      </c>
      <c r="R1732">
        <v>6.2047423646279043E-3</v>
      </c>
      <c r="S1732">
        <v>0.1690506937390906</v>
      </c>
      <c r="T1732">
        <v>1.216728545585738</v>
      </c>
      <c r="U1732">
        <v>0</v>
      </c>
      <c r="V1732">
        <v>1.5812490964892938E-2</v>
      </c>
      <c r="W1732">
        <v>6.3338147336057068E-2</v>
      </c>
      <c r="X1732">
        <v>-1.5510397897601608E-2</v>
      </c>
      <c r="Y1732">
        <v>2.5550024654567204E-2</v>
      </c>
    </row>
    <row r="1733" spans="1:25" x14ac:dyDescent="0.25">
      <c r="A1733" s="879"/>
      <c r="B1733" s="1133">
        <v>1483</v>
      </c>
      <c r="C1733" s="883">
        <v>1.0409985471337027</v>
      </c>
      <c r="D1733" s="883">
        <v>1.0083089213681966</v>
      </c>
      <c r="E1733" s="883">
        <v>1.0004977076940407</v>
      </c>
      <c r="F1733" s="883">
        <v>0.99249012539417869</v>
      </c>
      <c r="G1733" s="883">
        <v>0.97619793948640909</v>
      </c>
      <c r="H1733" s="883">
        <v>0.97907698402933119</v>
      </c>
      <c r="I1733" s="883">
        <v>0.98807704761462112</v>
      </c>
      <c r="K1733">
        <v>1.5807606262621856</v>
      </c>
      <c r="L1733">
        <v>0</v>
      </c>
      <c r="M1733">
        <v>6.0041101521717474E-3</v>
      </c>
      <c r="N1733">
        <v>0.11202216741398495</v>
      </c>
      <c r="O1733">
        <v>2.9534446426296074E-2</v>
      </c>
      <c r="P1733">
        <v>1.8084729467228389E-2</v>
      </c>
      <c r="Q1733">
        <v>0</v>
      </c>
      <c r="R1733">
        <v>6.0041101521717474E-3</v>
      </c>
      <c r="S1733">
        <v>0.15889915119509901</v>
      </c>
      <c r="T1733">
        <v>1.177038947432695</v>
      </c>
      <c r="U1733">
        <v>0</v>
      </c>
      <c r="V1733">
        <v>1.5639205528651542E-2</v>
      </c>
      <c r="W1733">
        <v>5.8946122147599485E-2</v>
      </c>
      <c r="X1733">
        <v>-1.4128000264244368E-2</v>
      </c>
      <c r="Y1733">
        <v>2.472385691487531E-2</v>
      </c>
    </row>
    <row r="1734" spans="1:25" x14ac:dyDescent="0.25">
      <c r="A1734" s="879"/>
      <c r="B1734" s="1133">
        <v>1484</v>
      </c>
      <c r="C1734" s="883">
        <v>0.99466781153352168</v>
      </c>
      <c r="D1734" s="883">
        <v>0.98715923748767431</v>
      </c>
      <c r="E1734" s="883">
        <v>0.97820605964843399</v>
      </c>
      <c r="F1734" s="883">
        <v>1.01021733875688</v>
      </c>
      <c r="G1734" s="883">
        <v>1.0004466317438687</v>
      </c>
      <c r="H1734" s="883">
        <v>1.0091179409733502</v>
      </c>
      <c r="I1734" s="883">
        <v>1.0032846666924378</v>
      </c>
      <c r="K1734">
        <v>1.6306476377986099</v>
      </c>
      <c r="L1734">
        <v>0</v>
      </c>
      <c r="M1734">
        <v>6.666532779853792E-3</v>
      </c>
      <c r="N1734">
        <v>0.12033766624687624</v>
      </c>
      <c r="O1734">
        <v>3.1191822502681116E-2</v>
      </c>
      <c r="P1734">
        <v>1.8221073796457082E-2</v>
      </c>
      <c r="Q1734">
        <v>0</v>
      </c>
      <c r="R1734">
        <v>6.666532779853792E-3</v>
      </c>
      <c r="S1734">
        <v>0.17080947222109463</v>
      </c>
      <c r="T1734">
        <v>1.1984820287910245</v>
      </c>
      <c r="U1734">
        <v>0</v>
      </c>
      <c r="V1734">
        <v>1.5883136558464846E-2</v>
      </c>
      <c r="W1734">
        <v>6.4029751856281902E-2</v>
      </c>
      <c r="X1734">
        <v>-1.5758909563108558E-2</v>
      </c>
      <c r="Y1734">
        <v>2.7451595388837621E-2</v>
      </c>
    </row>
    <row r="1735" spans="1:25" x14ac:dyDescent="0.25">
      <c r="A1735" s="879"/>
      <c r="B1735" s="1133">
        <v>1485</v>
      </c>
      <c r="C1735" s="883">
        <v>0.993243953106133</v>
      </c>
      <c r="D1735" s="883">
        <v>1.0157373114705273</v>
      </c>
      <c r="E1735" s="883">
        <v>1.0271283319764608</v>
      </c>
      <c r="F1735" s="883">
        <v>0.99269923947434024</v>
      </c>
      <c r="G1735" s="883">
        <v>1.0047629378528629</v>
      </c>
      <c r="H1735" s="883">
        <v>1.0144954596916065</v>
      </c>
      <c r="I1735" s="883">
        <v>1.0224016139954533</v>
      </c>
      <c r="K1735">
        <v>1.6140143578829937</v>
      </c>
      <c r="L1735">
        <v>0</v>
      </c>
      <c r="M1735">
        <v>6.3494605215723473E-3</v>
      </c>
      <c r="N1735">
        <v>0.12322781912819677</v>
      </c>
      <c r="O1735">
        <v>3.0839946355168329E-2</v>
      </c>
      <c r="P1735">
        <v>1.8660779605059869E-2</v>
      </c>
      <c r="Q1735">
        <v>0</v>
      </c>
      <c r="R1735">
        <v>6.3494605215723473E-3</v>
      </c>
      <c r="S1735">
        <v>0.17438197422865911</v>
      </c>
      <c r="T1735">
        <v>1.1767972305634269</v>
      </c>
      <c r="U1735">
        <v>0</v>
      </c>
      <c r="V1735">
        <v>1.5890993596532857E-2</v>
      </c>
      <c r="W1735">
        <v>6.3995359757399159E-2</v>
      </c>
      <c r="X1735">
        <v>-1.5925693617442595E-2</v>
      </c>
      <c r="Y1735">
        <v>2.614594826599273E-2</v>
      </c>
    </row>
    <row r="1736" spans="1:25" x14ac:dyDescent="0.25">
      <c r="A1736" s="879"/>
      <c r="B1736" s="1133">
        <v>1486</v>
      </c>
      <c r="C1736" s="883">
        <v>0.99360899993533613</v>
      </c>
      <c r="D1736" s="883">
        <v>1.0097166437913365</v>
      </c>
      <c r="E1736" s="883">
        <v>1.0043090984496648</v>
      </c>
      <c r="F1736" s="883">
        <v>0.99376175993957905</v>
      </c>
      <c r="G1736" s="883">
        <v>0.9753630493864992</v>
      </c>
      <c r="H1736" s="883">
        <v>0.96168115716459435</v>
      </c>
      <c r="I1736" s="883">
        <v>0.98966792288686856</v>
      </c>
      <c r="K1736">
        <v>1.5960987224669179</v>
      </c>
      <c r="L1736">
        <v>0</v>
      </c>
      <c r="M1736">
        <v>6.1543337207777046E-3</v>
      </c>
      <c r="N1736">
        <v>0.11547505336787384</v>
      </c>
      <c r="O1736">
        <v>3.0922530373046046E-2</v>
      </c>
      <c r="P1736">
        <v>1.8251478766635413E-2</v>
      </c>
      <c r="Q1736">
        <v>0</v>
      </c>
      <c r="R1736">
        <v>6.1543337207777046E-3</v>
      </c>
      <c r="S1736">
        <v>0.16573642631022537</v>
      </c>
      <c r="T1736">
        <v>1.1784766826059787</v>
      </c>
      <c r="U1736">
        <v>0</v>
      </c>
      <c r="V1736">
        <v>1.5888977073554588E-2</v>
      </c>
      <c r="W1736">
        <v>6.0648237715286345E-2</v>
      </c>
      <c r="X1736">
        <v>-1.4643114577278489E-2</v>
      </c>
      <c r="Y1736">
        <v>2.5342450831596218E-2</v>
      </c>
    </row>
    <row r="1737" spans="1:25" x14ac:dyDescent="0.25">
      <c r="A1737" s="879"/>
      <c r="B1737" s="1133">
        <v>1487</v>
      </c>
      <c r="C1737" s="883">
        <v>0.9986858336814407</v>
      </c>
      <c r="D1737" s="883">
        <v>1.0369258103659611</v>
      </c>
      <c r="E1737" s="883">
        <v>0.97244427097148123</v>
      </c>
      <c r="F1737" s="883">
        <v>1.0144599272605423</v>
      </c>
      <c r="G1737" s="883">
        <v>1.0035168443655715</v>
      </c>
      <c r="H1737" s="883">
        <v>1.0394786820909461</v>
      </c>
      <c r="I1737" s="883">
        <v>0.98548539970776849</v>
      </c>
      <c r="K1737">
        <v>1.6328498548362163</v>
      </c>
      <c r="L1737">
        <v>0</v>
      </c>
      <c r="M1737">
        <v>6.7248339502782939E-3</v>
      </c>
      <c r="N1737">
        <v>0.12035640649628083</v>
      </c>
      <c r="O1737">
        <v>3.0465538028986102E-2</v>
      </c>
      <c r="P1737">
        <v>1.817421450023958E-2</v>
      </c>
      <c r="Q1737">
        <v>0</v>
      </c>
      <c r="R1737">
        <v>6.7248339502782939E-3</v>
      </c>
      <c r="S1737">
        <v>0.16831285660646522</v>
      </c>
      <c r="T1737">
        <v>1.2036245301633297</v>
      </c>
      <c r="U1737">
        <v>0</v>
      </c>
      <c r="V1737">
        <v>1.5861085399813464E-2</v>
      </c>
      <c r="W1737">
        <v>6.422509812952909E-2</v>
      </c>
      <c r="X1737">
        <v>-1.5861543719852898E-2</v>
      </c>
      <c r="Y1737">
        <v>2.7691669231424233E-2</v>
      </c>
    </row>
    <row r="1738" spans="1:25" x14ac:dyDescent="0.25">
      <c r="A1738" s="879"/>
      <c r="B1738" s="1133">
        <v>1488</v>
      </c>
      <c r="C1738" s="883">
        <v>0.97780131852644192</v>
      </c>
      <c r="D1738" s="883">
        <v>0.99621588681131767</v>
      </c>
      <c r="E1738" s="883">
        <v>1.027421712655886</v>
      </c>
      <c r="F1738" s="883">
        <v>0.96032210473237822</v>
      </c>
      <c r="G1738" s="883">
        <v>1.0220556800631704</v>
      </c>
      <c r="H1738" s="883">
        <v>0.99899005821881948</v>
      </c>
      <c r="I1738" s="883">
        <v>1.0019794200211052</v>
      </c>
      <c r="K1738">
        <v>1.5759789166959914</v>
      </c>
      <c r="L1738">
        <v>0</v>
      </c>
      <c r="M1738">
        <v>6.404710331970139E-3</v>
      </c>
      <c r="N1738">
        <v>0.12435401391134987</v>
      </c>
      <c r="O1738">
        <v>3.1570849246129525E-2</v>
      </c>
      <c r="P1738">
        <v>1.8121547081774703E-2</v>
      </c>
      <c r="Q1738">
        <v>0</v>
      </c>
      <c r="R1738">
        <v>6.404710331970139E-3</v>
      </c>
      <c r="S1738">
        <v>0.17288256309574151</v>
      </c>
      <c r="T1738">
        <v>1.1384104913694459</v>
      </c>
      <c r="U1738">
        <v>0</v>
      </c>
      <c r="V1738">
        <v>1.5977677984562001E-2</v>
      </c>
      <c r="W1738">
        <v>6.457091691546428E-2</v>
      </c>
      <c r="X1738">
        <v>-1.6282600059588835E-2</v>
      </c>
      <c r="Y1738">
        <v>2.6373457151111186E-2</v>
      </c>
    </row>
    <row r="1739" spans="1:25" x14ac:dyDescent="0.25">
      <c r="A1739" s="879"/>
      <c r="B1739" s="1133">
        <v>1489</v>
      </c>
      <c r="C1739" s="883">
        <v>0.97938244350847936</v>
      </c>
      <c r="D1739" s="883">
        <v>0.99077327634049706</v>
      </c>
      <c r="E1739" s="883">
        <v>0.9935361817258922</v>
      </c>
      <c r="F1739" s="883">
        <v>1.0121875354739651</v>
      </c>
      <c r="G1739" s="883">
        <v>1.0182655267240734</v>
      </c>
      <c r="H1739" s="883">
        <v>1.0268979512699221</v>
      </c>
      <c r="I1739" s="883">
        <v>0.97645123493783115</v>
      </c>
      <c r="K1739">
        <v>1.6393110258276504</v>
      </c>
      <c r="L1739">
        <v>0</v>
      </c>
      <c r="M1739">
        <v>6.7872799295535229E-3</v>
      </c>
      <c r="N1739">
        <v>0.12533462059362468</v>
      </c>
      <c r="O1739">
        <v>3.1619641951080531E-2</v>
      </c>
      <c r="P1739">
        <v>1.8452236210628074E-2</v>
      </c>
      <c r="Q1739">
        <v>0</v>
      </c>
      <c r="R1739">
        <v>6.7872799295535229E-3</v>
      </c>
      <c r="S1739">
        <v>0.16984539034994633</v>
      </c>
      <c r="T1739">
        <v>1.200530047905241</v>
      </c>
      <c r="U1739">
        <v>0</v>
      </c>
      <c r="V1739">
        <v>1.5968677014679668E-2</v>
      </c>
      <c r="W1739">
        <v>6.6179830410841883E-2</v>
      </c>
      <c r="X1739">
        <v>-1.6568229267502045E-2</v>
      </c>
      <c r="Y1739">
        <v>2.794881065910966E-2</v>
      </c>
    </row>
    <row r="1740" spans="1:25" x14ac:dyDescent="0.25">
      <c r="A1740" s="879"/>
      <c r="B1740" s="1133">
        <v>1490</v>
      </c>
      <c r="C1740" s="883">
        <v>0.98973652819218882</v>
      </c>
      <c r="D1740" s="883">
        <v>0.97311278711437876</v>
      </c>
      <c r="E1740" s="883">
        <v>1.0208268138948859</v>
      </c>
      <c r="F1740" s="883">
        <v>1.0081139374764225</v>
      </c>
      <c r="G1740" s="883">
        <v>0.9907411327245621</v>
      </c>
      <c r="H1740" s="883">
        <v>1.0198957284728452</v>
      </c>
      <c r="I1740" s="883">
        <v>0.99725718994981638</v>
      </c>
      <c r="K1740">
        <v>1.6354075745947578</v>
      </c>
      <c r="L1740">
        <v>0</v>
      </c>
      <c r="M1740">
        <v>6.5657292509479163E-3</v>
      </c>
      <c r="N1740">
        <v>0.12624311481555828</v>
      </c>
      <c r="O1740">
        <v>3.1490458417010321E-2</v>
      </c>
      <c r="P1740">
        <v>1.8784136485802492E-2</v>
      </c>
      <c r="Q1740">
        <v>0</v>
      </c>
      <c r="R1740">
        <v>6.5657292509479163E-3</v>
      </c>
      <c r="S1740">
        <v>0.17146861401634181</v>
      </c>
      <c r="T1740">
        <v>1.1951880077254522</v>
      </c>
      <c r="U1740">
        <v>0</v>
      </c>
      <c r="V1740">
        <v>1.5910444460418234E-2</v>
      </c>
      <c r="W1740">
        <v>6.576477273831631E-2</v>
      </c>
      <c r="X1740">
        <v>-1.6478478463304077E-2</v>
      </c>
      <c r="Y1740">
        <v>2.7036504399162511E-2</v>
      </c>
    </row>
    <row r="1741" spans="1:25" x14ac:dyDescent="0.25">
      <c r="A1741" s="879"/>
      <c r="B1741" s="1133">
        <v>1491</v>
      </c>
      <c r="C1741" s="883">
        <v>1.020646107485438</v>
      </c>
      <c r="D1741" s="883">
        <v>0.99000511321160334</v>
      </c>
      <c r="E1741" s="883">
        <v>0.99638457586368845</v>
      </c>
      <c r="F1741" s="883">
        <v>1.022280676052056</v>
      </c>
      <c r="G1741" s="883">
        <v>0.99852152074772726</v>
      </c>
      <c r="H1741" s="883">
        <v>1.0000475978803072</v>
      </c>
      <c r="I1741" s="883">
        <v>1.0137464139735826</v>
      </c>
      <c r="K1741">
        <v>1.6351518068402278</v>
      </c>
      <c r="L1741">
        <v>0</v>
      </c>
      <c r="M1741">
        <v>6.3290213779239575E-3</v>
      </c>
      <c r="N1741">
        <v>0.11736678035493313</v>
      </c>
      <c r="O1741">
        <v>3.0348363480370642E-2</v>
      </c>
      <c r="P1741">
        <v>1.8619030863634062E-2</v>
      </c>
      <c r="Q1741">
        <v>0</v>
      </c>
      <c r="R1741">
        <v>6.3290213779239575E-3</v>
      </c>
      <c r="S1741">
        <v>0.16766210394985612</v>
      </c>
      <c r="T1741">
        <v>1.2124470849076654</v>
      </c>
      <c r="U1741">
        <v>0</v>
      </c>
      <c r="V1741">
        <v>1.5743633588546507E-2</v>
      </c>
      <c r="W1741">
        <v>6.1884824980942492E-2</v>
      </c>
      <c r="X1741">
        <v>-1.4981798796201255E-2</v>
      </c>
      <c r="Y1741">
        <v>2.6061783510480604E-2</v>
      </c>
    </row>
    <row r="1742" spans="1:25" x14ac:dyDescent="0.25">
      <c r="A1742" s="879"/>
      <c r="B1742" s="1133">
        <v>1492</v>
      </c>
      <c r="C1742" s="883">
        <v>0.97381160190702998</v>
      </c>
      <c r="D1742" s="883">
        <v>1.0111444552685411</v>
      </c>
      <c r="E1742" s="883">
        <v>1.0220314229916458</v>
      </c>
      <c r="F1742" s="883">
        <v>1.0152950542151884</v>
      </c>
      <c r="G1742" s="883">
        <v>1.017108294765015</v>
      </c>
      <c r="H1742" s="883">
        <v>0.97279000362017276</v>
      </c>
      <c r="I1742" s="883">
        <v>0.99130715093688426</v>
      </c>
      <c r="K1742">
        <v>1.6336924693395556</v>
      </c>
      <c r="L1742">
        <v>0</v>
      </c>
      <c r="M1742">
        <v>6.2503287258791279E-3</v>
      </c>
      <c r="N1742">
        <v>0.12039304719007471</v>
      </c>
      <c r="O1742">
        <v>3.1517235366653663E-2</v>
      </c>
      <c r="P1742">
        <v>1.8898241748300001E-2</v>
      </c>
      <c r="Q1742">
        <v>0</v>
      </c>
      <c r="R1742">
        <v>6.2503287258791279E-3</v>
      </c>
      <c r="S1742">
        <v>0.17004463688356736</v>
      </c>
      <c r="T1742">
        <v>1.2036790978185197</v>
      </c>
      <c r="U1742">
        <v>0</v>
      </c>
      <c r="V1742">
        <v>1.6000520426405172E-2</v>
      </c>
      <c r="W1742">
        <v>6.2680070557998277E-2</v>
      </c>
      <c r="X1742">
        <v>-1.5258121828093994E-2</v>
      </c>
      <c r="Y1742">
        <v>2.5737741176129918E-2</v>
      </c>
    </row>
    <row r="1743" spans="1:25" x14ac:dyDescent="0.25">
      <c r="A1743" s="879"/>
      <c r="B1743" s="1133">
        <v>1493</v>
      </c>
      <c r="C1743" s="883">
        <v>0.98007868797766629</v>
      </c>
      <c r="D1743" s="883">
        <v>1.0259518418449927</v>
      </c>
      <c r="E1743" s="883">
        <v>0.98420188526664765</v>
      </c>
      <c r="F1743" s="883">
        <v>0.99277491181948474</v>
      </c>
      <c r="G1743" s="883">
        <v>1.0068139510768921</v>
      </c>
      <c r="H1743" s="883">
        <v>1.0222322398917423</v>
      </c>
      <c r="I1743" s="883">
        <v>0.97584677747784676</v>
      </c>
      <c r="K1743">
        <v>1.61004136963802</v>
      </c>
      <c r="L1743">
        <v>0</v>
      </c>
      <c r="M1743">
        <v>6.7017904218085837E-3</v>
      </c>
      <c r="N1743">
        <v>0.12205497795041652</v>
      </c>
      <c r="O1743">
        <v>3.116698413728216E-2</v>
      </c>
      <c r="P1743">
        <v>1.8007345231238064E-2</v>
      </c>
      <c r="Q1743">
        <v>0</v>
      </c>
      <c r="R1743">
        <v>6.7017904218085837E-3</v>
      </c>
      <c r="S1743">
        <v>0.16897157343311642</v>
      </c>
      <c r="T1743">
        <v>1.177677903701237</v>
      </c>
      <c r="U1743">
        <v>0</v>
      </c>
      <c r="V1743">
        <v>1.596472266984152E-2</v>
      </c>
      <c r="W1743">
        <v>6.4748922596011532E-2</v>
      </c>
      <c r="X1743">
        <v>-1.6147840163905452E-2</v>
      </c>
      <c r="Y1743">
        <v>2.759678008278113E-2</v>
      </c>
    </row>
    <row r="1744" spans="1:25" x14ac:dyDescent="0.25">
      <c r="A1744" s="879"/>
      <c r="B1744" s="1133">
        <v>1494</v>
      </c>
      <c r="C1744" s="883">
        <v>1.0358141041574824</v>
      </c>
      <c r="D1744" s="883">
        <v>1.0051789739248449</v>
      </c>
      <c r="E1744" s="883">
        <v>1.0229883602274732</v>
      </c>
      <c r="F1744" s="883">
        <v>1.0304188072892471</v>
      </c>
      <c r="G1744" s="883">
        <v>0.97298248747891769</v>
      </c>
      <c r="H1744" s="883">
        <v>1.021249964059874</v>
      </c>
      <c r="I1744" s="883">
        <v>1.0107633401739435</v>
      </c>
      <c r="K1744">
        <v>1.6434527839750079</v>
      </c>
      <c r="L1744">
        <v>0</v>
      </c>
      <c r="M1744">
        <v>6.1800318266716425E-3</v>
      </c>
      <c r="N1744">
        <v>0.1192075952803849</v>
      </c>
      <c r="O1744">
        <v>2.9700024707469942E-2</v>
      </c>
      <c r="P1744">
        <v>1.9092866122265986E-2</v>
      </c>
      <c r="Q1744">
        <v>0</v>
      </c>
      <c r="R1744">
        <v>6.1800318266716425E-3</v>
      </c>
      <c r="S1744">
        <v>0.16579412296058132</v>
      </c>
      <c r="T1744">
        <v>1.2215907763414926</v>
      </c>
      <c r="U1744">
        <v>0</v>
      </c>
      <c r="V1744">
        <v>1.5665417289648816E-2</v>
      </c>
      <c r="W1744">
        <v>6.2033671911799239E-2</v>
      </c>
      <c r="X1744">
        <v>-1.5079961696209364E-2</v>
      </c>
      <c r="Y1744">
        <v>2.5448271057575106E-2</v>
      </c>
    </row>
    <row r="1745" spans="1:25" x14ac:dyDescent="0.25">
      <c r="A1745" s="879"/>
      <c r="B1745" s="1133">
        <v>1495</v>
      </c>
      <c r="C1745" s="883">
        <v>1.0031569613188813</v>
      </c>
      <c r="D1745" s="883">
        <v>1.0120150612794272</v>
      </c>
      <c r="E1745" s="883">
        <v>0.9783496035638749</v>
      </c>
      <c r="F1745" s="883">
        <v>1.0351037343238143</v>
      </c>
      <c r="G1745" s="883">
        <v>1.0200376791102335</v>
      </c>
      <c r="H1745" s="883">
        <v>1.0215186979471738</v>
      </c>
      <c r="I1745" s="883">
        <v>1.0096883625480402</v>
      </c>
      <c r="K1745">
        <v>1.6587619787716879</v>
      </c>
      <c r="L1745">
        <v>0</v>
      </c>
      <c r="M1745">
        <v>6.6167084288543234E-3</v>
      </c>
      <c r="N1745">
        <v>0.1194637293764174</v>
      </c>
      <c r="O1745">
        <v>3.0621638073383153E-2</v>
      </c>
      <c r="P1745">
        <v>1.8612012764303451E-2</v>
      </c>
      <c r="Q1745">
        <v>0</v>
      </c>
      <c r="R1745">
        <v>6.6167084288543234E-3</v>
      </c>
      <c r="S1745">
        <v>0.17090440431978735</v>
      </c>
      <c r="T1745">
        <v>1.228003491957895</v>
      </c>
      <c r="U1745">
        <v>0</v>
      </c>
      <c r="V1745">
        <v>1.5836755219466519E-2</v>
      </c>
      <c r="W1745">
        <v>6.3560172297238135E-2</v>
      </c>
      <c r="X1745">
        <v>-1.5486652816630279E-2</v>
      </c>
      <c r="Y1745">
        <v>2.7246427579825691E-2</v>
      </c>
    </row>
    <row r="1746" spans="1:25" x14ac:dyDescent="0.25">
      <c r="A1746" s="879"/>
      <c r="B1746" s="1133">
        <v>1496</v>
      </c>
      <c r="C1746" s="883">
        <v>0.97837426730026966</v>
      </c>
      <c r="D1746" s="883">
        <v>1.0154950686675652</v>
      </c>
      <c r="E1746" s="883">
        <v>1.0078110469827541</v>
      </c>
      <c r="F1746" s="883">
        <v>1.026550175584632</v>
      </c>
      <c r="G1746" s="883">
        <v>1.0004744160817733</v>
      </c>
      <c r="H1746" s="883">
        <v>1.0333421461147216</v>
      </c>
      <c r="I1746" s="883">
        <v>1.010237579925735</v>
      </c>
      <c r="K1746">
        <v>1.6626329519410179</v>
      </c>
      <c r="L1746">
        <v>0</v>
      </c>
      <c r="M1746">
        <v>6.6783700569863144E-3</v>
      </c>
      <c r="N1746">
        <v>0.12595915820607179</v>
      </c>
      <c r="O1746">
        <v>3.1329347665011185E-2</v>
      </c>
      <c r="P1746">
        <v>1.896169570824412E-2</v>
      </c>
      <c r="Q1746">
        <v>0</v>
      </c>
      <c r="R1746">
        <v>6.6783700569863144E-3</v>
      </c>
      <c r="S1746">
        <v>0.17602761262910485</v>
      </c>
      <c r="T1746">
        <v>1.217292910177705</v>
      </c>
      <c r="U1746">
        <v>0</v>
      </c>
      <c r="V1746">
        <v>1.597441296193618E-2</v>
      </c>
      <c r="W1746">
        <v>6.6039885647094315E-2</v>
      </c>
      <c r="X1746">
        <v>-1.6452410243262303E-2</v>
      </c>
      <c r="Y1746">
        <v>2.7500339189112571E-2</v>
      </c>
    </row>
    <row r="1747" spans="1:25" x14ac:dyDescent="0.25">
      <c r="A1747" s="879"/>
      <c r="B1747" s="1133">
        <v>1497</v>
      </c>
      <c r="C1747" s="883">
        <v>0.99320904770513074</v>
      </c>
      <c r="D1747" s="883">
        <v>0.98043929462202095</v>
      </c>
      <c r="E1747" s="883">
        <v>1.0073927407838403</v>
      </c>
      <c r="F1747" s="883">
        <v>1.0112163383764525</v>
      </c>
      <c r="G1747" s="883">
        <v>0.97466038472798</v>
      </c>
      <c r="H1747" s="883">
        <v>0.96820026358756917</v>
      </c>
      <c r="I1747" s="883">
        <v>1.0168680465932727</v>
      </c>
      <c r="K1747">
        <v>1.6267679535619013</v>
      </c>
      <c r="L1747">
        <v>0</v>
      </c>
      <c r="M1747">
        <v>6.2635543958154257E-3</v>
      </c>
      <c r="N1747">
        <v>0.11806227193984335</v>
      </c>
      <c r="O1747">
        <v>3.129851321907931E-2</v>
      </c>
      <c r="P1747">
        <v>1.8642910915089864E-2</v>
      </c>
      <c r="Q1747">
        <v>0</v>
      </c>
      <c r="R1747">
        <v>6.2635543958154257E-3</v>
      </c>
      <c r="S1747">
        <v>0.17103296468446341</v>
      </c>
      <c r="T1747">
        <v>1.1991177483374271</v>
      </c>
      <c r="U1747">
        <v>0</v>
      </c>
      <c r="V1747">
        <v>1.5891186492023757E-2</v>
      </c>
      <c r="W1747">
        <v>6.1912400368247342E-2</v>
      </c>
      <c r="X1747">
        <v>-1.4982244525119108E-2</v>
      </c>
      <c r="Y1747">
        <v>2.5792202130846105E-2</v>
      </c>
    </row>
    <row r="1748" spans="1:25" x14ac:dyDescent="0.25">
      <c r="A1748" s="879"/>
      <c r="B1748" s="1133">
        <v>1498</v>
      </c>
      <c r="C1748" s="883">
        <v>0.98715075258666196</v>
      </c>
      <c r="D1748" s="883">
        <v>1.0132306672233848</v>
      </c>
      <c r="E1748" s="883">
        <v>0.97483348179053808</v>
      </c>
      <c r="F1748" s="883">
        <v>0.99591970176988209</v>
      </c>
      <c r="G1748" s="883">
        <v>1.0158370941048092</v>
      </c>
      <c r="H1748" s="883">
        <v>0.990658713736422</v>
      </c>
      <c r="I1748" s="883">
        <v>1.0203723894892884</v>
      </c>
      <c r="K1748">
        <v>1.6119059713377575</v>
      </c>
      <c r="L1748">
        <v>0</v>
      </c>
      <c r="M1748">
        <v>6.5373737037447222E-3</v>
      </c>
      <c r="N1748">
        <v>0.11741705488819644</v>
      </c>
      <c r="O1748">
        <v>3.1105988146040032E-2</v>
      </c>
      <c r="P1748">
        <v>1.7989904577511741E-2</v>
      </c>
      <c r="Q1748">
        <v>0</v>
      </c>
      <c r="R1748">
        <v>6.5373737037447222E-3</v>
      </c>
      <c r="S1748">
        <v>0.17365808274087249</v>
      </c>
      <c r="T1748">
        <v>1.181582644314791</v>
      </c>
      <c r="U1748">
        <v>0</v>
      </c>
      <c r="V1748">
        <v>1.5924872714941581E-2</v>
      </c>
      <c r="W1748">
        <v>6.2581482494148466E-2</v>
      </c>
      <c r="X1748">
        <v>-1.5273799841623806E-2</v>
      </c>
      <c r="Y1748">
        <v>2.6919741302879007E-2</v>
      </c>
    </row>
    <row r="1749" spans="1:25" x14ac:dyDescent="0.25">
      <c r="A1749" s="879"/>
      <c r="B1749" s="1133">
        <v>1499</v>
      </c>
      <c r="C1749" s="883">
        <v>0.98358378263952129</v>
      </c>
      <c r="D1749" s="883">
        <v>1.009949124813772</v>
      </c>
      <c r="E1749" s="883">
        <v>0.99411755003451907</v>
      </c>
      <c r="F1749" s="883">
        <v>0.99762144565017652</v>
      </c>
      <c r="G1749" s="883">
        <v>1.0181303108851041</v>
      </c>
      <c r="H1749" s="883">
        <v>0.99126671463175975</v>
      </c>
      <c r="I1749" s="883">
        <v>0.98260982801942243</v>
      </c>
      <c r="K1749">
        <v>1.6102402619880309</v>
      </c>
      <c r="L1749">
        <v>0</v>
      </c>
      <c r="M1749">
        <v>6.4649657830923761E-3</v>
      </c>
      <c r="N1749">
        <v>0.1194856479718408</v>
      </c>
      <c r="O1749">
        <v>3.1243594476083856E-2</v>
      </c>
      <c r="P1749">
        <v>1.8204341113978034E-2</v>
      </c>
      <c r="Q1749">
        <v>0</v>
      </c>
      <c r="R1749">
        <v>6.4649657830923761E-3</v>
      </c>
      <c r="S1749">
        <v>0.16792478239619293</v>
      </c>
      <c r="T1749">
        <v>1.1832427821400306</v>
      </c>
      <c r="U1749">
        <v>0</v>
      </c>
      <c r="V1749">
        <v>1.5944900395272896E-2</v>
      </c>
      <c r="W1749">
        <v>6.30731662595507E-2</v>
      </c>
      <c r="X1749">
        <v>-1.5500531138680943E-2</v>
      </c>
      <c r="Y1749">
        <v>2.6621578373762066E-2</v>
      </c>
    </row>
    <row r="1750" spans="1:25" x14ac:dyDescent="0.25">
      <c r="A1750" s="879"/>
      <c r="B1750" s="1133">
        <v>1500</v>
      </c>
      <c r="C1750" s="883">
        <v>0.98033148212091648</v>
      </c>
      <c r="D1750" s="883">
        <v>0.99434936933614371</v>
      </c>
      <c r="E1750" s="883">
        <v>0.98390742168465972</v>
      </c>
      <c r="F1750" s="883">
        <v>1.0197559279743196</v>
      </c>
      <c r="G1750" s="883">
        <v>0.96163420550745826</v>
      </c>
      <c r="H1750" s="883">
        <v>1.0025351988080349</v>
      </c>
      <c r="I1750" s="883">
        <v>1.0220849421559206</v>
      </c>
      <c r="K1750">
        <v>1.6491596367522845</v>
      </c>
      <c r="L1750">
        <v>0</v>
      </c>
      <c r="M1750">
        <v>6.664963016865073E-3</v>
      </c>
      <c r="N1750">
        <v>0.12133126242207923</v>
      </c>
      <c r="O1750">
        <v>3.1551594374067973E-2</v>
      </c>
      <c r="P1750">
        <v>1.8520199643136798E-2</v>
      </c>
      <c r="Q1750">
        <v>0</v>
      </c>
      <c r="R1750">
        <v>6.664963016865073E-3</v>
      </c>
      <c r="S1750">
        <v>0.17608246522238918</v>
      </c>
      <c r="T1750">
        <v>1.2096896995400479</v>
      </c>
      <c r="U1750">
        <v>0</v>
      </c>
      <c r="V1750">
        <v>1.5963288306577585E-2</v>
      </c>
      <c r="W1750">
        <v>6.4374473888942366E-2</v>
      </c>
      <c r="X1750">
        <v>-1.5798478029214948E-2</v>
      </c>
      <c r="Y1750">
        <v>2.7445131384257474E-2</v>
      </c>
    </row>
    <row r="1751" spans="1:25" x14ac:dyDescent="0.25">
      <c r="A1751" s="879"/>
      <c r="B1751" s="1133">
        <v>1501</v>
      </c>
      <c r="C1751" s="883">
        <v>1.0024458401085852</v>
      </c>
      <c r="D1751" s="883">
        <v>1.0303501361445409</v>
      </c>
      <c r="E1751" s="883">
        <v>1.0271985493471678</v>
      </c>
      <c r="F1751" s="883">
        <v>0.99724291816029631</v>
      </c>
      <c r="G1751" s="883">
        <v>1.0026104619513188</v>
      </c>
      <c r="H1751" s="883">
        <v>1.0049432857244334</v>
      </c>
      <c r="I1751" s="883">
        <v>0.98626465157506993</v>
      </c>
      <c r="K1751">
        <v>1.6057513247994413</v>
      </c>
      <c r="L1751">
        <v>0</v>
      </c>
      <c r="M1751">
        <v>6.1920317224018369E-3</v>
      </c>
      <c r="N1751">
        <v>0.12018497982129608</v>
      </c>
      <c r="O1751">
        <v>3.0382697518370423E-2</v>
      </c>
      <c r="P1751">
        <v>1.8619868791844553E-2</v>
      </c>
      <c r="Q1751">
        <v>0</v>
      </c>
      <c r="R1751">
        <v>6.1920317224018369E-3</v>
      </c>
      <c r="S1751">
        <v>0.16599449712335881</v>
      </c>
      <c r="T1751">
        <v>1.1821822502232235</v>
      </c>
      <c r="U1751">
        <v>0</v>
      </c>
      <c r="V1751">
        <v>1.5840610356891976E-2</v>
      </c>
      <c r="W1751">
        <v>6.2412982931580686E-2</v>
      </c>
      <c r="X1751">
        <v>-1.536424645941516E-2</v>
      </c>
      <c r="Y1751">
        <v>2.5497684492290236E-2</v>
      </c>
    </row>
    <row r="1752" spans="1:25" x14ac:dyDescent="0.25">
      <c r="A1752" s="879"/>
      <c r="B1752" s="1133">
        <v>1502</v>
      </c>
      <c r="C1752" s="883">
        <v>1.0466986322152558</v>
      </c>
      <c r="D1752" s="883">
        <v>1.0180116858927921</v>
      </c>
      <c r="E1752" s="883">
        <v>1.0234805107333964</v>
      </c>
      <c r="F1752" s="883">
        <v>1.0038049235914563</v>
      </c>
      <c r="G1752" s="883">
        <v>0.99672075980491204</v>
      </c>
      <c r="H1752" s="883">
        <v>1.0120061014725661</v>
      </c>
      <c r="I1752" s="883">
        <v>0.99297739134096807</v>
      </c>
      <c r="K1752">
        <v>1.6009115849833977</v>
      </c>
      <c r="L1752">
        <v>0</v>
      </c>
      <c r="M1752">
        <v>6.0236396735300173E-3</v>
      </c>
      <c r="N1752">
        <v>0.11627552412298575</v>
      </c>
      <c r="O1752">
        <v>2.9241985283384397E-2</v>
      </c>
      <c r="P1752">
        <v>1.8598095526703384E-2</v>
      </c>
      <c r="Q1752">
        <v>0</v>
      </c>
      <c r="R1752">
        <v>6.0236396735300173E-3</v>
      </c>
      <c r="S1752">
        <v>0.16055270102535218</v>
      </c>
      <c r="T1752">
        <v>1.1900301300395557</v>
      </c>
      <c r="U1752">
        <v>0</v>
      </c>
      <c r="V1752">
        <v>1.561068644289512E-2</v>
      </c>
      <c r="W1752">
        <v>6.0493222516165089E-2</v>
      </c>
      <c r="X1752">
        <v>-1.469503598134694E-2</v>
      </c>
      <c r="Y1752">
        <v>2.4804276007703456E-2</v>
      </c>
    </row>
    <row r="1753" spans="1:25" x14ac:dyDescent="0.25">
      <c r="A1753" s="879"/>
      <c r="B1753" s="1133">
        <v>1503</v>
      </c>
      <c r="C1753" s="883">
        <v>0.99155345688932939</v>
      </c>
      <c r="D1753" s="883">
        <v>1.0292736244361107</v>
      </c>
      <c r="E1753" s="883">
        <v>0.9904175809046829</v>
      </c>
      <c r="F1753" s="883">
        <v>1.0202458714116018</v>
      </c>
      <c r="G1753" s="883">
        <v>0.98629013197956217</v>
      </c>
      <c r="H1753" s="883">
        <v>0.97302147738602496</v>
      </c>
      <c r="I1753" s="883">
        <v>1.0325501416616658</v>
      </c>
      <c r="K1753">
        <v>1.6363808831024365</v>
      </c>
      <c r="L1753">
        <v>0</v>
      </c>
      <c r="M1753">
        <v>6.2622215436704126E-3</v>
      </c>
      <c r="N1753">
        <v>0.11510548491546849</v>
      </c>
      <c r="O1753">
        <v>3.0761451780603924E-2</v>
      </c>
      <c r="P1753">
        <v>1.8587199570179458E-2</v>
      </c>
      <c r="Q1753">
        <v>0</v>
      </c>
      <c r="R1753">
        <v>6.2622215436704126E-3</v>
      </c>
      <c r="S1753">
        <v>0.17376056861868974</v>
      </c>
      <c r="T1753">
        <v>1.2101470816127811</v>
      </c>
      <c r="U1753">
        <v>0</v>
      </c>
      <c r="V1753">
        <v>1.5900351276354353E-2</v>
      </c>
      <c r="W1753">
        <v>6.0873106204697866E-2</v>
      </c>
      <c r="X1753">
        <v>-1.4541074559291709E-2</v>
      </c>
      <c r="Y1753">
        <v>2.5786713682951771E-2</v>
      </c>
    </row>
    <row r="1754" spans="1:25" x14ac:dyDescent="0.25">
      <c r="A1754" s="879"/>
      <c r="B1754" s="1133">
        <v>1504</v>
      </c>
      <c r="C1754" s="883">
        <v>0.97521018508631685</v>
      </c>
      <c r="D1754" s="883">
        <v>0.96892941948248512</v>
      </c>
      <c r="E1754" s="883">
        <v>0.99984424931365057</v>
      </c>
      <c r="F1754" s="883">
        <v>1.0276135581129866</v>
      </c>
      <c r="G1754" s="883">
        <v>1.0044393389870445</v>
      </c>
      <c r="H1754" s="883">
        <v>0.99677379730226101</v>
      </c>
      <c r="I1754" s="883">
        <v>0.97916839880710138</v>
      </c>
      <c r="K1754">
        <v>1.6553914902241995</v>
      </c>
      <c r="L1754">
        <v>0</v>
      </c>
      <c r="M1754">
        <v>6.6458500714587903E-3</v>
      </c>
      <c r="N1754">
        <v>0.12387550275599335</v>
      </c>
      <c r="O1754">
        <v>3.2033852184702082E-2</v>
      </c>
      <c r="P1754">
        <v>1.877999099272443E-2</v>
      </c>
      <c r="Q1754">
        <v>0</v>
      </c>
      <c r="R1754">
        <v>6.6458500714587903E-3</v>
      </c>
      <c r="S1754">
        <v>0.16952688696492133</v>
      </c>
      <c r="T1754">
        <v>1.2187058950790297</v>
      </c>
      <c r="U1754">
        <v>0</v>
      </c>
      <c r="V1754">
        <v>1.5992491801488769E-2</v>
      </c>
      <c r="W1754">
        <v>6.5204509181657461E-2</v>
      </c>
      <c r="X1754">
        <v>-1.6094066413370439E-2</v>
      </c>
      <c r="Y1754">
        <v>2.7366427677051872E-2</v>
      </c>
    </row>
    <row r="1755" spans="1:25" x14ac:dyDescent="0.25">
      <c r="A1755" s="879"/>
      <c r="B1755" s="1133">
        <v>1505</v>
      </c>
      <c r="C1755" s="883">
        <v>0.98259683925020103</v>
      </c>
      <c r="D1755" s="883">
        <v>1.0090497055129179</v>
      </c>
      <c r="E1755" s="883">
        <v>1.0159213964886806</v>
      </c>
      <c r="F1755" s="883">
        <v>1.0009480362484742</v>
      </c>
      <c r="G1755" s="883">
        <v>1.0120688386497738</v>
      </c>
      <c r="H1755" s="883">
        <v>1.0087369437789533</v>
      </c>
      <c r="I1755" s="883">
        <v>1.0013054842159606</v>
      </c>
      <c r="K1755">
        <v>1.6233877059180475</v>
      </c>
      <c r="L1755">
        <v>0</v>
      </c>
      <c r="M1755">
        <v>6.4637652438079797E-3</v>
      </c>
      <c r="N1755">
        <v>0.12338388889520591</v>
      </c>
      <c r="O1755">
        <v>3.1266981200150611E-2</v>
      </c>
      <c r="P1755">
        <v>1.8614328650286286E-2</v>
      </c>
      <c r="Q1755">
        <v>0</v>
      </c>
      <c r="R1755">
        <v>6.4637652438079797E-3</v>
      </c>
      <c r="S1755">
        <v>0.17235248020226202</v>
      </c>
      <c r="T1755">
        <v>1.186783199187379</v>
      </c>
      <c r="U1755">
        <v>0</v>
      </c>
      <c r="V1755">
        <v>1.5950467527815832E-2</v>
      </c>
      <c r="W1755">
        <v>6.4430899203303998E-2</v>
      </c>
      <c r="X1755">
        <v>-1.6011173715034587E-2</v>
      </c>
      <c r="Y1755">
        <v>2.6616634766676965E-2</v>
      </c>
    </row>
    <row r="1756" spans="1:25" x14ac:dyDescent="0.25">
      <c r="A1756" s="879"/>
      <c r="B1756" s="1133">
        <v>1506</v>
      </c>
      <c r="C1756" s="883">
        <v>1.0183455121702407</v>
      </c>
      <c r="D1756" s="883">
        <v>1.0110263620731836</v>
      </c>
      <c r="E1756" s="883">
        <v>1.0175004107048287</v>
      </c>
      <c r="F1756" s="883">
        <v>0.97063557273124612</v>
      </c>
      <c r="G1756" s="883">
        <v>1.0251442722191775</v>
      </c>
      <c r="H1756" s="883">
        <v>0.97834018199978123</v>
      </c>
      <c r="I1756" s="883">
        <v>1.0185175328191496</v>
      </c>
      <c r="K1756">
        <v>1.5680786935512412</v>
      </c>
      <c r="L1756">
        <v>0</v>
      </c>
      <c r="M1756">
        <v>6.0352981268229416E-3</v>
      </c>
      <c r="N1756">
        <v>0.11547455250649769</v>
      </c>
      <c r="O1756">
        <v>3.0144367981319576E-2</v>
      </c>
      <c r="P1756">
        <v>1.8078908726385439E-2</v>
      </c>
      <c r="Q1756">
        <v>0</v>
      </c>
      <c r="R1756">
        <v>6.0352981268229416E-3</v>
      </c>
      <c r="S1756">
        <v>0.16738829241832259</v>
      </c>
      <c r="T1756">
        <v>1.1508145775769516</v>
      </c>
      <c r="U1756">
        <v>0</v>
      </c>
      <c r="V1756">
        <v>1.5755700494686244E-2</v>
      </c>
      <c r="W1756">
        <v>6.0253707173728882E-2</v>
      </c>
      <c r="X1756">
        <v>-1.4683696769887334E-2</v>
      </c>
      <c r="Y1756">
        <v>2.4852283443236388E-2</v>
      </c>
    </row>
    <row r="1757" spans="1:25" x14ac:dyDescent="0.25">
      <c r="A1757" s="879"/>
      <c r="B1757" s="1133">
        <v>1507</v>
      </c>
      <c r="C1757" s="883">
        <v>1.00652534895928</v>
      </c>
      <c r="D1757" s="883">
        <v>0.9916043888643653</v>
      </c>
      <c r="E1757" s="883">
        <v>0.97868450226808945</v>
      </c>
      <c r="F1757" s="883">
        <v>0.98772266834889422</v>
      </c>
      <c r="G1757" s="883">
        <v>0.98455768067102856</v>
      </c>
      <c r="H1757" s="883">
        <v>0.98995990706858206</v>
      </c>
      <c r="I1757" s="883">
        <v>1.0324607160280341</v>
      </c>
      <c r="K1757">
        <v>1.5986343329798647</v>
      </c>
      <c r="L1757">
        <v>0</v>
      </c>
      <c r="M1757">
        <v>6.4472884833263831E-3</v>
      </c>
      <c r="N1757">
        <v>0.11646273662945902</v>
      </c>
      <c r="O1757">
        <v>3.0768640023848985E-2</v>
      </c>
      <c r="P1757">
        <v>1.7898226023136586E-2</v>
      </c>
      <c r="Q1757">
        <v>0</v>
      </c>
      <c r="R1757">
        <v>6.4472884833263831E-3</v>
      </c>
      <c r="S1757">
        <v>0.17251412783462367</v>
      </c>
      <c r="T1757">
        <v>1.1717864112835648</v>
      </c>
      <c r="U1757">
        <v>0</v>
      </c>
      <c r="V1757">
        <v>1.5818568494547876E-2</v>
      </c>
      <c r="W1757">
        <v>6.1953110880870702E-2</v>
      </c>
      <c r="X1757">
        <v>-1.5116274589955184E-2</v>
      </c>
      <c r="Y1757">
        <v>2.6548786399767779E-2</v>
      </c>
    </row>
    <row r="1758" spans="1:25" x14ac:dyDescent="0.25">
      <c r="A1758" s="879"/>
      <c r="B1758" s="1133">
        <v>1508</v>
      </c>
      <c r="C1758" s="883">
        <v>1.0082357990500519</v>
      </c>
      <c r="D1758" s="883">
        <v>0.99863361110402016</v>
      </c>
      <c r="E1758" s="883">
        <v>1.007978980350831</v>
      </c>
      <c r="F1758" s="883">
        <v>1.045419531636627</v>
      </c>
      <c r="G1758" s="883">
        <v>1.0068619456985659</v>
      </c>
      <c r="H1758" s="883">
        <v>0.99076161441972666</v>
      </c>
      <c r="I1758" s="883">
        <v>1.0139251633464632</v>
      </c>
      <c r="K1758">
        <v>1.665297869578658</v>
      </c>
      <c r="L1758">
        <v>0</v>
      </c>
      <c r="M1758">
        <v>6.2591706691690879E-3</v>
      </c>
      <c r="N1758">
        <v>0.11808209453798246</v>
      </c>
      <c r="O1758">
        <v>3.0605596953331652E-2</v>
      </c>
      <c r="P1758">
        <v>1.9169963499525662E-2</v>
      </c>
      <c r="Q1758">
        <v>0</v>
      </c>
      <c r="R1758">
        <v>6.2591706691690879E-3</v>
      </c>
      <c r="S1758">
        <v>0.16913690300461515</v>
      </c>
      <c r="T1758">
        <v>1.2396651143537518</v>
      </c>
      <c r="U1758">
        <v>0</v>
      </c>
      <c r="V1758">
        <v>1.5809379888821248E-2</v>
      </c>
      <c r="W1758">
        <v>6.1904825960266301E-2</v>
      </c>
      <c r="X1758">
        <v>-1.4850159344428283E-2</v>
      </c>
      <c r="Y1758">
        <v>2.5774150724790737E-2</v>
      </c>
    </row>
    <row r="1759" spans="1:25" x14ac:dyDescent="0.25">
      <c r="A1759" s="879"/>
      <c r="B1759" s="1133">
        <v>1509</v>
      </c>
      <c r="C1759" s="883">
        <v>0.97669838678827148</v>
      </c>
      <c r="D1759" s="883">
        <v>1.00658534631703</v>
      </c>
      <c r="E1759" s="883">
        <v>0.98653688806161233</v>
      </c>
      <c r="F1759" s="883">
        <v>1.0076514777438521</v>
      </c>
      <c r="G1759" s="883">
        <v>0.98123380392664539</v>
      </c>
      <c r="H1759" s="883">
        <v>1.00039731322153</v>
      </c>
      <c r="I1759" s="883">
        <v>0.98282305510790191</v>
      </c>
      <c r="K1759">
        <v>1.6274243457587139</v>
      </c>
      <c r="L1759">
        <v>0</v>
      </c>
      <c r="M1759">
        <v>6.623964875028308E-3</v>
      </c>
      <c r="N1759">
        <v>0.12105609039438629</v>
      </c>
      <c r="O1759">
        <v>3.1512237867212578E-2</v>
      </c>
      <c r="P1759">
        <v>1.828257548302907E-2</v>
      </c>
      <c r="Q1759">
        <v>0</v>
      </c>
      <c r="R1759">
        <v>6.623964875028308E-3</v>
      </c>
      <c r="S1759">
        <v>0.16970106614901775</v>
      </c>
      <c r="T1759">
        <v>1.1952813308964116</v>
      </c>
      <c r="U1759">
        <v>0</v>
      </c>
      <c r="V1759">
        <v>1.5983973968135834E-2</v>
      </c>
      <c r="W1759">
        <v>6.4144148971897019E-2</v>
      </c>
      <c r="X1759">
        <v>-1.581338630494827E-2</v>
      </c>
      <c r="Y1759">
        <v>2.7276308333570896E-2</v>
      </c>
    </row>
    <row r="1760" spans="1:25" x14ac:dyDescent="0.25">
      <c r="A1760" s="879"/>
      <c r="B1760" s="1133">
        <v>1510</v>
      </c>
      <c r="C1760" s="883">
        <v>0.97687419970707479</v>
      </c>
      <c r="D1760" s="883">
        <v>0.99579822336828649</v>
      </c>
      <c r="E1760" s="883">
        <v>1.0287272081980063</v>
      </c>
      <c r="F1760" s="883">
        <v>0.98487190295844163</v>
      </c>
      <c r="G1760" s="883">
        <v>1.0087620846253946</v>
      </c>
      <c r="H1760" s="883">
        <v>1.0174792014165233</v>
      </c>
      <c r="I1760" s="883">
        <v>0.99282354792704675</v>
      </c>
      <c r="K1760">
        <v>1.6091443105340406</v>
      </c>
      <c r="L1760">
        <v>0</v>
      </c>
      <c r="M1760">
        <v>6.5231942118237326E-3</v>
      </c>
      <c r="N1760">
        <v>0.1268991858926907</v>
      </c>
      <c r="O1760">
        <v>3.1604864951854848E-2</v>
      </c>
      <c r="P1760">
        <v>1.8532043046015655E-2</v>
      </c>
      <c r="Q1760">
        <v>0</v>
      </c>
      <c r="R1760">
        <v>6.5231942118237326E-3</v>
      </c>
      <c r="S1760">
        <v>0.17256286193420481</v>
      </c>
      <c r="T1760">
        <v>1.1674892275541815</v>
      </c>
      <c r="U1760">
        <v>0</v>
      </c>
      <c r="V1760">
        <v>1.5982969403894022E-2</v>
      </c>
      <c r="W1760">
        <v>6.5850278373486892E-2</v>
      </c>
      <c r="X1760">
        <v>-1.6638473301291735E-2</v>
      </c>
      <c r="Y1760">
        <v>2.6861352679003851E-2</v>
      </c>
    </row>
    <row r="1761" spans="1:25" x14ac:dyDescent="0.25">
      <c r="A1761" s="879"/>
      <c r="B1761" s="1133">
        <v>1511</v>
      </c>
      <c r="C1761" s="883">
        <v>0.96154126776968363</v>
      </c>
      <c r="D1761" s="883">
        <v>0.97588765633394281</v>
      </c>
      <c r="E1761" s="883">
        <v>1.0261284327434614</v>
      </c>
      <c r="F1761" s="883">
        <v>0.95970502489129106</v>
      </c>
      <c r="G1761" s="883">
        <v>1.0154808126889212</v>
      </c>
      <c r="H1761" s="883">
        <v>0.97709261381185153</v>
      </c>
      <c r="I1761" s="883">
        <v>0.97937190726434542</v>
      </c>
      <c r="K1761">
        <v>1.5746779988229276</v>
      </c>
      <c r="L1761">
        <v>0</v>
      </c>
      <c r="M1761">
        <v>6.4364400113851809E-3</v>
      </c>
      <c r="N1761">
        <v>0.12473134147402475</v>
      </c>
      <c r="O1761">
        <v>3.2371836610758084E-2</v>
      </c>
      <c r="P1761">
        <v>1.8066680056224037E-2</v>
      </c>
      <c r="Q1761">
        <v>0</v>
      </c>
      <c r="R1761">
        <v>6.4364400113851809E-3</v>
      </c>
      <c r="S1761">
        <v>0.17074894224036319</v>
      </c>
      <c r="T1761">
        <v>1.1377018969473174</v>
      </c>
      <c r="U1761">
        <v>0</v>
      </c>
      <c r="V1761">
        <v>1.6071960115810569E-2</v>
      </c>
      <c r="W1761">
        <v>6.4808004065764216E-2</v>
      </c>
      <c r="X1761">
        <v>-1.6326777010605944E-2</v>
      </c>
      <c r="Y1761">
        <v>2.650411432326993E-2</v>
      </c>
    </row>
    <row r="1762" spans="1:25" x14ac:dyDescent="0.25">
      <c r="A1762" s="879"/>
      <c r="B1762" s="1133">
        <v>1512</v>
      </c>
      <c r="C1762" s="883">
        <v>0.97479224370531936</v>
      </c>
      <c r="D1762" s="883">
        <v>0.97790332044338446</v>
      </c>
      <c r="E1762" s="883">
        <v>1.0081816824072043</v>
      </c>
      <c r="F1762" s="883">
        <v>0.97801535218513036</v>
      </c>
      <c r="G1762" s="883">
        <v>0.96219337682244221</v>
      </c>
      <c r="H1762" s="883">
        <v>0.98798713105886038</v>
      </c>
      <c r="I1762" s="883">
        <v>0.98091427575058432</v>
      </c>
      <c r="K1762">
        <v>1.5931781747509091</v>
      </c>
      <c r="L1762">
        <v>0</v>
      </c>
      <c r="M1762">
        <v>6.5153580621421202E-3</v>
      </c>
      <c r="N1762">
        <v>0.12295208074773836</v>
      </c>
      <c r="O1762">
        <v>3.1922178201959583E-2</v>
      </c>
      <c r="P1762">
        <v>1.8102031815797698E-2</v>
      </c>
      <c r="Q1762">
        <v>0</v>
      </c>
      <c r="R1762">
        <v>6.5153580621421202E-3</v>
      </c>
      <c r="S1762">
        <v>0.16929499738848891</v>
      </c>
      <c r="T1762">
        <v>1.1597331332401841</v>
      </c>
      <c r="U1762">
        <v>0</v>
      </c>
      <c r="V1762">
        <v>1.5994888597764049E-2</v>
      </c>
      <c r="W1762">
        <v>6.445146091860271E-2</v>
      </c>
      <c r="X1762">
        <v>-1.6101680969025593E-2</v>
      </c>
      <c r="Y1762">
        <v>2.6829084809397614E-2</v>
      </c>
    </row>
    <row r="1763" spans="1:25" x14ac:dyDescent="0.25">
      <c r="A1763" s="879"/>
      <c r="B1763" s="1133">
        <v>1513</v>
      </c>
      <c r="C1763" s="883">
        <v>1.0328456290122183</v>
      </c>
      <c r="D1763" s="883">
        <v>0.99139038406035895</v>
      </c>
      <c r="E1763" s="883">
        <v>0.96064656562235362</v>
      </c>
      <c r="F1763" s="883">
        <v>0.97762137218945011</v>
      </c>
      <c r="G1763" s="883">
        <v>1.007497158012578</v>
      </c>
      <c r="H1763" s="883">
        <v>0.99660150506929679</v>
      </c>
      <c r="I1763" s="883">
        <v>0.97801745109618743</v>
      </c>
      <c r="K1763">
        <v>1.5681138116492093</v>
      </c>
      <c r="L1763">
        <v>0</v>
      </c>
      <c r="M1763">
        <v>6.4258806552905381E-3</v>
      </c>
      <c r="N1763">
        <v>0.11300842191437321</v>
      </c>
      <c r="O1763">
        <v>3.0000497642422269E-2</v>
      </c>
      <c r="P1763">
        <v>1.7327816812154402E-2</v>
      </c>
      <c r="Q1763">
        <v>0</v>
      </c>
      <c r="R1763">
        <v>6.4258806552905381E-3</v>
      </c>
      <c r="S1763">
        <v>0.15960257444091688</v>
      </c>
      <c r="T1763">
        <v>1.1601327882421022</v>
      </c>
      <c r="U1763">
        <v>0</v>
      </c>
      <c r="V1763">
        <v>1.5680543920959918E-2</v>
      </c>
      <c r="W1763">
        <v>6.0663296399230064E-2</v>
      </c>
      <c r="X1763">
        <v>-1.4762760497316934E-2</v>
      </c>
      <c r="Y1763">
        <v>2.6460632774367512E-2</v>
      </c>
    </row>
    <row r="1764" spans="1:25" x14ac:dyDescent="0.25">
      <c r="A1764" s="879"/>
      <c r="B1764" s="1133">
        <v>1514</v>
      </c>
      <c r="C1764" s="883">
        <v>0.99616762263400971</v>
      </c>
      <c r="D1764" s="883">
        <v>0.99877552875232278</v>
      </c>
      <c r="E1764" s="883">
        <v>1.0117611089419658</v>
      </c>
      <c r="F1764" s="883">
        <v>0.98132467116858679</v>
      </c>
      <c r="G1764" s="883">
        <v>1.0068590076434036</v>
      </c>
      <c r="H1764" s="883">
        <v>0.99725374450735105</v>
      </c>
      <c r="I1764" s="883">
        <v>1.0323221074977451</v>
      </c>
      <c r="K1764">
        <v>1.597608198804785</v>
      </c>
      <c r="L1764">
        <v>0</v>
      </c>
      <c r="M1764">
        <v>6.355050996377184E-3</v>
      </c>
      <c r="N1764">
        <v>0.12056407963472053</v>
      </c>
      <c r="O1764">
        <v>3.0971268609339804E-2</v>
      </c>
      <c r="P1764">
        <v>1.8274071547082282E-2</v>
      </c>
      <c r="Q1764">
        <v>0</v>
      </c>
      <c r="R1764">
        <v>6.355050996377184E-3</v>
      </c>
      <c r="S1764">
        <v>0.1746850140119513</v>
      </c>
      <c r="T1764">
        <v>1.1635922041030995</v>
      </c>
      <c r="U1764">
        <v>0</v>
      </c>
      <c r="V1764">
        <v>1.5874884693387104E-2</v>
      </c>
      <c r="W1764">
        <v>6.3087879028066979E-2</v>
      </c>
      <c r="X1764">
        <v>-1.5610171669034343E-2</v>
      </c>
      <c r="Y1764">
        <v>2.6168968846171637E-2</v>
      </c>
    </row>
    <row r="1765" spans="1:25" x14ac:dyDescent="0.25">
      <c r="A1765" s="879"/>
      <c r="B1765" s="1133">
        <v>1515</v>
      </c>
      <c r="C1765" s="883">
        <v>1.0040980678976219</v>
      </c>
      <c r="D1765" s="883">
        <v>1.0155398651653222</v>
      </c>
      <c r="E1765" s="883">
        <v>0.99123231495000308</v>
      </c>
      <c r="F1765" s="883">
        <v>0.99145263603533629</v>
      </c>
      <c r="G1765" s="883">
        <v>0.97268007583717953</v>
      </c>
      <c r="H1765" s="883">
        <v>0.984411428107686</v>
      </c>
      <c r="I1765" s="883">
        <v>0.97776780106347383</v>
      </c>
      <c r="K1765">
        <v>1.5915470448361906</v>
      </c>
      <c r="L1765">
        <v>0</v>
      </c>
      <c r="M1765">
        <v>6.2894507725267512E-3</v>
      </c>
      <c r="N1765">
        <v>0.11574570082269459</v>
      </c>
      <c r="O1765">
        <v>3.0540133248325677E-2</v>
      </c>
      <c r="P1765">
        <v>1.800403743521475E-2</v>
      </c>
      <c r="Q1765">
        <v>0</v>
      </c>
      <c r="R1765">
        <v>6.2894507725267512E-3</v>
      </c>
      <c r="S1765">
        <v>0.16324389540755407</v>
      </c>
      <c r="T1765">
        <v>1.17597943596695</v>
      </c>
      <c r="U1765">
        <v>0</v>
      </c>
      <c r="V1765">
        <v>1.5831661678216029E-2</v>
      </c>
      <c r="W1765">
        <v>6.1186826267987715E-2</v>
      </c>
      <c r="X1765">
        <v>-1.4883484791511827E-2</v>
      </c>
      <c r="Y1765">
        <v>2.5898838800760115E-2</v>
      </c>
    </row>
    <row r="1766" spans="1:25" x14ac:dyDescent="0.25">
      <c r="A1766" s="879"/>
      <c r="B1766" s="1133">
        <v>1516</v>
      </c>
      <c r="C1766" s="883">
        <v>1.0040004220692562</v>
      </c>
      <c r="D1766" s="883">
        <v>1.0037423639424119</v>
      </c>
      <c r="E1766" s="883">
        <v>1.0233971177505854</v>
      </c>
      <c r="F1766" s="883">
        <v>1.0077782350155016</v>
      </c>
      <c r="G1766" s="883">
        <v>1.0133185157983209</v>
      </c>
      <c r="H1766" s="883">
        <v>1.0076592969150502</v>
      </c>
      <c r="I1766" s="883">
        <v>1.0299603155706765</v>
      </c>
      <c r="K1766">
        <v>1.6285923748922846</v>
      </c>
      <c r="L1766">
        <v>0</v>
      </c>
      <c r="M1766">
        <v>6.2927693851069525E-3</v>
      </c>
      <c r="N1766">
        <v>0.12145560872633923</v>
      </c>
      <c r="O1766">
        <v>3.0658288306021197E-2</v>
      </c>
      <c r="P1766">
        <v>1.8840692447441739E-2</v>
      </c>
      <c r="Q1766">
        <v>0</v>
      </c>
      <c r="R1766">
        <v>6.2927693851069525E-3</v>
      </c>
      <c r="S1766">
        <v>0.17350521131934055</v>
      </c>
      <c r="T1766">
        <v>1.1947421207424482</v>
      </c>
      <c r="U1766">
        <v>0</v>
      </c>
      <c r="V1766">
        <v>1.5832189721724878E-2</v>
      </c>
      <c r="W1766">
        <v>6.3190792891549899E-2</v>
      </c>
      <c r="X1766">
        <v>-1.5545033519256037E-2</v>
      </c>
      <c r="Y1766">
        <v>2.5912504256674365E-2</v>
      </c>
    </row>
    <row r="1767" spans="1:25" x14ac:dyDescent="0.25">
      <c r="A1767" s="879"/>
      <c r="B1767" s="1133">
        <v>1517</v>
      </c>
      <c r="C1767" s="883">
        <v>0.9679933566053357</v>
      </c>
      <c r="D1767" s="883">
        <v>1.0351495444150403</v>
      </c>
      <c r="E1767" s="883">
        <v>0.99783433663874954</v>
      </c>
      <c r="F1767" s="883">
        <v>1.0348907657642257</v>
      </c>
      <c r="G1767" s="883">
        <v>1.0095317755913895</v>
      </c>
      <c r="H1767" s="883">
        <v>0.97971466495792214</v>
      </c>
      <c r="I1767" s="883">
        <v>0.99766485808491623</v>
      </c>
      <c r="K1767">
        <v>1.6589443150291194</v>
      </c>
      <c r="L1767">
        <v>0</v>
      </c>
      <c r="M1767">
        <v>6.4008349342010292E-3</v>
      </c>
      <c r="N1767">
        <v>0.11895377551894448</v>
      </c>
      <c r="O1767">
        <v>3.143218733595303E-2</v>
      </c>
      <c r="P1767">
        <v>1.8905111458314815E-2</v>
      </c>
      <c r="Q1767">
        <v>0</v>
      </c>
      <c r="R1767">
        <v>6.4008349342010292E-3</v>
      </c>
      <c r="S1767">
        <v>0.172326077749451</v>
      </c>
      <c r="T1767">
        <v>1.2273750219194637</v>
      </c>
      <c r="U1767">
        <v>0</v>
      </c>
      <c r="V1767">
        <v>1.6034169316788565E-2</v>
      </c>
      <c r="W1767">
        <v>6.2676414667174524E-2</v>
      </c>
      <c r="X1767">
        <v>-1.5115941889863684E-2</v>
      </c>
      <c r="Y1767">
        <v>2.635749895289308E-2</v>
      </c>
    </row>
    <row r="1768" spans="1:25" x14ac:dyDescent="0.25">
      <c r="A1768" s="879"/>
      <c r="B1768" s="1133">
        <v>1518</v>
      </c>
      <c r="C1768" s="883">
        <v>1.0234542404345623</v>
      </c>
      <c r="D1768" s="883">
        <v>0.97881231109788613</v>
      </c>
      <c r="E1768" s="883">
        <v>0.97129934639525772</v>
      </c>
      <c r="F1768" s="883">
        <v>1.014635116686077</v>
      </c>
      <c r="G1768" s="883">
        <v>0.9987257759837932</v>
      </c>
      <c r="H1768" s="883">
        <v>0.98127284919236524</v>
      </c>
      <c r="I1768" s="883">
        <v>0.99883006846068412</v>
      </c>
      <c r="K1768">
        <v>1.617887490492258</v>
      </c>
      <c r="L1768">
        <v>0</v>
      </c>
      <c r="M1768">
        <v>6.3623428614699882E-3</v>
      </c>
      <c r="N1768">
        <v>0.11367541144088612</v>
      </c>
      <c r="O1768">
        <v>3.0422928518727091E-2</v>
      </c>
      <c r="P1768">
        <v>1.8099644594152337E-2</v>
      </c>
      <c r="Q1768">
        <v>0</v>
      </c>
      <c r="R1768">
        <v>6.3623428614699882E-3</v>
      </c>
      <c r="S1768">
        <v>0.16375932026450629</v>
      </c>
      <c r="T1768">
        <v>1.2038541193547576</v>
      </c>
      <c r="U1768">
        <v>0</v>
      </c>
      <c r="V1768">
        <v>1.5728978106999563E-2</v>
      </c>
      <c r="W1768">
        <v>6.0694857733205897E-2</v>
      </c>
      <c r="X1768">
        <v>-1.4546764969698235E-2</v>
      </c>
      <c r="Y1768">
        <v>2.6198995448720189E-2</v>
      </c>
    </row>
    <row r="1769" spans="1:25" x14ac:dyDescent="0.25">
      <c r="A1769" s="879"/>
      <c r="B1769" s="1133">
        <v>1519</v>
      </c>
      <c r="C1769" s="883">
        <v>1.0051313410562757</v>
      </c>
      <c r="D1769" s="883">
        <v>0.96243174355711669</v>
      </c>
      <c r="E1769" s="883">
        <v>0.98875323534807613</v>
      </c>
      <c r="F1769" s="883">
        <v>0.98666321761014331</v>
      </c>
      <c r="G1769" s="883">
        <v>0.98610913145765788</v>
      </c>
      <c r="H1769" s="883">
        <v>1.0130328938075517</v>
      </c>
      <c r="I1769" s="883">
        <v>1.0011496234821993</v>
      </c>
      <c r="K1769">
        <v>1.6018761364019329</v>
      </c>
      <c r="L1769">
        <v>0</v>
      </c>
      <c r="M1769">
        <v>6.6368816651903471E-3</v>
      </c>
      <c r="N1769">
        <v>0.12169143145632308</v>
      </c>
      <c r="O1769">
        <v>3.1173370358738513E-2</v>
      </c>
      <c r="P1769">
        <v>1.7974115434066993E-2</v>
      </c>
      <c r="Q1769">
        <v>0</v>
      </c>
      <c r="R1769">
        <v>6.6368816651903471E-3</v>
      </c>
      <c r="S1769">
        <v>0.16918787295473045</v>
      </c>
      <c r="T1769">
        <v>1.1703441893389852</v>
      </c>
      <c r="U1769">
        <v>0</v>
      </c>
      <c r="V1769">
        <v>1.5826080289853797E-2</v>
      </c>
      <c r="W1769">
        <v>6.4409503312895092E-2</v>
      </c>
      <c r="X1769">
        <v>-1.6059924120016174E-2</v>
      </c>
      <c r="Y1769">
        <v>2.7329497376355216E-2</v>
      </c>
    </row>
    <row r="1770" spans="1:25" x14ac:dyDescent="0.25">
      <c r="A1770" s="879"/>
      <c r="B1770" s="1133">
        <v>1520</v>
      </c>
      <c r="C1770" s="883">
        <v>1.0045290569383294</v>
      </c>
      <c r="D1770" s="883">
        <v>1.0285208688987051</v>
      </c>
      <c r="E1770" s="883">
        <v>0.98730319187448456</v>
      </c>
      <c r="F1770" s="883">
        <v>0.9978376737932052</v>
      </c>
      <c r="G1770" s="883">
        <v>0.992073895799508</v>
      </c>
      <c r="H1770" s="883">
        <v>1.0080752978075713</v>
      </c>
      <c r="I1770" s="883">
        <v>0.9981109237991832</v>
      </c>
      <c r="K1770">
        <v>1.6067246001819584</v>
      </c>
      <c r="L1770">
        <v>0</v>
      </c>
      <c r="M1770">
        <v>6.423536705774599E-3</v>
      </c>
      <c r="N1770">
        <v>0.11752664824740115</v>
      </c>
      <c r="O1770">
        <v>3.0375500031921892E-2</v>
      </c>
      <c r="P1770">
        <v>1.8111588682717433E-2</v>
      </c>
      <c r="Q1770">
        <v>0</v>
      </c>
      <c r="R1770">
        <v>6.423536705774599E-3</v>
      </c>
      <c r="S1770">
        <v>0.16779266215837865</v>
      </c>
      <c r="T1770">
        <v>1.1836258916289315</v>
      </c>
      <c r="U1770">
        <v>0</v>
      </c>
      <c r="V1770">
        <v>1.5829332226929529E-2</v>
      </c>
      <c r="W1770">
        <v>6.2250176619355571E-2</v>
      </c>
      <c r="X1770">
        <v>-1.5238180221145745E-2</v>
      </c>
      <c r="Y1770">
        <v>2.6450980807468334E-2</v>
      </c>
    </row>
    <row r="1771" spans="1:25" x14ac:dyDescent="0.25">
      <c r="A1771" s="879"/>
      <c r="B1771" s="1133">
        <v>1521</v>
      </c>
      <c r="C1771" s="883">
        <v>0.99153217935872717</v>
      </c>
      <c r="D1771" s="883">
        <v>0.99568934995116976</v>
      </c>
      <c r="E1771" s="883">
        <v>0.9971597982888436</v>
      </c>
      <c r="F1771" s="883">
        <v>1.0098072219766856</v>
      </c>
      <c r="G1771" s="883">
        <v>1.0050530553489705</v>
      </c>
      <c r="H1771" s="883">
        <v>1.0203174947786817</v>
      </c>
      <c r="I1771" s="883">
        <v>1.0003337017772267</v>
      </c>
      <c r="K1771">
        <v>1.6336435539064302</v>
      </c>
      <c r="L1771">
        <v>0</v>
      </c>
      <c r="M1771">
        <v>6.625460840512196E-3</v>
      </c>
      <c r="N1771">
        <v>0.12300524112130161</v>
      </c>
      <c r="O1771">
        <v>3.1167350762801947E-2</v>
      </c>
      <c r="P1771">
        <v>1.8484892170357533E-2</v>
      </c>
      <c r="Q1771">
        <v>0</v>
      </c>
      <c r="R1771">
        <v>6.625460840512196E-3</v>
      </c>
      <c r="S1771">
        <v>0.17143089579132845</v>
      </c>
      <c r="T1771">
        <v>1.1976387373893762</v>
      </c>
      <c r="U1771">
        <v>0</v>
      </c>
      <c r="V1771">
        <v>1.5900469260681008E-2</v>
      </c>
      <c r="W1771">
        <v>6.4832858156043088E-2</v>
      </c>
      <c r="X1771">
        <v>-1.6099359198621221E-2</v>
      </c>
      <c r="Y1771">
        <v>2.7282468453161606E-2</v>
      </c>
    </row>
    <row r="1772" spans="1:25" x14ac:dyDescent="0.25">
      <c r="A1772" s="879"/>
      <c r="B1772" s="1133">
        <v>1522</v>
      </c>
      <c r="C1772" s="883">
        <v>1.013179383063314</v>
      </c>
      <c r="D1772" s="883">
        <v>1.0085938178745173</v>
      </c>
      <c r="E1772" s="883">
        <v>1.0067437784565529</v>
      </c>
      <c r="F1772" s="883">
        <v>0.99511687749540745</v>
      </c>
      <c r="G1772" s="883">
        <v>0.96559166583075828</v>
      </c>
      <c r="H1772" s="883">
        <v>1.0120682061447028</v>
      </c>
      <c r="I1772" s="883">
        <v>1.01587617691548</v>
      </c>
      <c r="K1772">
        <v>1.6070290574423873</v>
      </c>
      <c r="L1772">
        <v>0</v>
      </c>
      <c r="M1772">
        <v>6.3413259181914969E-3</v>
      </c>
      <c r="N1772">
        <v>0.1194133918387979</v>
      </c>
      <c r="O1772">
        <v>3.0336659010863291E-2</v>
      </c>
      <c r="P1772">
        <v>1.8358906416314519E-2</v>
      </c>
      <c r="Q1772">
        <v>0</v>
      </c>
      <c r="R1772">
        <v>6.3413259181914969E-3</v>
      </c>
      <c r="S1772">
        <v>0.1697700110537648</v>
      </c>
      <c r="T1772">
        <v>1.1800387125440568</v>
      </c>
      <c r="U1772">
        <v>0</v>
      </c>
      <c r="V1772">
        <v>1.5782997172815932E-2</v>
      </c>
      <c r="W1772">
        <v>6.2641061433224704E-2</v>
      </c>
      <c r="X1772">
        <v>-1.542513344462741E-2</v>
      </c>
      <c r="Y1772">
        <v>2.6112451417175827E-2</v>
      </c>
    </row>
    <row r="1773" spans="1:25" x14ac:dyDescent="0.25">
      <c r="A1773" s="879"/>
      <c r="B1773" s="1133">
        <v>1523</v>
      </c>
      <c r="C1773" s="883">
        <v>0.99105079442630784</v>
      </c>
      <c r="D1773" s="883">
        <v>1.0150320078913622</v>
      </c>
      <c r="E1773" s="883">
        <v>0.98689243777486324</v>
      </c>
      <c r="F1773" s="883">
        <v>1.032461289353096</v>
      </c>
      <c r="G1773" s="883">
        <v>0.97758327996340355</v>
      </c>
      <c r="H1773" s="883">
        <v>1.0160775230081587</v>
      </c>
      <c r="I1773" s="883">
        <v>0.9861553270848693</v>
      </c>
      <c r="K1773">
        <v>1.6551006016141734</v>
      </c>
      <c r="L1773">
        <v>0</v>
      </c>
      <c r="M1773">
        <v>6.6036563595977711E-3</v>
      </c>
      <c r="N1773">
        <v>0.12074859169507481</v>
      </c>
      <c r="O1773">
        <v>3.0951954697301994E-2</v>
      </c>
      <c r="P1773">
        <v>1.8661766824185501E-2</v>
      </c>
      <c r="Q1773">
        <v>0</v>
      </c>
      <c r="R1773">
        <v>6.6036563595977711E-3</v>
      </c>
      <c r="S1773">
        <v>0.16862649425556972</v>
      </c>
      <c r="T1773">
        <v>1.2247040123712898</v>
      </c>
      <c r="U1773">
        <v>0</v>
      </c>
      <c r="V1773">
        <v>1.5903139903489093E-2</v>
      </c>
      <c r="W1773">
        <v>6.3969856063442188E-2</v>
      </c>
      <c r="X1773">
        <v>-1.5657895677988597E-2</v>
      </c>
      <c r="Y1773">
        <v>2.7192681481808933E-2</v>
      </c>
    </row>
    <row r="1774" spans="1:25" x14ac:dyDescent="0.25">
      <c r="A1774" s="879"/>
      <c r="B1774" s="1133">
        <v>1524</v>
      </c>
      <c r="C1774" s="883">
        <v>0.97922842736895666</v>
      </c>
      <c r="D1774" s="883">
        <v>0.97711658463334139</v>
      </c>
      <c r="E1774" s="883">
        <v>0.98038119729895257</v>
      </c>
      <c r="F1774" s="883">
        <v>1.0237887404871158</v>
      </c>
      <c r="G1774" s="883">
        <v>1.0129436241803929</v>
      </c>
      <c r="H1774" s="883">
        <v>1.01225365012149</v>
      </c>
      <c r="I1774" s="883">
        <v>0.99605824943827459</v>
      </c>
      <c r="K1774">
        <v>1.654088885097585</v>
      </c>
      <c r="L1774">
        <v>0</v>
      </c>
      <c r="M1774">
        <v>6.8108449034491115E-3</v>
      </c>
      <c r="N1774">
        <v>0.1233400693448858</v>
      </c>
      <c r="O1774">
        <v>3.1811704751942671E-2</v>
      </c>
      <c r="P1774">
        <v>1.8487401547527073E-2</v>
      </c>
      <c r="Q1774">
        <v>0</v>
      </c>
      <c r="R1774">
        <v>6.8108449034491115E-3</v>
      </c>
      <c r="S1774">
        <v>0.17255379974089455</v>
      </c>
      <c r="T1774">
        <v>1.2145410164242227</v>
      </c>
      <c r="U1774">
        <v>0</v>
      </c>
      <c r="V1774">
        <v>1.5969552514269882E-2</v>
      </c>
      <c r="W1774">
        <v>6.555582539649861E-2</v>
      </c>
      <c r="X1774">
        <v>-1.6216331649857901E-2</v>
      </c>
      <c r="Y1774">
        <v>2.8045847027202701E-2</v>
      </c>
    </row>
    <row r="1775" spans="1:25" x14ac:dyDescent="0.25">
      <c r="A1775" s="879"/>
      <c r="B1775" s="1133">
        <v>1525</v>
      </c>
      <c r="C1775" s="883">
        <v>1.0285995302217352</v>
      </c>
      <c r="D1775" s="883">
        <v>1.0268213031571563</v>
      </c>
      <c r="E1775" s="883">
        <v>0.970460666684407</v>
      </c>
      <c r="F1775" s="883">
        <v>0.9709378520229669</v>
      </c>
      <c r="G1775" s="883">
        <v>1.0138111513676116</v>
      </c>
      <c r="H1775" s="883">
        <v>1.0260067557772259</v>
      </c>
      <c r="I1775" s="883">
        <v>0.96719495333775107</v>
      </c>
      <c r="K1775">
        <v>1.5634742346354127</v>
      </c>
      <c r="L1775">
        <v>0</v>
      </c>
      <c r="M1775">
        <v>6.4839924871679068E-3</v>
      </c>
      <c r="N1775">
        <v>0.11570475210983616</v>
      </c>
      <c r="O1775">
        <v>2.9697094592090443E-2</v>
      </c>
      <c r="P1775">
        <v>1.7357495765872203E-2</v>
      </c>
      <c r="Q1775">
        <v>0</v>
      </c>
      <c r="R1775">
        <v>6.4839924871679068E-3</v>
      </c>
      <c r="S1775">
        <v>0.15975470802612499</v>
      </c>
      <c r="T1775">
        <v>1.1520230021038154</v>
      </c>
      <c r="U1775">
        <v>0</v>
      </c>
      <c r="V1775">
        <v>1.5702332775407755E-2</v>
      </c>
      <c r="W1775">
        <v>6.1804431515815057E-2</v>
      </c>
      <c r="X1775">
        <v>-1.5269509208067154E-2</v>
      </c>
      <c r="Y1775">
        <v>2.6699926954518033E-2</v>
      </c>
    </row>
    <row r="1776" spans="1:25" x14ac:dyDescent="0.25">
      <c r="A1776" s="879"/>
      <c r="B1776" s="1133">
        <v>1526</v>
      </c>
      <c r="C1776" s="883">
        <v>1.0103235496675964</v>
      </c>
      <c r="D1776" s="883">
        <v>1.0180111159899061</v>
      </c>
      <c r="E1776" s="883">
        <v>1.0236929721801507</v>
      </c>
      <c r="F1776" s="883">
        <v>0.99356080483339815</v>
      </c>
      <c r="G1776" s="883">
        <v>1.0045229129980018</v>
      </c>
      <c r="H1776" s="883">
        <v>0.99962462225413973</v>
      </c>
      <c r="I1776" s="883">
        <v>1.0045786538061217</v>
      </c>
      <c r="K1776">
        <v>1.6011789970564758</v>
      </c>
      <c r="L1776">
        <v>0</v>
      </c>
      <c r="M1776">
        <v>6.1630157514080772E-3</v>
      </c>
      <c r="N1776">
        <v>0.11900331449953325</v>
      </c>
      <c r="O1776">
        <v>3.0294610961751026E-2</v>
      </c>
      <c r="P1776">
        <v>1.8533900365042009E-2</v>
      </c>
      <c r="Q1776">
        <v>0</v>
      </c>
      <c r="R1776">
        <v>6.1630157514080772E-3</v>
      </c>
      <c r="S1776">
        <v>0.16756848779231795</v>
      </c>
      <c r="T1776">
        <v>1.1778816280769853</v>
      </c>
      <c r="U1776">
        <v>0</v>
      </c>
      <c r="V1776">
        <v>1.5798206573065642E-2</v>
      </c>
      <c r="W1776">
        <v>6.1905906382106461E-2</v>
      </c>
      <c r="X1776">
        <v>-1.5185259482715565E-2</v>
      </c>
      <c r="Y1776">
        <v>2.5378201888388248E-2</v>
      </c>
    </row>
    <row r="1777" spans="1:25" x14ac:dyDescent="0.25">
      <c r="A1777" s="879"/>
      <c r="B1777" s="1133">
        <v>1527</v>
      </c>
      <c r="C1777" s="883">
        <v>0.97867550077553656</v>
      </c>
      <c r="D1777" s="883">
        <v>1.0108783960322751</v>
      </c>
      <c r="E1777" s="883">
        <v>0.96733673387259766</v>
      </c>
      <c r="F1777" s="883">
        <v>0.99587912937521239</v>
      </c>
      <c r="G1777" s="883">
        <v>1.0413427881522768</v>
      </c>
      <c r="H1777" s="883">
        <v>0.99025160038176452</v>
      </c>
      <c r="I1777" s="883">
        <v>0.9709689915482016</v>
      </c>
      <c r="K1777">
        <v>1.6064774578081848</v>
      </c>
      <c r="L1777">
        <v>0</v>
      </c>
      <c r="M1777">
        <v>6.6413230787816073E-3</v>
      </c>
      <c r="N1777">
        <v>0.11796379177162733</v>
      </c>
      <c r="O1777">
        <v>3.1410391016087356E-2</v>
      </c>
      <c r="P1777">
        <v>1.7795878151544011E-2</v>
      </c>
      <c r="Q1777">
        <v>0</v>
      </c>
      <c r="R1777">
        <v>6.6413230787816073E-3</v>
      </c>
      <c r="S1777">
        <v>0.16667226568261617</v>
      </c>
      <c r="T1777">
        <v>1.1816742033889363</v>
      </c>
      <c r="U1777">
        <v>0</v>
      </c>
      <c r="V1777">
        <v>1.5972697877385558E-2</v>
      </c>
      <c r="W1777">
        <v>6.3110199156579089E-2</v>
      </c>
      <c r="X1777">
        <v>-1.5469755563572716E-2</v>
      </c>
      <c r="Y1777">
        <v>2.7347786326981888E-2</v>
      </c>
    </row>
    <row r="1778" spans="1:25" x14ac:dyDescent="0.25">
      <c r="A1778" s="879"/>
      <c r="B1778" s="1133">
        <v>1528</v>
      </c>
      <c r="C1778" s="883">
        <v>1.0174100334382101</v>
      </c>
      <c r="D1778" s="883">
        <v>0.98932052317019537</v>
      </c>
      <c r="E1778" s="883">
        <v>0.98528711703645744</v>
      </c>
      <c r="F1778" s="883">
        <v>1.0112442404138058</v>
      </c>
      <c r="G1778" s="883">
        <v>0.95341440679465239</v>
      </c>
      <c r="H1778" s="883">
        <v>1.0002238466759783</v>
      </c>
      <c r="I1778" s="883">
        <v>0.96321910913812714</v>
      </c>
      <c r="K1778">
        <v>1.6141335941491255</v>
      </c>
      <c r="L1778">
        <v>0</v>
      </c>
      <c r="M1778">
        <v>6.4140498757646923E-3</v>
      </c>
      <c r="N1778">
        <v>0.11700273508191975</v>
      </c>
      <c r="O1778">
        <v>3.0462348834117008E-2</v>
      </c>
      <c r="P1778">
        <v>1.8187812531974636E-2</v>
      </c>
      <c r="Q1778">
        <v>0</v>
      </c>
      <c r="R1778">
        <v>6.4140498757646923E-3</v>
      </c>
      <c r="S1778">
        <v>0.15981739148979687</v>
      </c>
      <c r="T1778">
        <v>1.1995666506432108</v>
      </c>
      <c r="U1778">
        <v>0</v>
      </c>
      <c r="V1778">
        <v>1.5760622802734846E-2</v>
      </c>
      <c r="W1778">
        <v>6.2035106379065549E-2</v>
      </c>
      <c r="X1778">
        <v>-1.5110989343775406E-2</v>
      </c>
      <c r="Y1778">
        <v>2.6411915730080341E-2</v>
      </c>
    </row>
    <row r="1779" spans="1:25" x14ac:dyDescent="0.25">
      <c r="A1779" s="879"/>
      <c r="B1779" s="1133">
        <v>1529</v>
      </c>
      <c r="C1779" s="883">
        <v>0.99221667077394293</v>
      </c>
      <c r="D1779" s="883">
        <v>1.0252597430631727</v>
      </c>
      <c r="E1779" s="883">
        <v>0.9680969842755468</v>
      </c>
      <c r="F1779" s="883">
        <v>0.99434823715793719</v>
      </c>
      <c r="G1779" s="883">
        <v>0.99761809370807764</v>
      </c>
      <c r="H1779" s="883">
        <v>1.0227937505801274</v>
      </c>
      <c r="I1779" s="883">
        <v>1.0370495881199777</v>
      </c>
      <c r="K1779">
        <v>1.6171364293365378</v>
      </c>
      <c r="L1779">
        <v>0</v>
      </c>
      <c r="M1779">
        <v>6.7190558654455891E-3</v>
      </c>
      <c r="N1779">
        <v>0.11947930430692558</v>
      </c>
      <c r="O1779">
        <v>3.080657741532886E-2</v>
      </c>
      <c r="P1779">
        <v>1.7921741095873273E-2</v>
      </c>
      <c r="Q1779">
        <v>0</v>
      </c>
      <c r="R1779">
        <v>6.7190558654455891E-3</v>
      </c>
      <c r="S1779">
        <v>0.17739512299994745</v>
      </c>
      <c r="T1779">
        <v>1.1798435461695844</v>
      </c>
      <c r="U1779">
        <v>0</v>
      </c>
      <c r="V1779">
        <v>1.5896676279275691E-2</v>
      </c>
      <c r="W1779">
        <v>6.3896542533539533E-2</v>
      </c>
      <c r="X1779">
        <v>-1.5770957570480144E-2</v>
      </c>
      <c r="Y1779">
        <v>2.7667876106543917E-2</v>
      </c>
    </row>
    <row r="1780" spans="1:25" x14ac:dyDescent="0.25">
      <c r="A1780" s="879"/>
      <c r="B1780" s="1133">
        <v>1530</v>
      </c>
      <c r="C1780" s="883">
        <v>0.97942521784477621</v>
      </c>
      <c r="D1780" s="883">
        <v>0.9880083475839545</v>
      </c>
      <c r="E1780" s="883">
        <v>0.98803825939076317</v>
      </c>
      <c r="F1780" s="883">
        <v>0.97805527442439677</v>
      </c>
      <c r="G1780" s="883">
        <v>0.99628390902104735</v>
      </c>
      <c r="H1780" s="883">
        <v>1.0085116698588008</v>
      </c>
      <c r="I1780" s="883">
        <v>1.0160676552034813</v>
      </c>
      <c r="K1780">
        <v>1.6005283455399522</v>
      </c>
      <c r="L1780">
        <v>0</v>
      </c>
      <c r="M1780">
        <v>6.7058809471616954E-3</v>
      </c>
      <c r="N1780">
        <v>0.12282629553060852</v>
      </c>
      <c r="O1780">
        <v>3.1658274232734943E-2</v>
      </c>
      <c r="P1780">
        <v>1.791674209717559E-2</v>
      </c>
      <c r="Q1780">
        <v>0</v>
      </c>
      <c r="R1780">
        <v>6.7058809471616954E-3</v>
      </c>
      <c r="S1780">
        <v>0.17564274904560176</v>
      </c>
      <c r="T1780">
        <v>1.160146790656736</v>
      </c>
      <c r="U1780">
        <v>0</v>
      </c>
      <c r="V1780">
        <v>1.596843391425129E-2</v>
      </c>
      <c r="W1780">
        <v>6.5033368101894473E-2</v>
      </c>
      <c r="X1780">
        <v>-1.6277932177150942E-2</v>
      </c>
      <c r="Y1780">
        <v>2.7613624138098879E-2</v>
      </c>
    </row>
    <row r="1781" spans="1:25" x14ac:dyDescent="0.25">
      <c r="A1781" s="879"/>
      <c r="B1781" s="1133">
        <v>1531</v>
      </c>
      <c r="C1781" s="883">
        <v>0.99458106289217341</v>
      </c>
      <c r="D1781" s="883">
        <v>1.006733486624013</v>
      </c>
      <c r="E1781" s="883">
        <v>0.98661693448455534</v>
      </c>
      <c r="F1781" s="883">
        <v>1.0029278098338699</v>
      </c>
      <c r="G1781" s="883">
        <v>1.0176516182465392</v>
      </c>
      <c r="H1781" s="883">
        <v>0.96966583696810538</v>
      </c>
      <c r="I1781" s="883">
        <v>1.0318822567249299</v>
      </c>
      <c r="K1781">
        <v>1.6154306062699892</v>
      </c>
      <c r="L1781">
        <v>0</v>
      </c>
      <c r="M1781">
        <v>6.3041866624195487E-3</v>
      </c>
      <c r="N1781">
        <v>0.11522566943247772</v>
      </c>
      <c r="O1781">
        <v>3.0943757679279447E-2</v>
      </c>
      <c r="P1781">
        <v>1.8253577218503163E-2</v>
      </c>
      <c r="Q1781">
        <v>0</v>
      </c>
      <c r="R1781">
        <v>6.3041866624195487E-3</v>
      </c>
      <c r="S1781">
        <v>0.17312410341251941</v>
      </c>
      <c r="T1781">
        <v>1.1896765951389288</v>
      </c>
      <c r="U1781">
        <v>0</v>
      </c>
      <c r="V1781">
        <v>1.5883614605328004E-2</v>
      </c>
      <c r="W1781">
        <v>6.105233573125974E-2</v>
      </c>
      <c r="X1781">
        <v>-1.4688565520755497E-2</v>
      </c>
      <c r="Y1781">
        <v>2.595951857244802E-2</v>
      </c>
    </row>
    <row r="1782" spans="1:25" x14ac:dyDescent="0.25">
      <c r="A1782" s="879"/>
      <c r="B1782" s="1133">
        <v>1532</v>
      </c>
      <c r="C1782" s="883">
        <v>1.0089411666328867</v>
      </c>
      <c r="D1782" s="883">
        <v>1.0129235907104139</v>
      </c>
      <c r="E1782" s="883">
        <v>0.9574603931935054</v>
      </c>
      <c r="F1782" s="883">
        <v>0.99658256422484515</v>
      </c>
      <c r="G1782" s="883">
        <v>1.0189561266165637</v>
      </c>
      <c r="H1782" s="883">
        <v>1.0163907742979108</v>
      </c>
      <c r="I1782" s="883">
        <v>0.97371965818053174</v>
      </c>
      <c r="K1782">
        <v>1.601532668677714</v>
      </c>
      <c r="L1782">
        <v>0</v>
      </c>
      <c r="M1782">
        <v>6.6631991511263136E-3</v>
      </c>
      <c r="N1782">
        <v>0.11662851104206128</v>
      </c>
      <c r="O1782">
        <v>3.0450747917398192E-2</v>
      </c>
      <c r="P1782">
        <v>1.7629269368640368E-2</v>
      </c>
      <c r="Q1782">
        <v>0</v>
      </c>
      <c r="R1782">
        <v>6.6631991511263136E-3</v>
      </c>
      <c r="S1782">
        <v>0.16355532254830563</v>
      </c>
      <c r="T1782">
        <v>1.1826934094482671</v>
      </c>
      <c r="U1782">
        <v>0</v>
      </c>
      <c r="V1782">
        <v>1.5805599699234341E-2</v>
      </c>
      <c r="W1782">
        <v>6.2707391830250078E-2</v>
      </c>
      <c r="X1782">
        <v>-1.5375451275544306E-2</v>
      </c>
      <c r="Y1782">
        <v>2.7437868099101662E-2</v>
      </c>
    </row>
    <row r="1783" spans="1:25" x14ac:dyDescent="0.25">
      <c r="A1783" s="879"/>
      <c r="B1783" s="1133">
        <v>1533</v>
      </c>
      <c r="C1783" s="883">
        <v>0.98394075456262609</v>
      </c>
      <c r="D1783" s="883">
        <v>1.0019346151975752</v>
      </c>
      <c r="E1783" s="883">
        <v>0.96145354030590979</v>
      </c>
      <c r="F1783" s="883">
        <v>0.9830802905258812</v>
      </c>
      <c r="G1783" s="883">
        <v>1.0014054614985171</v>
      </c>
      <c r="H1783" s="883">
        <v>1.0153886225192639</v>
      </c>
      <c r="I1783" s="883">
        <v>1.0152002285109341</v>
      </c>
      <c r="K1783">
        <v>1.6034709940648562</v>
      </c>
      <c r="L1783">
        <v>0</v>
      </c>
      <c r="M1783">
        <v>6.8352630831509387E-3</v>
      </c>
      <c r="N1783">
        <v>0.12035221817919012</v>
      </c>
      <c r="O1783">
        <v>3.1358024251949237E-2</v>
      </c>
      <c r="P1783">
        <v>1.7625287061580047E-2</v>
      </c>
      <c r="Q1783">
        <v>0</v>
      </c>
      <c r="R1783">
        <v>6.8352630831509387E-3</v>
      </c>
      <c r="S1783">
        <v>0.17491760069964579</v>
      </c>
      <c r="T1783">
        <v>1.1665959496911569</v>
      </c>
      <c r="U1783">
        <v>0</v>
      </c>
      <c r="V1783">
        <v>1.5942889544737326E-2</v>
      </c>
      <c r="W1783">
        <v>6.4579168427634226E-2</v>
      </c>
      <c r="X1783">
        <v>-1.6046540535978461E-2</v>
      </c>
      <c r="Y1783">
        <v>2.814639674494087E-2</v>
      </c>
    </row>
    <row r="1784" spans="1:25" x14ac:dyDescent="0.25">
      <c r="A1784" s="879"/>
      <c r="B1784" s="1133">
        <v>1534</v>
      </c>
      <c r="C1784" s="883">
        <v>0.9972545957831821</v>
      </c>
      <c r="D1784" s="883">
        <v>0.99017032339580446</v>
      </c>
      <c r="E1784" s="883">
        <v>1.0175137595822383</v>
      </c>
      <c r="F1784" s="883">
        <v>0.97803755323415364</v>
      </c>
      <c r="G1784" s="883">
        <v>0.98922724982588528</v>
      </c>
      <c r="H1784" s="883">
        <v>1.0417438665035912</v>
      </c>
      <c r="I1784" s="883">
        <v>0.99626347350198541</v>
      </c>
      <c r="K1784">
        <v>1.5991502216329607</v>
      </c>
      <c r="L1784">
        <v>0</v>
      </c>
      <c r="M1784">
        <v>6.6235604442762067E-3</v>
      </c>
      <c r="N1784">
        <v>0.12673239475554468</v>
      </c>
      <c r="O1784">
        <v>3.1039602977191702E-2</v>
      </c>
      <c r="P1784">
        <v>1.8249681148399879E-2</v>
      </c>
      <c r="Q1784">
        <v>0</v>
      </c>
      <c r="R1784">
        <v>6.6235604442762067E-3</v>
      </c>
      <c r="S1784">
        <v>0.17108243232655174</v>
      </c>
      <c r="T1784">
        <v>1.15959034550033</v>
      </c>
      <c r="U1784">
        <v>0</v>
      </c>
      <c r="V1784">
        <v>1.586891974914411E-2</v>
      </c>
      <c r="W1784">
        <v>6.6127524849758715E-2</v>
      </c>
      <c r="X1784">
        <v>-1.681532263368013E-2</v>
      </c>
      <c r="Y1784">
        <v>2.7274642959719732E-2</v>
      </c>
    </row>
    <row r="1785" spans="1:25" x14ac:dyDescent="0.25">
      <c r="A1785" s="879"/>
      <c r="B1785" s="1133">
        <v>1535</v>
      </c>
      <c r="C1785" s="883">
        <v>0.98002493914307909</v>
      </c>
      <c r="D1785" s="883">
        <v>1.0041758417919322</v>
      </c>
      <c r="E1785" s="883">
        <v>1.027556004583253</v>
      </c>
      <c r="F1785" s="883">
        <v>0.96848909740872036</v>
      </c>
      <c r="G1785" s="883">
        <v>0.96385659212561881</v>
      </c>
      <c r="H1785" s="883">
        <v>0.99697505317958757</v>
      </c>
      <c r="I1785" s="883">
        <v>1.0029874883807364</v>
      </c>
      <c r="K1785">
        <v>1.5837323853448506</v>
      </c>
      <c r="L1785">
        <v>0</v>
      </c>
      <c r="M1785">
        <v>6.3539439119766009E-3</v>
      </c>
      <c r="N1785">
        <v>0.12339282865702532</v>
      </c>
      <c r="O1785">
        <v>3.1398974867600619E-2</v>
      </c>
      <c r="P1785">
        <v>1.8249553444772616E-2</v>
      </c>
      <c r="Q1785">
        <v>0</v>
      </c>
      <c r="R1785">
        <v>6.3539439119766009E-3</v>
      </c>
      <c r="S1785">
        <v>0.17246208167096619</v>
      </c>
      <c r="T1785">
        <v>1.1480896229473834</v>
      </c>
      <c r="U1785">
        <v>0</v>
      </c>
      <c r="V1785">
        <v>1.5965027738098051E-2</v>
      </c>
      <c r="W1785">
        <v>6.4067595381277986E-2</v>
      </c>
      <c r="X1785">
        <v>-1.6057709431937996E-2</v>
      </c>
      <c r="Y1785">
        <v>2.6164410069663715E-2</v>
      </c>
    </row>
    <row r="1786" spans="1:25" x14ac:dyDescent="0.25">
      <c r="A1786" s="879"/>
      <c r="B1786" s="1133">
        <v>1536</v>
      </c>
      <c r="C1786" s="883">
        <v>0.97853070084096594</v>
      </c>
      <c r="D1786" s="883">
        <v>1.0302580440950253</v>
      </c>
      <c r="E1786" s="883">
        <v>0.99765987883870166</v>
      </c>
      <c r="F1786" s="883">
        <v>0.98278162082010834</v>
      </c>
      <c r="G1786" s="883">
        <v>0.99572119433172246</v>
      </c>
      <c r="H1786" s="883">
        <v>0.96463800179637316</v>
      </c>
      <c r="I1786" s="883">
        <v>1.0067625887974758</v>
      </c>
      <c r="K1786">
        <v>1.5900919060886933</v>
      </c>
      <c r="L1786">
        <v>0</v>
      </c>
      <c r="M1786">
        <v>6.2485801059350759E-3</v>
      </c>
      <c r="N1786">
        <v>0.11609424197188602</v>
      </c>
      <c r="O1786">
        <v>3.1152824865912962E-2</v>
      </c>
      <c r="P1786">
        <v>1.8061581315665532E-2</v>
      </c>
      <c r="Q1786">
        <v>0</v>
      </c>
      <c r="R1786">
        <v>6.2485801059350759E-3</v>
      </c>
      <c r="S1786">
        <v>0.17118136020287519</v>
      </c>
      <c r="T1786">
        <v>1.1655770374474435</v>
      </c>
      <c r="U1786">
        <v>0</v>
      </c>
      <c r="V1786">
        <v>1.5973522169668408E-2</v>
      </c>
      <c r="W1786">
        <v>6.1175039322653189E-2</v>
      </c>
      <c r="X1786">
        <v>-1.4854241877855097E-2</v>
      </c>
      <c r="Y1786">
        <v>2.5730540670443058E-2</v>
      </c>
    </row>
    <row r="1787" spans="1:25" x14ac:dyDescent="0.25">
      <c r="A1787" s="879"/>
      <c r="B1787" s="1133">
        <v>1537</v>
      </c>
      <c r="C1787" s="883">
        <v>0.9840316022535287</v>
      </c>
      <c r="D1787" s="883">
        <v>1.0140101750225674</v>
      </c>
      <c r="E1787" s="883">
        <v>0.96308989573443538</v>
      </c>
      <c r="F1787" s="883">
        <v>1.0295283935217401</v>
      </c>
      <c r="G1787" s="883">
        <v>1.0090582257893965</v>
      </c>
      <c r="H1787" s="883">
        <v>0.98226569303342703</v>
      </c>
      <c r="I1787" s="883">
        <v>0.98181918013489888</v>
      </c>
      <c r="K1787">
        <v>1.6443858123814941</v>
      </c>
      <c r="L1787">
        <v>0</v>
      </c>
      <c r="M1787">
        <v>6.5671045452427778E-3</v>
      </c>
      <c r="N1787">
        <v>0.11591204679131112</v>
      </c>
      <c r="O1787">
        <v>3.1204008305114699E-2</v>
      </c>
      <c r="P1787">
        <v>1.8262385636399842E-2</v>
      </c>
      <c r="Q1787">
        <v>0</v>
      </c>
      <c r="R1787">
        <v>6.5671045452427778E-3</v>
      </c>
      <c r="S1787">
        <v>0.1671240475494464</v>
      </c>
      <c r="T1787">
        <v>1.2216831255840472</v>
      </c>
      <c r="U1787">
        <v>0</v>
      </c>
      <c r="V1787">
        <v>1.5942378025538346E-2</v>
      </c>
      <c r="W1787">
        <v>6.2145330303414285E-2</v>
      </c>
      <c r="X1787">
        <v>-1.4929677430053884E-2</v>
      </c>
      <c r="Y1787">
        <v>2.7042167616275484E-2</v>
      </c>
    </row>
    <row r="1788" spans="1:25" x14ac:dyDescent="0.25">
      <c r="A1788" s="879"/>
      <c r="B1788" s="1133">
        <v>1538</v>
      </c>
      <c r="C1788" s="883">
        <v>1.0184943611273893</v>
      </c>
      <c r="D1788" s="883">
        <v>0.99800640200319046</v>
      </c>
      <c r="E1788" s="883">
        <v>0.99987626361241522</v>
      </c>
      <c r="F1788" s="883">
        <v>1.0076249953254237</v>
      </c>
      <c r="G1788" s="883">
        <v>1.0012875949742497</v>
      </c>
      <c r="H1788" s="883">
        <v>1.0285171794660006</v>
      </c>
      <c r="I1788" s="883">
        <v>0.99545395888936328</v>
      </c>
      <c r="K1788">
        <v>1.6213326446687581</v>
      </c>
      <c r="L1788">
        <v>0</v>
      </c>
      <c r="M1788">
        <v>6.4797720928213929E-3</v>
      </c>
      <c r="N1788">
        <v>0.12078561638132579</v>
      </c>
      <c r="O1788">
        <v>3.0311811994659751E-2</v>
      </c>
      <c r="P1788">
        <v>1.8420037809308058E-2</v>
      </c>
      <c r="Q1788">
        <v>0</v>
      </c>
      <c r="R1788">
        <v>6.4797720928213929E-3</v>
      </c>
      <c r="S1788">
        <v>0.16652206408163001</v>
      </c>
      <c r="T1788">
        <v>1.1949997117411038</v>
      </c>
      <c r="U1788">
        <v>0</v>
      </c>
      <c r="V1788">
        <v>1.5754918114119582E-2</v>
      </c>
      <c r="W1788">
        <v>6.3577070777892847E-2</v>
      </c>
      <c r="X1788">
        <v>-1.5721134353082401E-2</v>
      </c>
      <c r="Y1788">
        <v>2.6682548121801274E-2</v>
      </c>
    </row>
    <row r="1789" spans="1:25" x14ac:dyDescent="0.25">
      <c r="A1789" s="879"/>
      <c r="B1789" s="1133">
        <v>1539</v>
      </c>
      <c r="C1789" s="883">
        <v>0.99102901933911813</v>
      </c>
      <c r="D1789" s="883">
        <v>1.0238517896974793</v>
      </c>
      <c r="E1789" s="883">
        <v>1.0168579767422796</v>
      </c>
      <c r="F1789" s="883">
        <v>1.0029168646046474</v>
      </c>
      <c r="G1789" s="883">
        <v>0.96596716782359204</v>
      </c>
      <c r="H1789" s="883">
        <v>0.9802705550523273</v>
      </c>
      <c r="I1789" s="883">
        <v>1.018433591061084</v>
      </c>
      <c r="K1789">
        <v>1.6167990243982739</v>
      </c>
      <c r="L1789">
        <v>0</v>
      </c>
      <c r="M1789">
        <v>6.182558955469813E-3</v>
      </c>
      <c r="N1789">
        <v>0.11817973456710668</v>
      </c>
      <c r="O1789">
        <v>3.0820044989071274E-2</v>
      </c>
      <c r="P1789">
        <v>1.865305134443843E-2</v>
      </c>
      <c r="Q1789">
        <v>0</v>
      </c>
      <c r="R1789">
        <v>6.182558955469813E-3</v>
      </c>
      <c r="S1789">
        <v>0.17198079127537161</v>
      </c>
      <c r="T1789">
        <v>1.1891001689879723</v>
      </c>
      <c r="U1789">
        <v>0</v>
      </c>
      <c r="V1789">
        <v>1.5903260769352268E-2</v>
      </c>
      <c r="W1789">
        <v>6.1684789840111658E-2</v>
      </c>
      <c r="X1789">
        <v>-1.4981494699303887E-2</v>
      </c>
      <c r="Y1789">
        <v>2.5458677324153821E-2</v>
      </c>
    </row>
    <row r="1790" spans="1:25" x14ac:dyDescent="0.25">
      <c r="A1790" s="879"/>
      <c r="B1790" s="1133">
        <v>1540</v>
      </c>
      <c r="C1790" s="883">
        <v>0.96676716002721852</v>
      </c>
      <c r="D1790" s="883">
        <v>1.0239513011915442</v>
      </c>
      <c r="E1790" s="883">
        <v>1.0108720666142956</v>
      </c>
      <c r="F1790" s="883">
        <v>0.99507012025529562</v>
      </c>
      <c r="G1790" s="883">
        <v>0.96751138604731757</v>
      </c>
      <c r="H1790" s="883">
        <v>1.0074472725379267</v>
      </c>
      <c r="I1790" s="883">
        <v>1.0028054345484652</v>
      </c>
      <c r="K1790">
        <v>1.6209935993509514</v>
      </c>
      <c r="L1790">
        <v>0</v>
      </c>
      <c r="M1790">
        <v>6.5473369651219814E-3</v>
      </c>
      <c r="N1790">
        <v>0.12404865451219851</v>
      </c>
      <c r="O1790">
        <v>3.1597740223338486E-2</v>
      </c>
      <c r="P1790">
        <v>1.8491067551476285E-2</v>
      </c>
      <c r="Q1790">
        <v>0</v>
      </c>
      <c r="R1790">
        <v>6.5473369651219814E-3</v>
      </c>
      <c r="S1790">
        <v>0.17520123966985129</v>
      </c>
      <c r="T1790">
        <v>1.179907078496425</v>
      </c>
      <c r="U1790">
        <v>0</v>
      </c>
      <c r="V1790">
        <v>1.6041312501403879E-2</v>
      </c>
      <c r="W1790">
        <v>6.4939795823172539E-2</v>
      </c>
      <c r="X1790">
        <v>-1.6194057666749959E-2</v>
      </c>
      <c r="Y1790">
        <v>2.6960768239836154E-2</v>
      </c>
    </row>
    <row r="1791" spans="1:25" x14ac:dyDescent="0.25">
      <c r="A1791" s="879"/>
      <c r="B1791" s="1133">
        <v>1541</v>
      </c>
      <c r="C1791" s="883">
        <v>1.0158382353680242</v>
      </c>
      <c r="D1791" s="883">
        <v>0.99274398142035958</v>
      </c>
      <c r="E1791" s="883">
        <v>1.0154550669922717</v>
      </c>
      <c r="F1791" s="883">
        <v>0.96784854097277395</v>
      </c>
      <c r="G1791" s="883">
        <v>0.99294583959709026</v>
      </c>
      <c r="H1791" s="883">
        <v>1.0034766002152216</v>
      </c>
      <c r="I1791" s="883">
        <v>0.98613469290037603</v>
      </c>
      <c r="K1791">
        <v>1.568051635519385</v>
      </c>
      <c r="L1791">
        <v>0</v>
      </c>
      <c r="M1791">
        <v>6.2675618958351834E-3</v>
      </c>
      <c r="N1791">
        <v>0.11955612303395594</v>
      </c>
      <c r="O1791">
        <v>3.0441971483043635E-2</v>
      </c>
      <c r="P1791">
        <v>1.7962074920343612E-2</v>
      </c>
      <c r="Q1791">
        <v>0</v>
      </c>
      <c r="R1791">
        <v>6.2675618958351834E-3</v>
      </c>
      <c r="S1791">
        <v>0.16405321725407654</v>
      </c>
      <c r="T1791">
        <v>1.147546836732064</v>
      </c>
      <c r="U1791">
        <v>0</v>
      </c>
      <c r="V1791">
        <v>1.5768913713114712E-2</v>
      </c>
      <c r="W1791">
        <v>6.2446413308532497E-2</v>
      </c>
      <c r="X1791">
        <v>-1.5532619228365786E-2</v>
      </c>
      <c r="Y1791">
        <v>2.5808704302619057E-2</v>
      </c>
    </row>
    <row r="1792" spans="1:25" x14ac:dyDescent="0.25">
      <c r="A1792" s="879"/>
      <c r="B1792" s="1133">
        <v>1542</v>
      </c>
      <c r="C1792" s="883">
        <v>1.0272887210608759</v>
      </c>
      <c r="D1792" s="883">
        <v>0.98381466143200891</v>
      </c>
      <c r="E1792" s="883">
        <v>1.0010365438858686</v>
      </c>
      <c r="F1792" s="883">
        <v>1.0331553007512018</v>
      </c>
      <c r="G1792" s="883">
        <v>1.0237564327890893</v>
      </c>
      <c r="H1792" s="883">
        <v>0.98772584807273012</v>
      </c>
      <c r="I1792" s="883">
        <v>0.96078638915657022</v>
      </c>
      <c r="K1792">
        <v>1.6348451297698159</v>
      </c>
      <c r="L1792">
        <v>0</v>
      </c>
      <c r="M1792">
        <v>6.2027793559533747E-3</v>
      </c>
      <c r="N1792">
        <v>0.11582126921887875</v>
      </c>
      <c r="O1792">
        <v>3.0224011151145414E-2</v>
      </c>
      <c r="P1792">
        <v>1.871644370326922E-2</v>
      </c>
      <c r="Q1792">
        <v>0</v>
      </c>
      <c r="R1792">
        <v>6.2027793559533747E-3</v>
      </c>
      <c r="S1792">
        <v>0.15726835894043104</v>
      </c>
      <c r="T1792">
        <v>1.2252552743294141</v>
      </c>
      <c r="U1792">
        <v>0</v>
      </c>
      <c r="V1792">
        <v>1.5709095577328854E-2</v>
      </c>
      <c r="W1792">
        <v>6.0928909566025709E-2</v>
      </c>
      <c r="X1792">
        <v>-1.4620174050924547E-2</v>
      </c>
      <c r="Y1792">
        <v>2.554194133424801E-2</v>
      </c>
    </row>
    <row r="1793" spans="1:25" x14ac:dyDescent="0.25">
      <c r="A1793" s="879"/>
      <c r="B1793" s="1133">
        <v>1543</v>
      </c>
      <c r="C1793" s="883">
        <v>1.0025977207056807</v>
      </c>
      <c r="D1793" s="883">
        <v>1.0436232022805276</v>
      </c>
      <c r="E1793" s="883">
        <v>0.98141493510060074</v>
      </c>
      <c r="F1793" s="883">
        <v>1.0080454975305229</v>
      </c>
      <c r="G1793" s="883">
        <v>1.0314925570941931</v>
      </c>
      <c r="H1793" s="883">
        <v>0.95766612007693941</v>
      </c>
      <c r="I1793" s="883">
        <v>1.006826066622178</v>
      </c>
      <c r="K1793">
        <v>1.6075035077044799</v>
      </c>
      <c r="L1793">
        <v>0</v>
      </c>
      <c r="M1793">
        <v>6.1058088176877967E-3</v>
      </c>
      <c r="N1793">
        <v>0.11074202175087318</v>
      </c>
      <c r="O1793">
        <v>3.0261727404328854E-2</v>
      </c>
      <c r="P1793">
        <v>1.8174720533305672E-2</v>
      </c>
      <c r="Q1793">
        <v>0</v>
      </c>
      <c r="R1793">
        <v>6.1058088176877967E-3</v>
      </c>
      <c r="S1793">
        <v>0.16655608711282932</v>
      </c>
      <c r="T1793">
        <v>1.1958450393276707</v>
      </c>
      <c r="U1793">
        <v>0</v>
      </c>
      <c r="V1793">
        <v>1.5839786521005688E-2</v>
      </c>
      <c r="W1793">
        <v>5.8829457021159715E-2</v>
      </c>
      <c r="X1793">
        <v>-1.388796588447639E-2</v>
      </c>
      <c r="Y1793">
        <v>2.5142633917782743E-2</v>
      </c>
    </row>
    <row r="1794" spans="1:25" x14ac:dyDescent="0.25">
      <c r="A1794" s="879"/>
      <c r="B1794" s="1133">
        <v>1544</v>
      </c>
      <c r="C1794" s="883">
        <v>0.96025482776687365</v>
      </c>
      <c r="D1794" s="883">
        <v>1.0081774049277188</v>
      </c>
      <c r="E1794" s="883">
        <v>1.0176917584885239</v>
      </c>
      <c r="F1794" s="883">
        <v>1.0036973750955478</v>
      </c>
      <c r="G1794" s="883">
        <v>1.006011912630056</v>
      </c>
      <c r="H1794" s="883">
        <v>1.0177778747912634</v>
      </c>
      <c r="I1794" s="883">
        <v>1.020324356651634</v>
      </c>
      <c r="K1794">
        <v>1.6420195463598926</v>
      </c>
      <c r="L1794">
        <v>0</v>
      </c>
      <c r="M1794">
        <v>6.6656744104079263E-3</v>
      </c>
      <c r="N1794">
        <v>0.12757177822441754</v>
      </c>
      <c r="O1794">
        <v>3.2003878602655661E-2</v>
      </c>
      <c r="P1794">
        <v>1.8792050310038368E-2</v>
      </c>
      <c r="Q1794">
        <v>0</v>
      </c>
      <c r="R1794">
        <v>6.6656744104079263E-3</v>
      </c>
      <c r="S1794">
        <v>0.18027883923914323</v>
      </c>
      <c r="T1794">
        <v>1.1900100851980793</v>
      </c>
      <c r="U1794">
        <v>0</v>
      </c>
      <c r="V1794">
        <v>1.6079555699440733E-2</v>
      </c>
      <c r="W1794">
        <v>6.6559663620904069E-2</v>
      </c>
      <c r="X1794">
        <v>-1.6724365311029551E-2</v>
      </c>
      <c r="Y1794">
        <v>2.7448060776243618E-2</v>
      </c>
    </row>
    <row r="1795" spans="1:25" x14ac:dyDescent="0.25">
      <c r="A1795" s="879"/>
      <c r="B1795" s="1133">
        <v>1545</v>
      </c>
      <c r="C1795" s="883">
        <v>0.99883355955278097</v>
      </c>
      <c r="D1795" s="883">
        <v>1.0180025013989022</v>
      </c>
      <c r="E1795" s="883">
        <v>1.0202095865510936</v>
      </c>
      <c r="F1795" s="883">
        <v>1.014336928140029</v>
      </c>
      <c r="G1795" s="883">
        <v>0.95851782449181233</v>
      </c>
      <c r="H1795" s="883">
        <v>0.96626741751289424</v>
      </c>
      <c r="I1795" s="883">
        <v>0.98571683352117123</v>
      </c>
      <c r="K1795">
        <v>1.6192695700455286</v>
      </c>
      <c r="L1795">
        <v>0</v>
      </c>
      <c r="M1795">
        <v>6.0443184580794007E-3</v>
      </c>
      <c r="N1795">
        <v>0.11611158368872267</v>
      </c>
      <c r="O1795">
        <v>3.0646373610174613E-2</v>
      </c>
      <c r="P1795">
        <v>1.8779221385120847E-2</v>
      </c>
      <c r="Q1795">
        <v>0</v>
      </c>
      <c r="R1795">
        <v>6.0443184580794007E-3</v>
      </c>
      <c r="S1795">
        <v>0.16441635712985714</v>
      </c>
      <c r="T1795">
        <v>1.2025773678532925</v>
      </c>
      <c r="U1795">
        <v>0</v>
      </c>
      <c r="V1795">
        <v>1.5860278052162235E-2</v>
      </c>
      <c r="W1795">
        <v>6.0505267689143459E-2</v>
      </c>
      <c r="X1795">
        <v>-1.4516306924735966E-2</v>
      </c>
      <c r="Y1795">
        <v>2.4889427561791373E-2</v>
      </c>
    </row>
    <row r="1796" spans="1:25" x14ac:dyDescent="0.25">
      <c r="A1796" s="879"/>
      <c r="B1796" s="1133">
        <v>1546</v>
      </c>
      <c r="C1796" s="883">
        <v>1.0131452323915084</v>
      </c>
      <c r="D1796" s="883">
        <v>0.97986105237695542</v>
      </c>
      <c r="E1796" s="883">
        <v>0.98484153810747799</v>
      </c>
      <c r="F1796" s="883">
        <v>0.98938511924153838</v>
      </c>
      <c r="G1796" s="883">
        <v>0.97060030021271881</v>
      </c>
      <c r="H1796" s="883">
        <v>0.99324143796263853</v>
      </c>
      <c r="I1796" s="883">
        <v>0.97425291485380583</v>
      </c>
      <c r="K1796">
        <v>1.5905325279769986</v>
      </c>
      <c r="L1796">
        <v>0</v>
      </c>
      <c r="M1796">
        <v>6.4260752831943003E-3</v>
      </c>
      <c r="N1796">
        <v>0.11714465772945315</v>
      </c>
      <c r="O1796">
        <v>3.0708724229439287E-2</v>
      </c>
      <c r="P1796">
        <v>1.7868576342903841E-2</v>
      </c>
      <c r="Q1796">
        <v>0</v>
      </c>
      <c r="R1796">
        <v>6.4260752831943003E-3</v>
      </c>
      <c r="S1796">
        <v>0.16203195352643146</v>
      </c>
      <c r="T1796">
        <v>1.1736449620910276</v>
      </c>
      <c r="U1796">
        <v>0</v>
      </c>
      <c r="V1796">
        <v>1.5783178543563668E-2</v>
      </c>
      <c r="W1796">
        <v>6.2124184138084029E-2</v>
      </c>
      <c r="X1796">
        <v>-1.5235142841336665E-2</v>
      </c>
      <c r="Y1796">
        <v>2.6461434217432734E-2</v>
      </c>
    </row>
    <row r="1797" spans="1:25" x14ac:dyDescent="0.25">
      <c r="A1797" s="879"/>
      <c r="B1797" s="1133">
        <v>1547</v>
      </c>
      <c r="C1797" s="883">
        <v>0.97284404012502668</v>
      </c>
      <c r="D1797" s="883">
        <v>0.99972044628119394</v>
      </c>
      <c r="E1797" s="883">
        <v>1.0015368972124035</v>
      </c>
      <c r="F1797" s="883">
        <v>1.0091671773320519</v>
      </c>
      <c r="G1797" s="883">
        <v>1.029008234636082</v>
      </c>
      <c r="H1797" s="883">
        <v>0.98023006145726388</v>
      </c>
      <c r="I1797" s="883">
        <v>0.99916031522931303</v>
      </c>
      <c r="K1797">
        <v>1.6301415866578188</v>
      </c>
      <c r="L1797">
        <v>0</v>
      </c>
      <c r="M1797">
        <v>6.4510306537416094E-3</v>
      </c>
      <c r="N1797">
        <v>0.12054605129262441</v>
      </c>
      <c r="O1797">
        <v>3.1710950209137084E-2</v>
      </c>
      <c r="P1797">
        <v>1.8545369124263439E-2</v>
      </c>
      <c r="Q1797">
        <v>0</v>
      </c>
      <c r="R1797">
        <v>6.4510306537416094E-3</v>
      </c>
      <c r="S1797">
        <v>0.17209207707446919</v>
      </c>
      <c r="T1797">
        <v>1.1967975319622752</v>
      </c>
      <c r="U1797">
        <v>0</v>
      </c>
      <c r="V1797">
        <v>1.6006088264263727E-2</v>
      </c>
      <c r="W1797">
        <v>6.3398679545796782E-2</v>
      </c>
      <c r="X1797">
        <v>-1.5519356806467098E-2</v>
      </c>
      <c r="Y1797">
        <v>2.6564195991456176E-2</v>
      </c>
    </row>
    <row r="1798" spans="1:25" x14ac:dyDescent="0.25">
      <c r="A1798" s="879"/>
      <c r="B1798" s="1133">
        <v>1548</v>
      </c>
      <c r="C1798" s="883">
        <v>0.99703259724137994</v>
      </c>
      <c r="D1798" s="883">
        <v>1.0008148245612771</v>
      </c>
      <c r="E1798" s="883">
        <v>1.0022029881472805</v>
      </c>
      <c r="F1798" s="883">
        <v>0.98399886576652507</v>
      </c>
      <c r="G1798" s="883">
        <v>0.98163744158247013</v>
      </c>
      <c r="H1798" s="883">
        <v>1.0333857816712493</v>
      </c>
      <c r="I1798" s="883">
        <v>1.0014876151332854</v>
      </c>
      <c r="K1798">
        <v>1.6033422934589705</v>
      </c>
      <c r="L1798">
        <v>0</v>
      </c>
      <c r="M1798">
        <v>6.6287668541922026E-3</v>
      </c>
      <c r="N1798">
        <v>0.12398956338094315</v>
      </c>
      <c r="O1798">
        <v>3.0927514871926628E-2</v>
      </c>
      <c r="P1798">
        <v>1.8143550894958813E-2</v>
      </c>
      <c r="Q1798">
        <v>0</v>
      </c>
      <c r="R1798">
        <v>6.6287668541922026E-3</v>
      </c>
      <c r="S1798">
        <v>0.17139277720231771</v>
      </c>
      <c r="T1798">
        <v>1.1669376024490947</v>
      </c>
      <c r="U1798">
        <v>0</v>
      </c>
      <c r="V1798">
        <v>1.5870136945823517E-2</v>
      </c>
      <c r="W1798">
        <v>6.5188171300263859E-2</v>
      </c>
      <c r="X1798">
        <v>-1.6403105615405061E-2</v>
      </c>
      <c r="Y1798">
        <v>2.7296082029047382E-2</v>
      </c>
    </row>
    <row r="1799" spans="1:25" x14ac:dyDescent="0.25">
      <c r="A1799" s="879"/>
      <c r="B1799" s="1133">
        <v>1549</v>
      </c>
      <c r="C1799" s="883">
        <v>1.0295531606338084</v>
      </c>
      <c r="D1799" s="883">
        <v>1.0012782616745552</v>
      </c>
      <c r="E1799" s="883">
        <v>0.98613647871483645</v>
      </c>
      <c r="F1799" s="883">
        <v>0.99517807297245475</v>
      </c>
      <c r="G1799" s="883">
        <v>0.98450533255855666</v>
      </c>
      <c r="H1799" s="883">
        <v>1.0309553012787018</v>
      </c>
      <c r="I1799" s="883">
        <v>0.99532115808329968</v>
      </c>
      <c r="K1799">
        <v>1.6016283471427766</v>
      </c>
      <c r="L1799">
        <v>0</v>
      </c>
      <c r="M1799">
        <v>6.4934053122320829E-3</v>
      </c>
      <c r="N1799">
        <v>0.11859960728417215</v>
      </c>
      <c r="O1799">
        <v>2.9958070614319071E-2</v>
      </c>
      <c r="P1799">
        <v>1.8012501643377803E-2</v>
      </c>
      <c r="Q1799">
        <v>0</v>
      </c>
      <c r="R1799">
        <v>6.4934053122320829E-3</v>
      </c>
      <c r="S1799">
        <v>0.16479907562614013</v>
      </c>
      <c r="T1799">
        <v>1.1804927440583639</v>
      </c>
      <c r="U1799">
        <v>0</v>
      </c>
      <c r="V1799">
        <v>1.569742357190063E-2</v>
      </c>
      <c r="W1799">
        <v>6.2855096946743141E-2</v>
      </c>
      <c r="X1799">
        <v>-1.5524859894953544E-2</v>
      </c>
      <c r="Y1799">
        <v>2.6738687292711907E-2</v>
      </c>
    </row>
    <row r="1800" spans="1:25" x14ac:dyDescent="0.25">
      <c r="A1800" s="879"/>
      <c r="B1800" s="1133">
        <v>1550</v>
      </c>
      <c r="C1800" s="883">
        <v>1.038931935723209</v>
      </c>
      <c r="D1800" s="883">
        <v>1.0199272503862526</v>
      </c>
      <c r="E1800" s="883">
        <v>0.99512616033425461</v>
      </c>
      <c r="F1800" s="883">
        <v>0.96306285620210297</v>
      </c>
      <c r="G1800" s="883">
        <v>0.9812180355014446</v>
      </c>
      <c r="H1800" s="883">
        <v>0.96120853197127432</v>
      </c>
      <c r="I1800" s="883">
        <v>0.99492812362810523</v>
      </c>
      <c r="K1800">
        <v>1.5415770100144746</v>
      </c>
      <c r="L1800">
        <v>0</v>
      </c>
      <c r="M1800">
        <v>5.9038092072153051E-3</v>
      </c>
      <c r="N1800">
        <v>0.10927756876898653</v>
      </c>
      <c r="O1800">
        <v>2.9462222848669475E-2</v>
      </c>
      <c r="P1800">
        <v>1.7551971649303461E-2</v>
      </c>
      <c r="Q1800">
        <v>0</v>
      </c>
      <c r="R1800">
        <v>5.9038092072153051E-3</v>
      </c>
      <c r="S1800">
        <v>0.15922760519893212</v>
      </c>
      <c r="T1800">
        <v>1.1422360110181933</v>
      </c>
      <c r="U1800">
        <v>0</v>
      </c>
      <c r="V1800">
        <v>1.5649622648106171E-2</v>
      </c>
      <c r="W1800">
        <v>5.7655652709725766E-2</v>
      </c>
      <c r="X1800">
        <v>-1.3794480303890643E-2</v>
      </c>
      <c r="Y1800">
        <v>2.431083547644736E-2</v>
      </c>
    </row>
    <row r="1801" spans="1:25" x14ac:dyDescent="0.25">
      <c r="A1801" s="879"/>
      <c r="B1801" s="1133">
        <v>1551</v>
      </c>
      <c r="C1801" s="883">
        <v>1.03687030980142</v>
      </c>
      <c r="D1801" s="883">
        <v>0.9921323247176087</v>
      </c>
      <c r="E1801" s="883">
        <v>0.9968018607016681</v>
      </c>
      <c r="F1801" s="883">
        <v>0.98924445577555509</v>
      </c>
      <c r="G1801" s="883">
        <v>1.0317574749939553</v>
      </c>
      <c r="H1801" s="883">
        <v>1.0013662030887476</v>
      </c>
      <c r="I1801" s="883">
        <v>1.0094553425496886</v>
      </c>
      <c r="K1801">
        <v>1.5885577083639086</v>
      </c>
      <c r="L1801">
        <v>0</v>
      </c>
      <c r="M1801">
        <v>6.2299608628069462E-3</v>
      </c>
      <c r="N1801">
        <v>0.11560124072801164</v>
      </c>
      <c r="O1801">
        <v>2.9847517410369562E-2</v>
      </c>
      <c r="P1801">
        <v>1.8057360848138231E-2</v>
      </c>
      <c r="Q1801">
        <v>0</v>
      </c>
      <c r="R1801">
        <v>6.2299608628069462E-3</v>
      </c>
      <c r="S1801">
        <v>0.16439359362175987</v>
      </c>
      <c r="T1801">
        <v>1.1732577320489546</v>
      </c>
      <c r="U1801">
        <v>0</v>
      </c>
      <c r="V1801">
        <v>1.5660056012410939E-2</v>
      </c>
      <c r="W1801">
        <v>6.094124799319045E-2</v>
      </c>
      <c r="X1801">
        <v>-1.4854910240269659E-2</v>
      </c>
      <c r="Y1801">
        <v>2.5653869941343162E-2</v>
      </c>
    </row>
    <row r="1802" spans="1:25" x14ac:dyDescent="0.25">
      <c r="A1802" s="879"/>
      <c r="B1802" s="1133">
        <v>1552</v>
      </c>
      <c r="C1802" s="883">
        <v>1.0211791530388132</v>
      </c>
      <c r="D1802" s="883">
        <v>1.0214020359385296</v>
      </c>
      <c r="E1802" s="883">
        <v>0.95546967691732776</v>
      </c>
      <c r="F1802" s="883">
        <v>1.0256860428239556</v>
      </c>
      <c r="G1802" s="883">
        <v>0.96916445437706411</v>
      </c>
      <c r="H1802" s="883">
        <v>0.99665944053583277</v>
      </c>
      <c r="I1802" s="883">
        <v>1.0136813531618434</v>
      </c>
      <c r="K1802">
        <v>1.6331790338263905</v>
      </c>
      <c r="L1802">
        <v>0</v>
      </c>
      <c r="M1802">
        <v>6.442749854280636E-3</v>
      </c>
      <c r="N1802">
        <v>0.11243673817408192</v>
      </c>
      <c r="O1802">
        <v>2.9987073482473404E-2</v>
      </c>
      <c r="P1802">
        <v>1.8092308626606549E-2</v>
      </c>
      <c r="Q1802">
        <v>0</v>
      </c>
      <c r="R1802">
        <v>6.442749854280636E-3</v>
      </c>
      <c r="S1802">
        <v>0.16701554107198466</v>
      </c>
      <c r="T1802">
        <v>1.2172702691061299</v>
      </c>
      <c r="U1802">
        <v>0</v>
      </c>
      <c r="V1802">
        <v>1.5740845457117771E-2</v>
      </c>
      <c r="W1802">
        <v>6.0514482441331362E-2</v>
      </c>
      <c r="X1802">
        <v>-1.4408321666537856E-2</v>
      </c>
      <c r="Y1802">
        <v>2.6530097133203256E-2</v>
      </c>
    </row>
    <row r="1803" spans="1:25" x14ac:dyDescent="0.25">
      <c r="A1803" s="879"/>
      <c r="B1803" s="1133">
        <v>1553</v>
      </c>
      <c r="C1803" s="883">
        <v>0.99197568280251203</v>
      </c>
      <c r="D1803" s="883">
        <v>0.99430462410892595</v>
      </c>
      <c r="E1803" s="883">
        <v>1.0141335006878072</v>
      </c>
      <c r="F1803" s="883">
        <v>0.96637471549038056</v>
      </c>
      <c r="G1803" s="883">
        <v>1.0301480147131661</v>
      </c>
      <c r="H1803" s="883">
        <v>0.98097843624294556</v>
      </c>
      <c r="I1803" s="883">
        <v>1.0016607502058881</v>
      </c>
      <c r="K1803">
        <v>1.5725273867075846</v>
      </c>
      <c r="L1803">
        <v>0</v>
      </c>
      <c r="M1803">
        <v>6.2772895068602666E-3</v>
      </c>
      <c r="N1803">
        <v>0.11950772702843318</v>
      </c>
      <c r="O1803">
        <v>3.1155883312173678E-2</v>
      </c>
      <c r="P1803">
        <v>1.7993906141760153E-2</v>
      </c>
      <c r="Q1803">
        <v>0</v>
      </c>
      <c r="R1803">
        <v>6.2772895068602666E-3</v>
      </c>
      <c r="S1803">
        <v>0.16930616526893022</v>
      </c>
      <c r="T1803">
        <v>1.1458230219102152</v>
      </c>
      <c r="U1803">
        <v>0</v>
      </c>
      <c r="V1803">
        <v>1.5898011072094001E-2</v>
      </c>
      <c r="W1803">
        <v>6.2461870750906777E-2</v>
      </c>
      <c r="X1803">
        <v>-1.5467959650299415E-2</v>
      </c>
      <c r="Y1803">
        <v>2.5848760873370128E-2</v>
      </c>
    </row>
    <row r="1804" spans="1:25" x14ac:dyDescent="0.25">
      <c r="A1804" s="879"/>
      <c r="B1804" s="1133">
        <v>1554</v>
      </c>
      <c r="C1804" s="883">
        <v>1.0224998945431822</v>
      </c>
      <c r="D1804" s="883">
        <v>0.9695868574503097</v>
      </c>
      <c r="E1804" s="883">
        <v>0.97087175782738</v>
      </c>
      <c r="F1804" s="883">
        <v>1.0233344899107915</v>
      </c>
      <c r="G1804" s="883">
        <v>0.96650935316673792</v>
      </c>
      <c r="H1804" s="883">
        <v>0.9715181170179813</v>
      </c>
      <c r="I1804" s="883">
        <v>1.0050699860858925</v>
      </c>
      <c r="K1804">
        <v>1.6283963092977578</v>
      </c>
      <c r="L1804">
        <v>0</v>
      </c>
      <c r="M1804">
        <v>6.3340610139974891E-3</v>
      </c>
      <c r="N1804">
        <v>0.11309828187639547</v>
      </c>
      <c r="O1804">
        <v>3.0567214797173784E-2</v>
      </c>
      <c r="P1804">
        <v>1.8238039316135431E-2</v>
      </c>
      <c r="Q1804">
        <v>0</v>
      </c>
      <c r="R1804">
        <v>6.3340610139974891E-3</v>
      </c>
      <c r="S1804">
        <v>0.16446678489429611</v>
      </c>
      <c r="T1804">
        <v>1.2141840235077255</v>
      </c>
      <c r="U1804">
        <v>0</v>
      </c>
      <c r="V1804">
        <v>1.5733949752425425E-2</v>
      </c>
      <c r="W1804">
        <v>6.0399687472086405E-2</v>
      </c>
      <c r="X1804">
        <v>-1.4374208153290538E-2</v>
      </c>
      <c r="Y1804">
        <v>2.6082535834809632E-2</v>
      </c>
    </row>
    <row r="1805" spans="1:25" x14ac:dyDescent="0.25">
      <c r="A1805" s="879"/>
      <c r="B1805" s="1133">
        <v>1555</v>
      </c>
      <c r="C1805" s="883">
        <v>0.98898158277255366</v>
      </c>
      <c r="D1805" s="883">
        <v>1.0299027810698003</v>
      </c>
      <c r="E1805" s="883">
        <v>1.0411276394739608</v>
      </c>
      <c r="F1805" s="883">
        <v>1.0154005665253669</v>
      </c>
      <c r="G1805" s="883">
        <v>1.0217180604381733</v>
      </c>
      <c r="H1805" s="883">
        <v>0.97717912934628715</v>
      </c>
      <c r="I1805" s="883">
        <v>1.0082191392157402</v>
      </c>
      <c r="K1805">
        <v>1.6307259496644815</v>
      </c>
      <c r="L1805">
        <v>0</v>
      </c>
      <c r="M1805">
        <v>6.0300173210573703E-3</v>
      </c>
      <c r="N1805">
        <v>0.1194744188507591</v>
      </c>
      <c r="O1805">
        <v>3.0788464914693569E-2</v>
      </c>
      <c r="P1805">
        <v>1.9166701181895111E-2</v>
      </c>
      <c r="Q1805">
        <v>0</v>
      </c>
      <c r="R1805">
        <v>6.0300173210573703E-3</v>
      </c>
      <c r="S1805">
        <v>0.17039940121974331</v>
      </c>
      <c r="T1805">
        <v>1.2034465199151196</v>
      </c>
      <c r="U1805">
        <v>0</v>
      </c>
      <c r="V1805">
        <v>1.5914649148582646E-2</v>
      </c>
      <c r="W1805">
        <v>6.1622170176372962E-2</v>
      </c>
      <c r="X1805">
        <v>-1.4916913767727016E-2</v>
      </c>
      <c r="Y1805">
        <v>2.4830538025042141E-2</v>
      </c>
    </row>
    <row r="1806" spans="1:25" x14ac:dyDescent="0.25">
      <c r="A1806" s="879"/>
      <c r="B1806" s="1133">
        <v>1556</v>
      </c>
      <c r="C1806" s="883">
        <v>0.99944661415102998</v>
      </c>
      <c r="D1806" s="883">
        <v>1.032481139790828</v>
      </c>
      <c r="E1806" s="883">
        <v>1.0224522141699772</v>
      </c>
      <c r="F1806" s="883">
        <v>0.9772840887833969</v>
      </c>
      <c r="G1806" s="883">
        <v>1.0056033545418128</v>
      </c>
      <c r="H1806" s="883">
        <v>0.98602085127732086</v>
      </c>
      <c r="I1806" s="883">
        <v>0.9679715704202102</v>
      </c>
      <c r="K1806">
        <v>1.5747031696711904</v>
      </c>
      <c r="L1806">
        <v>0</v>
      </c>
      <c r="M1806">
        <v>6.1134311899814246E-3</v>
      </c>
      <c r="N1806">
        <v>0.11782945462063789</v>
      </c>
      <c r="O1806">
        <v>3.0453026047192629E-2</v>
      </c>
      <c r="P1806">
        <v>1.8184174620811289E-2</v>
      </c>
      <c r="Q1806">
        <v>0</v>
      </c>
      <c r="R1806">
        <v>6.1134311899814246E-3</v>
      </c>
      <c r="S1806">
        <v>0.16233250898134821</v>
      </c>
      <c r="T1806">
        <v>1.1586077432417774</v>
      </c>
      <c r="U1806">
        <v>0</v>
      </c>
      <c r="V1806">
        <v>1.5856930152230664E-2</v>
      </c>
      <c r="W1806">
        <v>6.1332688144652238E-2</v>
      </c>
      <c r="X1806">
        <v>-1.5067377627615857E-2</v>
      </c>
      <c r="Y1806">
        <v>2.5174021490156205E-2</v>
      </c>
    </row>
    <row r="1807" spans="1:25" x14ac:dyDescent="0.25">
      <c r="A1807" s="879"/>
      <c r="B1807" s="1133">
        <v>1557</v>
      </c>
      <c r="C1807" s="883">
        <v>1.0015796680042262</v>
      </c>
      <c r="D1807" s="883">
        <v>0.95892973559755179</v>
      </c>
      <c r="E1807" s="883">
        <v>1.0270805326690977</v>
      </c>
      <c r="F1807" s="883">
        <v>1.0009774293396225</v>
      </c>
      <c r="G1807" s="883">
        <v>1.0030252584011377</v>
      </c>
      <c r="H1807" s="883">
        <v>0.99698012005455405</v>
      </c>
      <c r="I1807" s="883">
        <v>1.0373219850525526</v>
      </c>
      <c r="K1807">
        <v>1.6250878871915382</v>
      </c>
      <c r="L1807">
        <v>0</v>
      </c>
      <c r="M1807">
        <v>6.3491981978672654E-3</v>
      </c>
      <c r="N1807">
        <v>0.12321401997707553</v>
      </c>
      <c r="O1807">
        <v>3.1295546434404964E-2</v>
      </c>
      <c r="P1807">
        <v>1.880222244166397E-2</v>
      </c>
      <c r="Q1807">
        <v>0</v>
      </c>
      <c r="R1807">
        <v>6.3491981978672654E-3</v>
      </c>
      <c r="S1807">
        <v>0.17502562849636769</v>
      </c>
      <c r="T1807">
        <v>1.1866115102323631</v>
      </c>
      <c r="U1807">
        <v>0</v>
      </c>
      <c r="V1807">
        <v>1.5845313452593091E-2</v>
      </c>
      <c r="W1807">
        <v>6.3989695800276872E-2</v>
      </c>
      <c r="X1807">
        <v>-1.5840917706875051E-2</v>
      </c>
      <c r="Y1807">
        <v>2.6144868063667094E-2</v>
      </c>
    </row>
    <row r="1808" spans="1:25" x14ac:dyDescent="0.25">
      <c r="A1808" s="879"/>
      <c r="B1808" s="1133">
        <v>1558</v>
      </c>
      <c r="C1808" s="883">
        <v>0.99690605417795641</v>
      </c>
      <c r="D1808" s="883">
        <v>1.0032171545180644</v>
      </c>
      <c r="E1808" s="883">
        <v>0.98461872229972658</v>
      </c>
      <c r="F1808" s="883">
        <v>1.0311611743171134</v>
      </c>
      <c r="G1808" s="883">
        <v>0.97985639557375748</v>
      </c>
      <c r="H1808" s="883">
        <v>0.96607192695364941</v>
      </c>
      <c r="I1808" s="883">
        <v>0.98154347523179841</v>
      </c>
      <c r="K1808">
        <v>1.639418636325906</v>
      </c>
      <c r="L1808">
        <v>0</v>
      </c>
      <c r="M1808">
        <v>6.2869046773570249E-3</v>
      </c>
      <c r="N1808">
        <v>0.11456976766854446</v>
      </c>
      <c r="O1808">
        <v>3.0916447490969313E-2</v>
      </c>
      <c r="P1808">
        <v>1.8549318457608478E-2</v>
      </c>
      <c r="Q1808">
        <v>0</v>
      </c>
      <c r="R1808">
        <v>6.2869046773570249E-3</v>
      </c>
      <c r="S1808">
        <v>0.1641195123218227</v>
      </c>
      <c r="T1808">
        <v>1.2232055382442364</v>
      </c>
      <c r="U1808">
        <v>0</v>
      </c>
      <c r="V1808">
        <v>1.5870831011861333E-2</v>
      </c>
      <c r="W1808">
        <v>6.0765433686421629E-2</v>
      </c>
      <c r="X1808">
        <v>-1.4466566989597193E-2</v>
      </c>
      <c r="Y1808">
        <v>2.588835443403923E-2</v>
      </c>
    </row>
    <row r="1809" spans="1:25" x14ac:dyDescent="0.25">
      <c r="A1809" s="879"/>
      <c r="B1809" s="1133">
        <v>1559</v>
      </c>
      <c r="C1809" s="883">
        <v>1.0164215689234031</v>
      </c>
      <c r="D1809" s="883">
        <v>1.0028095798608074</v>
      </c>
      <c r="E1809" s="883">
        <v>0.99954243098505702</v>
      </c>
      <c r="F1809" s="883">
        <v>1.0039437291195499</v>
      </c>
      <c r="G1809" s="883">
        <v>0.98775546127856351</v>
      </c>
      <c r="H1809" s="883">
        <v>1.0158539941996385</v>
      </c>
      <c r="I1809" s="883">
        <v>1.0387688511901703</v>
      </c>
      <c r="K1809">
        <v>1.6214885337347213</v>
      </c>
      <c r="L1809">
        <v>0</v>
      </c>
      <c r="M1809">
        <v>6.4011918067474116E-3</v>
      </c>
      <c r="N1809">
        <v>0.11926184871966701</v>
      </c>
      <c r="O1809">
        <v>3.0315629535171241E-2</v>
      </c>
      <c r="P1809">
        <v>1.8448279844786579E-2</v>
      </c>
      <c r="Q1809">
        <v>0</v>
      </c>
      <c r="R1809">
        <v>6.4011918067474116E-3</v>
      </c>
      <c r="S1809">
        <v>0.17331905992001384</v>
      </c>
      <c r="T1809">
        <v>1.1906401183195716</v>
      </c>
      <c r="U1809">
        <v>0</v>
      </c>
      <c r="V1809">
        <v>1.576583375668697E-2</v>
      </c>
      <c r="W1809">
        <v>6.278542569871895E-2</v>
      </c>
      <c r="X1809">
        <v>-1.5406630550414186E-2</v>
      </c>
      <c r="Y1809">
        <v>2.635896849051815E-2</v>
      </c>
    </row>
    <row r="1810" spans="1:25" x14ac:dyDescent="0.25">
      <c r="A1810" s="879"/>
      <c r="B1810" s="1133">
        <v>1560</v>
      </c>
      <c r="C1810" s="883">
        <v>1.0030566040702911</v>
      </c>
      <c r="D1810" s="883">
        <v>1.021068963403309</v>
      </c>
      <c r="E1810" s="883">
        <v>0.9756207457227557</v>
      </c>
      <c r="F1810" s="883">
        <v>1.0326968389898332</v>
      </c>
      <c r="G1810" s="883">
        <v>0.97769504767760385</v>
      </c>
      <c r="H1810" s="883">
        <v>0.97271347470739644</v>
      </c>
      <c r="I1810" s="883">
        <v>0.98130103608561059</v>
      </c>
      <c r="K1810">
        <v>1.6382862862524488</v>
      </c>
      <c r="L1810">
        <v>0</v>
      </c>
      <c r="M1810">
        <v>6.2911931315065917E-3</v>
      </c>
      <c r="N1810">
        <v>0.11312754045877708</v>
      </c>
      <c r="O1810">
        <v>3.0517904941483327E-2</v>
      </c>
      <c r="P1810">
        <v>1.843573088487073E-2</v>
      </c>
      <c r="Q1810">
        <v>0</v>
      </c>
      <c r="R1810">
        <v>6.2911931315065917E-3</v>
      </c>
      <c r="S1810">
        <v>0.16328031269720719</v>
      </c>
      <c r="T1810">
        <v>1.2252007103675275</v>
      </c>
      <c r="U1810">
        <v>0</v>
      </c>
      <c r="V1810">
        <v>1.5837298945909132E-2</v>
      </c>
      <c r="W1810">
        <v>6.0271427793380059E-2</v>
      </c>
      <c r="X1810">
        <v>-1.4290653361617067E-2</v>
      </c>
      <c r="Y1810">
        <v>2.5906013524910756E-2</v>
      </c>
    </row>
    <row r="1811" spans="1:25" x14ac:dyDescent="0.25">
      <c r="A1811" s="879"/>
      <c r="B1811" s="1133">
        <v>1561</v>
      </c>
      <c r="C1811" s="883">
        <v>1.0003792525128776</v>
      </c>
      <c r="D1811" s="883">
        <v>1.0153837931783849</v>
      </c>
      <c r="E1811" s="883">
        <v>0.96126448599163072</v>
      </c>
      <c r="F1811" s="883">
        <v>1.0109374161507239</v>
      </c>
      <c r="G1811" s="883">
        <v>0.98417031748458816</v>
      </c>
      <c r="H1811" s="883">
        <v>1.0139766401030412</v>
      </c>
      <c r="I1811" s="883">
        <v>1.0039002076395167</v>
      </c>
      <c r="K1811">
        <v>1.6267222380778399</v>
      </c>
      <c r="L1811">
        <v>0</v>
      </c>
      <c r="M1811">
        <v>6.6749021717677172E-3</v>
      </c>
      <c r="N1811">
        <v>0.11749564850896031</v>
      </c>
      <c r="O1811">
        <v>3.0678815120169574E-2</v>
      </c>
      <c r="P1811">
        <v>1.7985420725476754E-2</v>
      </c>
      <c r="Q1811">
        <v>0</v>
      </c>
      <c r="R1811">
        <v>6.6749021717677172E-3</v>
      </c>
      <c r="S1811">
        <v>0.16990744503259955</v>
      </c>
      <c r="T1811">
        <v>1.1996568641869545</v>
      </c>
      <c r="U1811">
        <v>0</v>
      </c>
      <c r="V1811">
        <v>1.5851844870257838E-2</v>
      </c>
      <c r="W1811">
        <v>6.3052390629594501E-2</v>
      </c>
      <c r="X1811">
        <v>-1.5392250051216546E-2</v>
      </c>
      <c r="Y1811">
        <v>2.7486059055042939E-2</v>
      </c>
    </row>
    <row r="1812" spans="1:25" x14ac:dyDescent="0.25">
      <c r="A1812" s="879"/>
      <c r="B1812" s="1133">
        <v>1562</v>
      </c>
      <c r="C1812" s="883">
        <v>0.98362882996823142</v>
      </c>
      <c r="D1812" s="883">
        <v>0.97323503240617193</v>
      </c>
      <c r="E1812" s="883">
        <v>0.97436118450094089</v>
      </c>
      <c r="F1812" s="883">
        <v>1.0116523023506592</v>
      </c>
      <c r="G1812" s="883">
        <v>1.0329132044502882</v>
      </c>
      <c r="H1812" s="883">
        <v>1.0105024766262574</v>
      </c>
      <c r="I1812" s="883">
        <v>0.96992971420511931</v>
      </c>
      <c r="K1812">
        <v>1.6327398103416328</v>
      </c>
      <c r="L1812">
        <v>0</v>
      </c>
      <c r="M1812">
        <v>6.816354655186492E-3</v>
      </c>
      <c r="N1812">
        <v>0.12234200716569416</v>
      </c>
      <c r="O1812">
        <v>3.1724708928720063E-2</v>
      </c>
      <c r="P1812">
        <v>1.8143737604589028E-2</v>
      </c>
      <c r="Q1812">
        <v>0</v>
      </c>
      <c r="R1812">
        <v>6.816354655186492E-3</v>
      </c>
      <c r="S1812">
        <v>0.16721097591031203</v>
      </c>
      <c r="T1812">
        <v>1.200257105996132</v>
      </c>
      <c r="U1812">
        <v>0</v>
      </c>
      <c r="V1812">
        <v>1.5944646559705799E-2</v>
      </c>
      <c r="W1812">
        <v>6.5221862429481081E-2</v>
      </c>
      <c r="X1812">
        <v>-1.6173769457159225E-2</v>
      </c>
      <c r="Y1812">
        <v>2.8068535204157991E-2</v>
      </c>
    </row>
    <row r="1813" spans="1:25" x14ac:dyDescent="0.25">
      <c r="A1813" s="879"/>
      <c r="B1813" s="1133">
        <v>1563</v>
      </c>
      <c r="C1813" s="883">
        <v>1.0118705589302306</v>
      </c>
      <c r="D1813" s="883">
        <v>0.98702259542855475</v>
      </c>
      <c r="E1813" s="883">
        <v>0.96485168388104869</v>
      </c>
      <c r="F1813" s="883">
        <v>1.0357523302948151</v>
      </c>
      <c r="G1813" s="883">
        <v>1.0242383257222138</v>
      </c>
      <c r="H1813" s="883">
        <v>1.0265576450194562</v>
      </c>
      <c r="I1813" s="883">
        <v>1.0407786846327898</v>
      </c>
      <c r="K1813">
        <v>1.6646930194724148</v>
      </c>
      <c r="L1813">
        <v>0</v>
      </c>
      <c r="M1813">
        <v>6.7448448695602899E-3</v>
      </c>
      <c r="N1813">
        <v>0.11936120003955164</v>
      </c>
      <c r="O1813">
        <v>3.0673413071260609E-2</v>
      </c>
      <c r="P1813">
        <v>1.8486761198389885E-2</v>
      </c>
      <c r="Q1813">
        <v>0</v>
      </c>
      <c r="R1813">
        <v>6.7448448695602899E-3</v>
      </c>
      <c r="S1813">
        <v>0.17521300178471252</v>
      </c>
      <c r="T1813">
        <v>1.2290345195715902</v>
      </c>
      <c r="U1813">
        <v>0</v>
      </c>
      <c r="V1813">
        <v>1.5789956961144287E-2</v>
      </c>
      <c r="W1813">
        <v>6.3937768161418621E-2</v>
      </c>
      <c r="X1813">
        <v>-1.5577671950868722E-2</v>
      </c>
      <c r="Y1813">
        <v>2.7774070635216634E-2</v>
      </c>
    </row>
    <row r="1814" spans="1:25" x14ac:dyDescent="0.25">
      <c r="A1814" s="879"/>
      <c r="B1814" s="1133">
        <v>1564</v>
      </c>
      <c r="C1814" s="883">
        <v>0.97323924123955097</v>
      </c>
      <c r="D1814" s="883">
        <v>1.0207494848418261</v>
      </c>
      <c r="E1814" s="883">
        <v>0.99690497099411612</v>
      </c>
      <c r="F1814" s="883">
        <v>0.99949048805811203</v>
      </c>
      <c r="G1814" s="883">
        <v>0.99580856746061797</v>
      </c>
      <c r="H1814" s="883">
        <v>0.98174823200135053</v>
      </c>
      <c r="I1814" s="883">
        <v>1.0287097510928009</v>
      </c>
      <c r="K1814">
        <v>1.62141968470771</v>
      </c>
      <c r="L1814">
        <v>0</v>
      </c>
      <c r="M1814">
        <v>6.4246848005704866E-3</v>
      </c>
      <c r="N1814">
        <v>0.1192326946857037</v>
      </c>
      <c r="O1814">
        <v>3.1439235812705475E-2</v>
      </c>
      <c r="P1814">
        <v>1.8393806917453563E-2</v>
      </c>
      <c r="Q1814">
        <v>0</v>
      </c>
      <c r="R1814">
        <v>6.4246848005704866E-3</v>
      </c>
      <c r="S1814">
        <v>0.1769883388884626</v>
      </c>
      <c r="T1814">
        <v>1.1854077525715172</v>
      </c>
      <c r="U1814">
        <v>0</v>
      </c>
      <c r="V1814">
        <v>1.6003812740540451E-2</v>
      </c>
      <c r="W1814">
        <v>6.2852410695734148E-2</v>
      </c>
      <c r="X1814">
        <v>-1.5354076061891852E-2</v>
      </c>
      <c r="Y1814">
        <v>2.6455708457484548E-2</v>
      </c>
    </row>
    <row r="1815" spans="1:25" x14ac:dyDescent="0.25">
      <c r="A1815" s="879"/>
      <c r="B1815" s="1133">
        <v>1565</v>
      </c>
      <c r="C1815" s="883">
        <v>1.0037529710909274</v>
      </c>
      <c r="D1815" s="883">
        <v>1.0086449758769129</v>
      </c>
      <c r="E1815" s="883">
        <v>0.96183765014956124</v>
      </c>
      <c r="F1815" s="883">
        <v>0.98231640580690882</v>
      </c>
      <c r="G1815" s="883">
        <v>0.97491139314608688</v>
      </c>
      <c r="H1815" s="883">
        <v>1.0110636563108095</v>
      </c>
      <c r="I1815" s="883">
        <v>0.98460794067430679</v>
      </c>
      <c r="K1815">
        <v>1.5875550149327176</v>
      </c>
      <c r="L1815">
        <v>0</v>
      </c>
      <c r="M1815">
        <v>6.6497570930500773E-3</v>
      </c>
      <c r="N1815">
        <v>0.11715274951163354</v>
      </c>
      <c r="O1815">
        <v>3.0656828701479403E-2</v>
      </c>
      <c r="P1815">
        <v>1.7501100867747831E-2</v>
      </c>
      <c r="Q1815">
        <v>0</v>
      </c>
      <c r="R1815">
        <v>6.6497570930500773E-3</v>
      </c>
      <c r="S1815">
        <v>0.16598504353085972</v>
      </c>
      <c r="T1815">
        <v>1.1656823920211667</v>
      </c>
      <c r="U1815">
        <v>0</v>
      </c>
      <c r="V1815">
        <v>1.5833528332994628E-2</v>
      </c>
      <c r="W1815">
        <v>6.2850202166961425E-2</v>
      </c>
      <c r="X1815">
        <v>-1.5489346296666902E-2</v>
      </c>
      <c r="Y1815">
        <v>2.7382516096540861E-2</v>
      </c>
    </row>
    <row r="1816" spans="1:25" x14ac:dyDescent="0.25">
      <c r="A1816" s="879"/>
      <c r="B1816" s="1133">
        <v>1566</v>
      </c>
      <c r="C1816" s="883">
        <v>0.96019980853486631</v>
      </c>
      <c r="D1816" s="883">
        <v>0.99705450776189863</v>
      </c>
      <c r="E1816" s="883">
        <v>0.98684635645322705</v>
      </c>
      <c r="F1816" s="883">
        <v>0.97178515519667352</v>
      </c>
      <c r="G1816" s="883">
        <v>0.97878090986028077</v>
      </c>
      <c r="H1816" s="883">
        <v>1.0320528445089472</v>
      </c>
      <c r="I1816" s="883">
        <v>1.0253123102856172</v>
      </c>
      <c r="K1816">
        <v>1.6077359756815137</v>
      </c>
      <c r="L1816">
        <v>0</v>
      </c>
      <c r="M1816">
        <v>6.9786556622363485E-3</v>
      </c>
      <c r="N1816">
        <v>0.12759677605597267</v>
      </c>
      <c r="O1816">
        <v>3.2175643994821292E-2</v>
      </c>
      <c r="P1816">
        <v>1.7889934594498398E-2</v>
      </c>
      <c r="Q1816">
        <v>0</v>
      </c>
      <c r="R1816">
        <v>6.9786556622363485E-3</v>
      </c>
      <c r="S1816">
        <v>0.18214501204533823</v>
      </c>
      <c r="T1816">
        <v>1.1527309090858511</v>
      </c>
      <c r="U1816">
        <v>0</v>
      </c>
      <c r="V1816">
        <v>1.6079881005723162E-2</v>
      </c>
      <c r="W1816">
        <v>6.7599423652235674E-2</v>
      </c>
      <c r="X1816">
        <v>-1.721846661561342E-2</v>
      </c>
      <c r="Y1816">
        <v>2.8736861862686956E-2</v>
      </c>
    </row>
    <row r="1817" spans="1:25" x14ac:dyDescent="0.25">
      <c r="A1817" s="879"/>
      <c r="B1817" s="1133">
        <v>1567</v>
      </c>
      <c r="C1817" s="883">
        <v>1.0007138990219309</v>
      </c>
      <c r="D1817" s="883">
        <v>0.97208142343613446</v>
      </c>
      <c r="E1817" s="883">
        <v>0.99391966956496902</v>
      </c>
      <c r="F1817" s="883">
        <v>0.99381288490452968</v>
      </c>
      <c r="G1817" s="883">
        <v>1.028420885287197</v>
      </c>
      <c r="H1817" s="883">
        <v>1.0325550550315297</v>
      </c>
      <c r="I1817" s="883">
        <v>1.0151621227873093</v>
      </c>
      <c r="K1817">
        <v>1.6186820837303773</v>
      </c>
      <c r="L1817">
        <v>0</v>
      </c>
      <c r="M1817">
        <v>6.733985032761609E-3</v>
      </c>
      <c r="N1817">
        <v>0.12442117163750109</v>
      </c>
      <c r="O1817">
        <v>3.1181966282639754E-2</v>
      </c>
      <c r="P1817">
        <v>1.8212858532324402E-2</v>
      </c>
      <c r="Q1817">
        <v>0</v>
      </c>
      <c r="R1817">
        <v>6.733985032761609E-3</v>
      </c>
      <c r="S1817">
        <v>0.17336892623798289</v>
      </c>
      <c r="T1817">
        <v>1.1787292457851581</v>
      </c>
      <c r="U1817">
        <v>0</v>
      </c>
      <c r="V1817">
        <v>1.5850022495328749E-2</v>
      </c>
      <c r="W1817">
        <v>6.5684963199688251E-2</v>
      </c>
      <c r="X1817">
        <v>-1.6496422200505706E-2</v>
      </c>
      <c r="Y1817">
        <v>2.7729351760258574E-2</v>
      </c>
    </row>
    <row r="1818" spans="1:25" x14ac:dyDescent="0.25">
      <c r="A1818" s="879"/>
      <c r="B1818" s="1133">
        <v>1568</v>
      </c>
      <c r="C1818" s="883">
        <v>1.0018036290747312</v>
      </c>
      <c r="D1818" s="883">
        <v>1.0111958918169575</v>
      </c>
      <c r="E1818" s="883">
        <v>0.95975901779194273</v>
      </c>
      <c r="F1818" s="883">
        <v>0.99814906564971617</v>
      </c>
      <c r="G1818" s="883">
        <v>1.0346470623153043</v>
      </c>
      <c r="H1818" s="883">
        <v>0.97508249012176695</v>
      </c>
      <c r="I1818" s="883">
        <v>1.019109316366295</v>
      </c>
      <c r="K1818">
        <v>1.6043124977683905</v>
      </c>
      <c r="L1818">
        <v>0</v>
      </c>
      <c r="M1818">
        <v>6.4299716905970132E-3</v>
      </c>
      <c r="N1818">
        <v>0.11293133961151454</v>
      </c>
      <c r="O1818">
        <v>3.0686982834192838E-2</v>
      </c>
      <c r="P1818">
        <v>1.7768863430486739E-2</v>
      </c>
      <c r="Q1818">
        <v>0</v>
      </c>
      <c r="R1818">
        <v>6.4299716905970132E-3</v>
      </c>
      <c r="S1818">
        <v>0.16999587037936198</v>
      </c>
      <c r="T1818">
        <v>1.1845093996622094</v>
      </c>
      <c r="U1818">
        <v>0</v>
      </c>
      <c r="V1818">
        <v>1.5844096621004677E-2</v>
      </c>
      <c r="W1818">
        <v>6.0649084048910708E-2</v>
      </c>
      <c r="X1818">
        <v>-1.4550617748872343E-2</v>
      </c>
      <c r="Y1818">
        <v>2.6477478929582448E-2</v>
      </c>
    </row>
    <row r="1819" spans="1:25" x14ac:dyDescent="0.25">
      <c r="A1819" s="879"/>
      <c r="B1819" s="1133">
        <v>1569</v>
      </c>
      <c r="C1819" s="883">
        <v>1.0229045951070701</v>
      </c>
      <c r="D1819" s="883">
        <v>0.95477635738865274</v>
      </c>
      <c r="E1819" s="883">
        <v>1.0060774739178038</v>
      </c>
      <c r="F1819" s="883">
        <v>1.0470757821187047</v>
      </c>
      <c r="G1819" s="883">
        <v>0.98915948078878779</v>
      </c>
      <c r="H1819" s="883">
        <v>1.0218463720307736</v>
      </c>
      <c r="I1819" s="883">
        <v>1.0191602518069132</v>
      </c>
      <c r="K1819">
        <v>1.6747564130505477</v>
      </c>
      <c r="L1819">
        <v>0</v>
      </c>
      <c r="M1819">
        <v>6.5027026690888268E-3</v>
      </c>
      <c r="N1819">
        <v>0.1223315165995648</v>
      </c>
      <c r="O1819">
        <v>3.0715175711926567E-2</v>
      </c>
      <c r="P1819">
        <v>1.9178197092191995E-2</v>
      </c>
      <c r="Q1819">
        <v>0</v>
      </c>
      <c r="R1819">
        <v>6.5027026690888268E-3</v>
      </c>
      <c r="S1819">
        <v>0.1698673737548467</v>
      </c>
      <c r="T1819">
        <v>1.2416660488159694</v>
      </c>
      <c r="U1819">
        <v>0</v>
      </c>
      <c r="V1819">
        <v>1.5731840340246807E-2</v>
      </c>
      <c r="W1819">
        <v>6.4193014400210011E-2</v>
      </c>
      <c r="X1819">
        <v>-1.5703725817789099E-2</v>
      </c>
      <c r="Y1819">
        <v>2.6776972153380148E-2</v>
      </c>
    </row>
    <row r="1820" spans="1:25" x14ac:dyDescent="0.25">
      <c r="A1820" s="879"/>
      <c r="B1820" s="1133">
        <v>1570</v>
      </c>
      <c r="C1820" s="883">
        <v>1.0294402235708349</v>
      </c>
      <c r="D1820" s="883">
        <v>1.0158436375237385</v>
      </c>
      <c r="E1820" s="883">
        <v>1.0154969043447606</v>
      </c>
      <c r="F1820" s="883">
        <v>0.96584045864777335</v>
      </c>
      <c r="G1820" s="883">
        <v>0.96922308933978474</v>
      </c>
      <c r="H1820" s="883">
        <v>0.98402071090698173</v>
      </c>
      <c r="I1820" s="883">
        <v>0.97752508513789127</v>
      </c>
      <c r="K1820">
        <v>1.5521128427329969</v>
      </c>
      <c r="L1820">
        <v>0</v>
      </c>
      <c r="M1820">
        <v>6.0027251437442582E-3</v>
      </c>
      <c r="N1820">
        <v>0.1145113506376037</v>
      </c>
      <c r="O1820">
        <v>2.9764584156134127E-2</v>
      </c>
      <c r="P1820">
        <v>1.786348381024503E-2</v>
      </c>
      <c r="Q1820">
        <v>0</v>
      </c>
      <c r="R1820">
        <v>6.0027251437442582E-3</v>
      </c>
      <c r="S1820">
        <v>0.15918628753464428</v>
      </c>
      <c r="T1820">
        <v>1.145165169964349</v>
      </c>
      <c r="U1820">
        <v>0</v>
      </c>
      <c r="V1820">
        <v>1.5698004486940663E-2</v>
      </c>
      <c r="W1820">
        <v>5.9810198826524816E-2</v>
      </c>
      <c r="X1820">
        <v>-1.4604390380139073E-2</v>
      </c>
      <c r="Y1820">
        <v>2.471815369669322E-2</v>
      </c>
    </row>
    <row r="1821" spans="1:25" x14ac:dyDescent="0.25">
      <c r="A1821" s="879"/>
      <c r="B1821" s="1133">
        <v>1571</v>
      </c>
      <c r="C1821" s="883">
        <v>1.003912934513892</v>
      </c>
      <c r="D1821" s="883">
        <v>1.0248201042391953</v>
      </c>
      <c r="E1821" s="883">
        <v>1.0282051827969541</v>
      </c>
      <c r="F1821" s="883">
        <v>0.99747171965446157</v>
      </c>
      <c r="G1821" s="883">
        <v>1.0036968732432048</v>
      </c>
      <c r="H1821" s="883">
        <v>0.98163179300495096</v>
      </c>
      <c r="I1821" s="883">
        <v>1.0051058172090324</v>
      </c>
      <c r="K1821">
        <v>1.6036563685080272</v>
      </c>
      <c r="L1821">
        <v>0</v>
      </c>
      <c r="M1821">
        <v>6.0487123372887685E-3</v>
      </c>
      <c r="N1821">
        <v>0.1175780610673591</v>
      </c>
      <c r="O1821">
        <v>3.0402750055534868E-2</v>
      </c>
      <c r="P1821">
        <v>1.8659508307909082E-2</v>
      </c>
      <c r="Q1821">
        <v>0</v>
      </c>
      <c r="R1821">
        <v>6.0487123372887685E-3</v>
      </c>
      <c r="S1821">
        <v>0.16763349277066661</v>
      </c>
      <c r="T1821">
        <v>1.1824349446596294</v>
      </c>
      <c r="U1821">
        <v>0</v>
      </c>
      <c r="V1821">
        <v>1.5832662919154816E-2</v>
      </c>
      <c r="W1821">
        <v>6.1029015658072928E-2</v>
      </c>
      <c r="X1821">
        <v>-1.4821587704594456E-2</v>
      </c>
      <c r="Y1821">
        <v>2.4907520774294204E-2</v>
      </c>
    </row>
    <row r="1822" spans="1:25" x14ac:dyDescent="0.25">
      <c r="A1822" s="879"/>
      <c r="B1822" s="1133">
        <v>1572</v>
      </c>
      <c r="C1822" s="883">
        <v>0.97366624411090119</v>
      </c>
      <c r="D1822" s="883">
        <v>1.0036913925459654</v>
      </c>
      <c r="E1822" s="883">
        <v>0.98008587993966467</v>
      </c>
      <c r="F1822" s="883">
        <v>0.97994031123246661</v>
      </c>
      <c r="G1822" s="883">
        <v>1.0396727300997337</v>
      </c>
      <c r="H1822" s="883">
        <v>0.97613148276828687</v>
      </c>
      <c r="I1822" s="883">
        <v>1.0236672790305688</v>
      </c>
      <c r="K1822">
        <v>1.596338021028076</v>
      </c>
      <c r="L1822">
        <v>0</v>
      </c>
      <c r="M1822">
        <v>6.5283689271935222E-3</v>
      </c>
      <c r="N1822">
        <v>0.11817282046045392</v>
      </c>
      <c r="O1822">
        <v>3.1652105356692772E-2</v>
      </c>
      <c r="P1822">
        <v>1.7842103647398955E-2</v>
      </c>
      <c r="Q1822">
        <v>0</v>
      </c>
      <c r="R1822">
        <v>6.5283689271935222E-3</v>
      </c>
      <c r="S1822">
        <v>0.1758506867187139</v>
      </c>
      <c r="T1822">
        <v>1.1625281530591172</v>
      </c>
      <c r="U1822">
        <v>0</v>
      </c>
      <c r="V1822">
        <v>1.6001356182038368E-2</v>
      </c>
      <c r="W1822">
        <v>6.281869569845526E-2</v>
      </c>
      <c r="X1822">
        <v>-1.541056133062561E-2</v>
      </c>
      <c r="Y1822">
        <v>2.6882661235831645E-2</v>
      </c>
    </row>
    <row r="1823" spans="1:25" x14ac:dyDescent="0.25">
      <c r="A1823" s="879"/>
      <c r="B1823" s="1133">
        <v>1573</v>
      </c>
      <c r="C1823" s="883">
        <v>1.0091234123221902</v>
      </c>
      <c r="D1823" s="883">
        <v>1.0010715552604688</v>
      </c>
      <c r="E1823" s="883">
        <v>0.96732554775126067</v>
      </c>
      <c r="F1823" s="883">
        <v>0.99089204717351143</v>
      </c>
      <c r="G1823" s="883">
        <v>0.99318311079169352</v>
      </c>
      <c r="H1823" s="883">
        <v>0.99667576946165293</v>
      </c>
      <c r="I1823" s="883">
        <v>0.9983710564592343</v>
      </c>
      <c r="K1823">
        <v>1.5957700632267104</v>
      </c>
      <c r="L1823">
        <v>0</v>
      </c>
      <c r="M1823">
        <v>6.5110257993960226E-3</v>
      </c>
      <c r="N1823">
        <v>0.11564751832369234</v>
      </c>
      <c r="O1823">
        <v>3.0581685460171232E-2</v>
      </c>
      <c r="P1823">
        <v>1.7716306530164205E-2</v>
      </c>
      <c r="Q1823">
        <v>0</v>
      </c>
      <c r="R1823">
        <v>6.5110257993960226E-3</v>
      </c>
      <c r="S1823">
        <v>0.16666784182846162</v>
      </c>
      <c r="T1823">
        <v>1.1757569193629929</v>
      </c>
      <c r="U1823">
        <v>0</v>
      </c>
      <c r="V1823">
        <v>1.5804623871446412E-2</v>
      </c>
      <c r="W1823">
        <v>6.1871349634500236E-2</v>
      </c>
      <c r="X1823">
        <v>-1.508742710724178E-2</v>
      </c>
      <c r="Y1823">
        <v>2.6811245322523217E-2</v>
      </c>
    </row>
    <row r="1824" spans="1:25" x14ac:dyDescent="0.25">
      <c r="A1824" s="879"/>
      <c r="B1824" s="1133">
        <v>1574</v>
      </c>
      <c r="C1824" s="883">
        <v>1.033190142644598</v>
      </c>
      <c r="D1824" s="883">
        <v>1.0120006187794606</v>
      </c>
      <c r="E1824" s="883">
        <v>1.0188738241154141</v>
      </c>
      <c r="F1824" s="883">
        <v>0.98244401578564122</v>
      </c>
      <c r="G1824" s="883">
        <v>0.96237560544397405</v>
      </c>
      <c r="H1824" s="883">
        <v>1.0231864398121178</v>
      </c>
      <c r="I1824" s="883">
        <v>0.97356449974531745</v>
      </c>
      <c r="K1824">
        <v>1.5798434055461401</v>
      </c>
      <c r="L1824">
        <v>0</v>
      </c>
      <c r="M1824">
        <v>6.2111208318368907E-3</v>
      </c>
      <c r="N1824">
        <v>0.11908032258052763</v>
      </c>
      <c r="O1824">
        <v>2.9698620372762625E-2</v>
      </c>
      <c r="P1824">
        <v>1.8187336918447664E-2</v>
      </c>
      <c r="Q1824">
        <v>0</v>
      </c>
      <c r="R1824">
        <v>6.2111208318368907E-3</v>
      </c>
      <c r="S1824">
        <v>0.16013180426431242</v>
      </c>
      <c r="T1824">
        <v>1.1647900519804708</v>
      </c>
      <c r="U1824">
        <v>0</v>
      </c>
      <c r="V1824">
        <v>1.5678783904284451E-2</v>
      </c>
      <c r="W1824">
        <v>6.2093115989896384E-2</v>
      </c>
      <c r="X1824">
        <v>-1.5392920511771588E-2</v>
      </c>
      <c r="Y1824">
        <v>2.557629004720896E-2</v>
      </c>
    </row>
    <row r="1825" spans="1:25" x14ac:dyDescent="0.25">
      <c r="A1825" s="879"/>
      <c r="B1825" s="1133">
        <v>1575</v>
      </c>
      <c r="C1825" s="883">
        <v>0.96447344342935737</v>
      </c>
      <c r="D1825" s="883">
        <v>1.0016875250068249</v>
      </c>
      <c r="E1825" s="883">
        <v>0.9936461470444905</v>
      </c>
      <c r="F1825" s="883">
        <v>0.96846096521887837</v>
      </c>
      <c r="G1825" s="883">
        <v>1.0283825356391294</v>
      </c>
      <c r="H1825" s="883">
        <v>1.0144808140231538</v>
      </c>
      <c r="I1825" s="883">
        <v>0.98965248383088666</v>
      </c>
      <c r="K1825">
        <v>1.5908223724813491</v>
      </c>
      <c r="L1825">
        <v>0</v>
      </c>
      <c r="M1825">
        <v>6.7750102171569458E-3</v>
      </c>
      <c r="N1825">
        <v>0.12512843969419132</v>
      </c>
      <c r="O1825">
        <v>3.1967929105192243E-2</v>
      </c>
      <c r="P1825">
        <v>1.781934403849424E-2</v>
      </c>
      <c r="Q1825">
        <v>0</v>
      </c>
      <c r="R1825">
        <v>6.7750102171569458E-3</v>
      </c>
      <c r="S1825">
        <v>0.1739417585736141</v>
      </c>
      <c r="T1825">
        <v>1.1486650860614243</v>
      </c>
      <c r="U1825">
        <v>0</v>
      </c>
      <c r="V1825">
        <v>1.6054723268950542E-2</v>
      </c>
      <c r="W1825">
        <v>6.6067344050278587E-2</v>
      </c>
      <c r="X1825">
        <v>-1.6720538478183687E-2</v>
      </c>
      <c r="Y1825">
        <v>2.7898286167387959E-2</v>
      </c>
    </row>
    <row r="1826" spans="1:25" x14ac:dyDescent="0.25">
      <c r="A1826" s="879"/>
      <c r="B1826" s="1133">
        <v>1576</v>
      </c>
      <c r="C1826" s="883">
        <v>1.0005097432205079</v>
      </c>
      <c r="D1826" s="883">
        <v>0.96817815182041833</v>
      </c>
      <c r="E1826" s="883">
        <v>1.0068626281013826</v>
      </c>
      <c r="F1826" s="883">
        <v>0.99673956950979603</v>
      </c>
      <c r="G1826" s="883">
        <v>0.99051199571130122</v>
      </c>
      <c r="H1826" s="883">
        <v>1.0136199921479578</v>
      </c>
      <c r="I1826" s="883">
        <v>1.0409047911639904</v>
      </c>
      <c r="K1826">
        <v>1.6231397080892505</v>
      </c>
      <c r="L1826">
        <v>0</v>
      </c>
      <c r="M1826">
        <v>6.5492699982757719E-3</v>
      </c>
      <c r="N1826">
        <v>0.12335088896887896</v>
      </c>
      <c r="O1826">
        <v>3.1227393681531081E-2</v>
      </c>
      <c r="P1826">
        <v>1.8480711294362254E-2</v>
      </c>
      <c r="Q1826">
        <v>0</v>
      </c>
      <c r="R1826">
        <v>6.5492699982757719E-3</v>
      </c>
      <c r="S1826">
        <v>0.17670590348054094</v>
      </c>
      <c r="T1826">
        <v>1.1819607501112432</v>
      </c>
      <c r="U1826">
        <v>0</v>
      </c>
      <c r="V1826">
        <v>1.5851134115739983E-2</v>
      </c>
      <c r="W1826">
        <v>6.4702758206209535E-2</v>
      </c>
      <c r="X1826">
        <v>-1.6108559895551575E-2</v>
      </c>
      <c r="Y1826">
        <v>2.6968728126296377E-2</v>
      </c>
    </row>
    <row r="1827" spans="1:25" x14ac:dyDescent="0.25">
      <c r="A1827" s="879"/>
      <c r="B1827" s="1133">
        <v>1577</v>
      </c>
      <c r="C1827" s="883">
        <v>0.98683026144111474</v>
      </c>
      <c r="D1827" s="883">
        <v>0.97158936064612988</v>
      </c>
      <c r="E1827" s="883">
        <v>1.0417167405350629</v>
      </c>
      <c r="F1827" s="883">
        <v>0.98507278205566706</v>
      </c>
      <c r="G1827" s="883">
        <v>1.0364473161386503</v>
      </c>
      <c r="H1827" s="883">
        <v>0.97710107301423743</v>
      </c>
      <c r="I1827" s="883">
        <v>0.96088465694284786</v>
      </c>
      <c r="K1827">
        <v>1.5929585925633825</v>
      </c>
      <c r="L1827">
        <v>0</v>
      </c>
      <c r="M1827">
        <v>6.1986308076073396E-3</v>
      </c>
      <c r="N1827">
        <v>0.12292210964779089</v>
      </c>
      <c r="O1827">
        <v>3.1582836731854656E-2</v>
      </c>
      <c r="P1827">
        <v>1.858095189249568E-2</v>
      </c>
      <c r="Q1827">
        <v>0</v>
      </c>
      <c r="R1827">
        <v>6.1986308076073396E-3</v>
      </c>
      <c r="S1827">
        <v>0.16329271680087143</v>
      </c>
      <c r="T1827">
        <v>1.1674915371629053</v>
      </c>
      <c r="U1827">
        <v>0</v>
      </c>
      <c r="V1827">
        <v>1.5926666275878913E-2</v>
      </c>
      <c r="W1827">
        <v>6.3382174974846522E-2</v>
      </c>
      <c r="X1827">
        <v>-1.5745259273834616E-2</v>
      </c>
      <c r="Y1827">
        <v>2.5524858350573113E-2</v>
      </c>
    </row>
    <row r="1828" spans="1:25" x14ac:dyDescent="0.25">
      <c r="A1828" s="879"/>
      <c r="B1828" s="1133">
        <v>1578</v>
      </c>
      <c r="C1828" s="883">
        <v>1.0340655586760941</v>
      </c>
      <c r="D1828" s="883">
        <v>0.96495602962122762</v>
      </c>
      <c r="E1828" s="883">
        <v>0.99321128978747431</v>
      </c>
      <c r="F1828" s="883">
        <v>0.95805080461973435</v>
      </c>
      <c r="G1828" s="883">
        <v>0.96084041506805051</v>
      </c>
      <c r="H1828" s="883">
        <v>1.0013336727854159</v>
      </c>
      <c r="I1828" s="883">
        <v>1.0184441328282638</v>
      </c>
      <c r="K1828">
        <v>1.5561492871391283</v>
      </c>
      <c r="L1828">
        <v>0</v>
      </c>
      <c r="M1828">
        <v>6.3444787391714287E-3</v>
      </c>
      <c r="N1828">
        <v>0.1171014028612504</v>
      </c>
      <c r="O1828">
        <v>3.026576857136052E-2</v>
      </c>
      <c r="P1828">
        <v>1.7546246714513263E-2</v>
      </c>
      <c r="Q1828">
        <v>0</v>
      </c>
      <c r="R1828">
        <v>6.3444787391714287E-3</v>
      </c>
      <c r="S1828">
        <v>0.16659180566076151</v>
      </c>
      <c r="T1828">
        <v>1.1363256339371013</v>
      </c>
      <c r="U1828">
        <v>0</v>
      </c>
      <c r="V1828">
        <v>1.5674316942787467E-2</v>
      </c>
      <c r="W1828">
        <v>6.1842489150379799E-2</v>
      </c>
      <c r="X1828">
        <v>-1.5323810871816192E-2</v>
      </c>
      <c r="Y1828">
        <v>2.6125434172789966E-2</v>
      </c>
    </row>
    <row r="1829" spans="1:25" x14ac:dyDescent="0.25">
      <c r="A1829" s="879"/>
      <c r="B1829" s="1133">
        <v>1579</v>
      </c>
      <c r="C1829" s="883">
        <v>1.0339778332556975</v>
      </c>
      <c r="D1829" s="883">
        <v>1.0321748926541288</v>
      </c>
      <c r="E1829" s="883">
        <v>1.0303661098687864</v>
      </c>
      <c r="F1829" s="883">
        <v>1.0026233355295089</v>
      </c>
      <c r="G1829" s="883">
        <v>0.97650708161871158</v>
      </c>
      <c r="H1829" s="883">
        <v>0.98769553951356492</v>
      </c>
      <c r="I1829" s="883">
        <v>0.99085428850767943</v>
      </c>
      <c r="K1829">
        <v>1.5970220219707278</v>
      </c>
      <c r="L1829">
        <v>0</v>
      </c>
      <c r="M1829">
        <v>5.8791803074194817E-3</v>
      </c>
      <c r="N1829">
        <v>0.11464826112112783</v>
      </c>
      <c r="O1829">
        <v>2.9432484916234482E-2</v>
      </c>
      <c r="P1829">
        <v>1.867543759455937E-2</v>
      </c>
      <c r="Q1829">
        <v>0</v>
      </c>
      <c r="R1829">
        <v>5.8791803074194817E-3</v>
      </c>
      <c r="S1829">
        <v>0.16072303982148398</v>
      </c>
      <c r="T1829">
        <v>1.1885018487050589</v>
      </c>
      <c r="U1829">
        <v>0</v>
      </c>
      <c r="V1829">
        <v>1.5674764235885999E-2</v>
      </c>
      <c r="W1829">
        <v>5.9445228970998826E-2</v>
      </c>
      <c r="X1829">
        <v>-1.4288461445489837E-2</v>
      </c>
      <c r="Y1829">
        <v>2.4209418050868892E-2</v>
      </c>
    </row>
    <row r="1830" spans="1:25" x14ac:dyDescent="0.25">
      <c r="A1830" s="879"/>
      <c r="B1830" s="1133">
        <v>1580</v>
      </c>
      <c r="C1830" s="883">
        <v>1.017247113079718</v>
      </c>
      <c r="D1830" s="883">
        <v>1.0127617912890559</v>
      </c>
      <c r="E1830" s="883">
        <v>0.95217402419070274</v>
      </c>
      <c r="F1830" s="883">
        <v>1.0300031180694393</v>
      </c>
      <c r="G1830" s="883">
        <v>1.0241433877001256</v>
      </c>
      <c r="H1830" s="883">
        <v>0.99815445438995187</v>
      </c>
      <c r="I1830" s="883">
        <v>0.99509345525721249</v>
      </c>
      <c r="K1830">
        <v>1.6378210578902028</v>
      </c>
      <c r="L1830">
        <v>0</v>
      </c>
      <c r="M1830">
        <v>6.5205718761181279E-3</v>
      </c>
      <c r="N1830">
        <v>0.11323872122284728</v>
      </c>
      <c r="O1830">
        <v>3.0207755334776508E-2</v>
      </c>
      <c r="P1830">
        <v>1.8083111769800972E-2</v>
      </c>
      <c r="Q1830">
        <v>0</v>
      </c>
      <c r="R1830">
        <v>6.5205718761181279E-3</v>
      </c>
      <c r="S1830">
        <v>0.16474866010329189</v>
      </c>
      <c r="T1830">
        <v>1.2224574835809374</v>
      </c>
      <c r="U1830">
        <v>0</v>
      </c>
      <c r="V1830">
        <v>1.5761480983775791E-2</v>
      </c>
      <c r="W1830">
        <v>6.1047855547781152E-2</v>
      </c>
      <c r="X1830">
        <v>-1.4574565020336066E-2</v>
      </c>
      <c r="Y1830">
        <v>2.6850554367326529E-2</v>
      </c>
    </row>
    <row r="1831" spans="1:25" x14ac:dyDescent="0.25">
      <c r="A1831" s="879"/>
      <c r="B1831" s="1133">
        <v>1581</v>
      </c>
      <c r="C1831" s="883">
        <v>0.99036552501994957</v>
      </c>
      <c r="D1831" s="883">
        <v>0.97385013540221976</v>
      </c>
      <c r="E1831" s="883">
        <v>1.0191703916570003</v>
      </c>
      <c r="F1831" s="883">
        <v>1.0053043263756845</v>
      </c>
      <c r="G1831" s="883">
        <v>1.0216039116490607</v>
      </c>
      <c r="H1831" s="883">
        <v>0.99918785469828975</v>
      </c>
      <c r="I1831" s="883">
        <v>0.98709528225422627</v>
      </c>
      <c r="K1831">
        <v>1.6246483568198531</v>
      </c>
      <c r="L1831">
        <v>0</v>
      </c>
      <c r="M1831">
        <v>6.435484651661061E-3</v>
      </c>
      <c r="N1831">
        <v>0.12343599609364495</v>
      </c>
      <c r="O1831">
        <v>3.1462461871262407E-2</v>
      </c>
      <c r="P1831">
        <v>1.8674349056146872E-2</v>
      </c>
      <c r="Q1831">
        <v>0</v>
      </c>
      <c r="R1831">
        <v>6.435484651661061E-3</v>
      </c>
      <c r="S1831">
        <v>0.16839232940700638</v>
      </c>
      <c r="T1831">
        <v>1.1918878231942216</v>
      </c>
      <c r="U1831">
        <v>0</v>
      </c>
      <c r="V1831">
        <v>1.5906946141625328E-2</v>
      </c>
      <c r="W1831">
        <v>6.4354927854832891E-2</v>
      </c>
      <c r="X1831">
        <v>-1.5966657120861621E-2</v>
      </c>
      <c r="Y1831">
        <v>2.6500180321973706E-2</v>
      </c>
    </row>
    <row r="1832" spans="1:25" x14ac:dyDescent="0.25">
      <c r="A1832" s="879"/>
      <c r="B1832" s="1133">
        <v>1582</v>
      </c>
      <c r="C1832" s="883">
        <v>0.99535671883240628</v>
      </c>
      <c r="D1832" s="883">
        <v>1.0064112586740555</v>
      </c>
      <c r="E1832" s="883">
        <v>0.9927396405269191</v>
      </c>
      <c r="F1832" s="883">
        <v>0.95917247206654233</v>
      </c>
      <c r="G1832" s="883">
        <v>1.0207614161177223</v>
      </c>
      <c r="H1832" s="883">
        <v>1.0260229794970743</v>
      </c>
      <c r="I1832" s="883">
        <v>0.99731221006198056</v>
      </c>
      <c r="K1832">
        <v>1.5704475387782757</v>
      </c>
      <c r="L1832">
        <v>0</v>
      </c>
      <c r="M1832">
        <v>6.6308199853232714E-3</v>
      </c>
      <c r="N1832">
        <v>0.12230093367182095</v>
      </c>
      <c r="O1832">
        <v>3.0918565961216716E-2</v>
      </c>
      <c r="P1832">
        <v>1.7612114039396189E-2</v>
      </c>
      <c r="Q1832">
        <v>0</v>
      </c>
      <c r="R1832">
        <v>6.6308199853232714E-3</v>
      </c>
      <c r="S1832">
        <v>0.17046758376786841</v>
      </c>
      <c r="T1832">
        <v>1.1376644438736701</v>
      </c>
      <c r="U1832">
        <v>0</v>
      </c>
      <c r="V1832">
        <v>1.5879343146490678E-2</v>
      </c>
      <c r="W1832">
        <v>6.4603590619195905E-2</v>
      </c>
      <c r="X1832">
        <v>-1.6303572758985838E-2</v>
      </c>
      <c r="Y1832">
        <v>2.7304536457601392E-2</v>
      </c>
    </row>
    <row r="1833" spans="1:25" x14ac:dyDescent="0.25">
      <c r="A1833" s="879"/>
      <c r="B1833" s="1133">
        <v>1583</v>
      </c>
      <c r="C1833" s="883">
        <v>1.0080581491795579</v>
      </c>
      <c r="D1833" s="883">
        <v>0.99580344481652749</v>
      </c>
      <c r="E1833" s="883">
        <v>0.9900738326371159</v>
      </c>
      <c r="F1833" s="883">
        <v>1.032648710992097</v>
      </c>
      <c r="G1833" s="883">
        <v>0.98419091661252078</v>
      </c>
      <c r="H1833" s="883">
        <v>1.029101872638692</v>
      </c>
      <c r="I1833" s="883">
        <v>0.9926510834015192</v>
      </c>
      <c r="K1833">
        <v>1.6550497552238181</v>
      </c>
      <c r="L1833">
        <v>0</v>
      </c>
      <c r="M1833">
        <v>6.6133969061892934E-3</v>
      </c>
      <c r="N1833">
        <v>0.12149848186814138</v>
      </c>
      <c r="O1833">
        <v>3.0660854653761411E-2</v>
      </c>
      <c r="P1833">
        <v>1.8697445322972815E-2</v>
      </c>
      <c r="Q1833">
        <v>0</v>
      </c>
      <c r="R1833">
        <v>6.6133969061892934E-3</v>
      </c>
      <c r="S1833">
        <v>0.1678191284257044</v>
      </c>
      <c r="T1833">
        <v>1.2248651087037032</v>
      </c>
      <c r="U1833">
        <v>0</v>
      </c>
      <c r="V1833">
        <v>1.5810332779848904E-2</v>
      </c>
      <c r="W1833">
        <v>6.4265032796866545E-2</v>
      </c>
      <c r="X1833">
        <v>-1.5799420646101955E-2</v>
      </c>
      <c r="Y1833">
        <v>2.7232791318920157E-2</v>
      </c>
    </row>
    <row r="1834" spans="1:25" x14ac:dyDescent="0.25">
      <c r="A1834" s="879"/>
      <c r="B1834" s="1133">
        <v>1584</v>
      </c>
      <c r="C1834" s="883">
        <v>0.95792421876296485</v>
      </c>
      <c r="D1834" s="883">
        <v>1.0168943367792769</v>
      </c>
      <c r="E1834" s="883">
        <v>0.97911500942260876</v>
      </c>
      <c r="F1834" s="883">
        <v>0.97186082476026681</v>
      </c>
      <c r="G1834" s="883">
        <v>1.0405406215668367</v>
      </c>
      <c r="H1834" s="883">
        <v>1.0003045072677714</v>
      </c>
      <c r="I1834" s="883">
        <v>1.0031776019083734</v>
      </c>
      <c r="K1834">
        <v>1.5942023161544276</v>
      </c>
      <c r="L1834">
        <v>0</v>
      </c>
      <c r="M1834">
        <v>6.7662024066486607E-3</v>
      </c>
      <c r="N1834">
        <v>0.12230164392023057</v>
      </c>
      <c r="O1834">
        <v>3.2005315909819351E-2</v>
      </c>
      <c r="P1834">
        <v>1.7712480976675472E-2</v>
      </c>
      <c r="Q1834">
        <v>0</v>
      </c>
      <c r="R1834">
        <v>6.7662024066486607E-3</v>
      </c>
      <c r="S1834">
        <v>0.17649031184448336</v>
      </c>
      <c r="T1834">
        <v>1.1529608725993292</v>
      </c>
      <c r="U1834">
        <v>0</v>
      </c>
      <c r="V1834">
        <v>1.6093368374911581E-2</v>
      </c>
      <c r="W1834">
        <v>6.5045126728136532E-2</v>
      </c>
      <c r="X1834">
        <v>-1.6268821370605077E-2</v>
      </c>
      <c r="Y1834">
        <v>2.7862017171446665E-2</v>
      </c>
    </row>
    <row r="1835" spans="1:25" x14ac:dyDescent="0.25">
      <c r="A1835" s="879"/>
      <c r="B1835" s="1133">
        <v>1585</v>
      </c>
      <c r="C1835" s="883">
        <v>1.0000928745050135</v>
      </c>
      <c r="D1835" s="883">
        <v>0.99352954666337212</v>
      </c>
      <c r="E1835" s="883">
        <v>0.99190541205195037</v>
      </c>
      <c r="F1835" s="883">
        <v>1.0118963432830155</v>
      </c>
      <c r="G1835" s="883">
        <v>1.0352349654310877</v>
      </c>
      <c r="H1835" s="883">
        <v>1.0047693476898356</v>
      </c>
      <c r="I1835" s="883">
        <v>0.98792691157859092</v>
      </c>
      <c r="K1835">
        <v>1.6267590455292316</v>
      </c>
      <c r="L1835">
        <v>0</v>
      </c>
      <c r="M1835">
        <v>6.504690536022417E-3</v>
      </c>
      <c r="N1835">
        <v>0.1198262938303363</v>
      </c>
      <c r="O1835">
        <v>3.093181317280614E-2</v>
      </c>
      <c r="P1835">
        <v>1.8385427830821838E-2</v>
      </c>
      <c r="Q1835">
        <v>0</v>
      </c>
      <c r="R1835">
        <v>6.504690536022417E-3</v>
      </c>
      <c r="S1835">
        <v>0.16697999117332477</v>
      </c>
      <c r="T1835">
        <v>1.2002153936160125</v>
      </c>
      <c r="U1835">
        <v>0</v>
      </c>
      <c r="V1835">
        <v>1.5853405359200223E-2</v>
      </c>
      <c r="W1835">
        <v>6.3322712062829384E-2</v>
      </c>
      <c r="X1835">
        <v>-1.5541149351685201E-2</v>
      </c>
      <c r="Y1835">
        <v>2.6785157835585546E-2</v>
      </c>
    </row>
    <row r="1836" spans="1:25" x14ac:dyDescent="0.25">
      <c r="A1836" s="879"/>
      <c r="B1836" s="1133">
        <v>1586</v>
      </c>
      <c r="C1836" s="883">
        <v>0.98920489939273126</v>
      </c>
      <c r="D1836" s="883">
        <v>0.99720940386653634</v>
      </c>
      <c r="E1836" s="883">
        <v>0.99495426317541569</v>
      </c>
      <c r="F1836" s="883">
        <v>0.99701737477651808</v>
      </c>
      <c r="G1836" s="883">
        <v>0.97237791717493727</v>
      </c>
      <c r="H1836" s="883">
        <v>0.97941946529881585</v>
      </c>
      <c r="I1836" s="883">
        <v>0.99720373924838113</v>
      </c>
      <c r="K1836">
        <v>1.6082538600195853</v>
      </c>
      <c r="L1836">
        <v>0</v>
      </c>
      <c r="M1836">
        <v>6.3827945817580244E-3</v>
      </c>
      <c r="N1836">
        <v>0.11811333676376948</v>
      </c>
      <c r="O1836">
        <v>3.122349488390827E-2</v>
      </c>
      <c r="P1836">
        <v>1.8218580252310504E-2</v>
      </c>
      <c r="Q1836">
        <v>0</v>
      </c>
      <c r="R1836">
        <v>6.3827945817580244E-3</v>
      </c>
      <c r="S1836">
        <v>0.16888438339084011</v>
      </c>
      <c r="T1836">
        <v>1.1825107913797115</v>
      </c>
      <c r="U1836">
        <v>0</v>
      </c>
      <c r="V1836">
        <v>1.5913404712415466E-2</v>
      </c>
      <c r="W1836">
        <v>6.2322800248333886E-2</v>
      </c>
      <c r="X1836">
        <v>-1.521614360430038E-2</v>
      </c>
      <c r="Y1836">
        <v>2.6283211992595826E-2</v>
      </c>
    </row>
    <row r="1837" spans="1:25" x14ac:dyDescent="0.25">
      <c r="A1837" s="879"/>
      <c r="B1837" s="1133">
        <v>1587</v>
      </c>
      <c r="C1837" s="883">
        <v>1.0118843576562293</v>
      </c>
      <c r="D1837" s="883">
        <v>0.99086326013166726</v>
      </c>
      <c r="E1837" s="883">
        <v>0.9973290310443732</v>
      </c>
      <c r="F1837" s="883">
        <v>1.0098038593076983</v>
      </c>
      <c r="G1837" s="883">
        <v>1.0034724702713809</v>
      </c>
      <c r="H1837" s="883">
        <v>0.9775411965621027</v>
      </c>
      <c r="I1837" s="883">
        <v>1.0100466547438032</v>
      </c>
      <c r="K1837">
        <v>1.6173376761002425</v>
      </c>
      <c r="L1837">
        <v>0</v>
      </c>
      <c r="M1837">
        <v>6.2325983583646164E-3</v>
      </c>
      <c r="N1837">
        <v>0.11574055821223621</v>
      </c>
      <c r="O1837">
        <v>3.0599749216047745E-2</v>
      </c>
      <c r="P1837">
        <v>1.8428869626979854E-2</v>
      </c>
      <c r="Q1837">
        <v>0</v>
      </c>
      <c r="R1837">
        <v>6.2325983583646164E-3</v>
      </c>
      <c r="S1837">
        <v>0.16718092173460034</v>
      </c>
      <c r="T1837">
        <v>1.1976315711079293</v>
      </c>
      <c r="U1837">
        <v>0</v>
      </c>
      <c r="V1837">
        <v>1.578988349128815E-2</v>
      </c>
      <c r="W1837">
        <v>6.0998700317423535E-2</v>
      </c>
      <c r="X1837">
        <v>-1.4697308284856568E-2</v>
      </c>
      <c r="Y1837">
        <v>2.5664730678592939E-2</v>
      </c>
    </row>
    <row r="1838" spans="1:25" x14ac:dyDescent="0.25">
      <c r="A1838" s="879"/>
      <c r="B1838" s="1133">
        <v>1588</v>
      </c>
      <c r="C1838" s="883">
        <v>0.98757272558829912</v>
      </c>
      <c r="D1838" s="883">
        <v>0.99794730804254794</v>
      </c>
      <c r="E1838" s="883">
        <v>1.0364306601919828</v>
      </c>
      <c r="F1838" s="883">
        <v>0.9919320014565427</v>
      </c>
      <c r="G1838" s="883">
        <v>0.99132554345951662</v>
      </c>
      <c r="H1838" s="883">
        <v>1.0150245133948366</v>
      </c>
      <c r="I1838" s="883">
        <v>1.0160910291086613</v>
      </c>
      <c r="K1838">
        <v>1.6168463750220452</v>
      </c>
      <c r="L1838">
        <v>0</v>
      </c>
      <c r="M1838">
        <v>6.3874913833487923E-3</v>
      </c>
      <c r="N1838">
        <v>0.12568206782445143</v>
      </c>
      <c r="O1838">
        <v>3.1228157831279909E-2</v>
      </c>
      <c r="P1838">
        <v>1.877684061628079E-2</v>
      </c>
      <c r="Q1838">
        <v>0</v>
      </c>
      <c r="R1838">
        <v>6.3874913833487923E-3</v>
      </c>
      <c r="S1838">
        <v>0.17453211392082882</v>
      </c>
      <c r="T1838">
        <v>1.1757175112940303</v>
      </c>
      <c r="U1838">
        <v>0</v>
      </c>
      <c r="V1838">
        <v>1.5922513007631419E-2</v>
      </c>
      <c r="W1838">
        <v>6.4972942240168988E-2</v>
      </c>
      <c r="X1838">
        <v>-1.6288324298172879E-2</v>
      </c>
      <c r="Y1838">
        <v>2.6302552585547083E-2</v>
      </c>
    </row>
    <row r="1839" spans="1:25" x14ac:dyDescent="0.25">
      <c r="A1839" s="879"/>
      <c r="B1839" s="1133">
        <v>1589</v>
      </c>
      <c r="C1839" s="883">
        <v>1.0226843150640246</v>
      </c>
      <c r="D1839" s="883">
        <v>1.0032619969523957</v>
      </c>
      <c r="E1839" s="883">
        <v>1.0019115272016004</v>
      </c>
      <c r="F1839" s="883">
        <v>1.0083640836006915</v>
      </c>
      <c r="G1839" s="883">
        <v>1.0132370775212085</v>
      </c>
      <c r="H1839" s="883">
        <v>0.99976425658016077</v>
      </c>
      <c r="I1839" s="883">
        <v>0.97300936712024633</v>
      </c>
      <c r="K1839">
        <v>1.6095393165933094</v>
      </c>
      <c r="L1839">
        <v>0</v>
      </c>
      <c r="M1839">
        <v>6.2470244055748509E-3</v>
      </c>
      <c r="N1839">
        <v>0.11679872226153019</v>
      </c>
      <c r="O1839">
        <v>3.0122571968589945E-2</v>
      </c>
      <c r="P1839">
        <v>1.8378106547220642E-2</v>
      </c>
      <c r="Q1839">
        <v>0</v>
      </c>
      <c r="R1839">
        <v>6.2470244055748509E-3</v>
      </c>
      <c r="S1839">
        <v>0.1604645449003404</v>
      </c>
      <c r="T1839">
        <v>1.1958381043086721</v>
      </c>
      <c r="U1839">
        <v>0</v>
      </c>
      <c r="V1839">
        <v>1.5732988294202485E-2</v>
      </c>
      <c r="W1839">
        <v>6.1416430277343517E-2</v>
      </c>
      <c r="X1839">
        <v>-1.493628653785554E-2</v>
      </c>
      <c r="Y1839">
        <v>2.5724134573263991E-2</v>
      </c>
    </row>
    <row r="1840" spans="1:25" x14ac:dyDescent="0.25">
      <c r="A1840" s="879"/>
      <c r="B1840" s="1133">
        <v>1590</v>
      </c>
      <c r="C1840" s="883">
        <v>0.97071061468201569</v>
      </c>
      <c r="D1840" s="883">
        <v>0.95774788329086802</v>
      </c>
      <c r="E1840" s="883">
        <v>1.005462242899906</v>
      </c>
      <c r="F1840" s="883">
        <v>0.99365109574665955</v>
      </c>
      <c r="G1840" s="883">
        <v>0.99472245825574213</v>
      </c>
      <c r="H1840" s="883">
        <v>0.96883257999369654</v>
      </c>
      <c r="I1840" s="883">
        <v>1.0030577206085853</v>
      </c>
      <c r="K1840">
        <v>1.6148995029734217</v>
      </c>
      <c r="L1840">
        <v>0</v>
      </c>
      <c r="M1840">
        <v>6.4913111050289149E-3</v>
      </c>
      <c r="N1840">
        <v>0.12200600788355481</v>
      </c>
      <c r="O1840">
        <v>3.2327048564533452E-2</v>
      </c>
      <c r="P1840">
        <v>1.8363391525585672E-2</v>
      </c>
      <c r="Q1840">
        <v>0</v>
      </c>
      <c r="R1840">
        <v>6.4913111050289149E-3</v>
      </c>
      <c r="S1840">
        <v>0.17289691320705816</v>
      </c>
      <c r="T1840">
        <v>1.1783241779485765</v>
      </c>
      <c r="U1840">
        <v>0</v>
      </c>
      <c r="V1840">
        <v>1.6018404287790222E-2</v>
      </c>
      <c r="W1840">
        <v>6.4041723446750271E-2</v>
      </c>
      <c r="X1840">
        <v>-1.5808227610631394E-2</v>
      </c>
      <c r="Y1840">
        <v>2.6730063720204245E-2</v>
      </c>
    </row>
    <row r="1841" spans="1:25" x14ac:dyDescent="0.25">
      <c r="A1841" s="879"/>
      <c r="B1841" s="1133">
        <v>1591</v>
      </c>
      <c r="C1841" s="883">
        <v>0.98474112609492925</v>
      </c>
      <c r="D1841" s="883">
        <v>1.0014635153513756</v>
      </c>
      <c r="E1841" s="883">
        <v>0.99243288843343191</v>
      </c>
      <c r="F1841" s="883">
        <v>1.0283601659968653</v>
      </c>
      <c r="G1841" s="883">
        <v>1.0154725305674452</v>
      </c>
      <c r="H1841" s="883">
        <v>0.99745207701125738</v>
      </c>
      <c r="I1841" s="883">
        <v>1.013456149235556</v>
      </c>
      <c r="K1841">
        <v>1.6545972131677968</v>
      </c>
      <c r="L1841">
        <v>0</v>
      </c>
      <c r="M1841">
        <v>6.5317509469391549E-3</v>
      </c>
      <c r="N1841">
        <v>0.12041890650806711</v>
      </c>
      <c r="O1841">
        <v>3.1313797920857235E-2</v>
      </c>
      <c r="P1841">
        <v>1.8739579545671011E-2</v>
      </c>
      <c r="Q1841">
        <v>0</v>
      </c>
      <c r="R1841">
        <v>6.5317509469391549E-3</v>
      </c>
      <c r="S1841">
        <v>0.17344508363085218</v>
      </c>
      <c r="T1841">
        <v>1.2197331174824122</v>
      </c>
      <c r="U1841">
        <v>0</v>
      </c>
      <c r="V1841">
        <v>1.5938386288605944E-2</v>
      </c>
      <c r="W1841">
        <v>6.3619159288736099E-2</v>
      </c>
      <c r="X1841">
        <v>-1.5507405288572827E-2</v>
      </c>
      <c r="Y1841">
        <v>2.6896587791167079E-2</v>
      </c>
    </row>
    <row r="1842" spans="1:25" x14ac:dyDescent="0.25">
      <c r="A1842" s="879"/>
      <c r="B1842" s="1133">
        <v>1592</v>
      </c>
      <c r="C1842" s="883">
        <v>1.0044074559305323</v>
      </c>
      <c r="D1842" s="883">
        <v>0.95645993275333663</v>
      </c>
      <c r="E1842" s="883">
        <v>1.0288026978371887</v>
      </c>
      <c r="F1842" s="883">
        <v>1.0026830542551752</v>
      </c>
      <c r="G1842" s="883">
        <v>1.0049467005269122</v>
      </c>
      <c r="H1842" s="883">
        <v>1.0374793685785568</v>
      </c>
      <c r="I1842" s="883">
        <v>0.97161732943833312</v>
      </c>
      <c r="K1842">
        <v>1.6251262638478454</v>
      </c>
      <c r="L1842">
        <v>0</v>
      </c>
      <c r="M1842">
        <v>6.5861695489412798E-3</v>
      </c>
      <c r="N1842">
        <v>0.12813857811035376</v>
      </c>
      <c r="O1842">
        <v>3.1238019933862753E-2</v>
      </c>
      <c r="P1842">
        <v>1.8727206056234492E-2</v>
      </c>
      <c r="Q1842">
        <v>0</v>
      </c>
      <c r="R1842">
        <v>6.5861695489412798E-3</v>
      </c>
      <c r="S1842">
        <v>0.16582425436746515</v>
      </c>
      <c r="T1842">
        <v>1.1886015683560625</v>
      </c>
      <c r="U1842">
        <v>0</v>
      </c>
      <c r="V1842">
        <v>1.582998926537715E-2</v>
      </c>
      <c r="W1842">
        <v>6.6490957643600329E-2</v>
      </c>
      <c r="X1842">
        <v>-1.6844983793173996E-2</v>
      </c>
      <c r="Y1842">
        <v>2.7120673908061766E-2</v>
      </c>
    </row>
    <row r="1843" spans="1:25" x14ac:dyDescent="0.25">
      <c r="A1843" s="879"/>
      <c r="B1843" s="1133">
        <v>1593</v>
      </c>
      <c r="C1843" s="883">
        <v>0.97180741777431678</v>
      </c>
      <c r="D1843" s="883">
        <v>0.99012776228140065</v>
      </c>
      <c r="E1843" s="883">
        <v>1.0117014626791367</v>
      </c>
      <c r="F1843" s="883">
        <v>1.0021306124345328</v>
      </c>
      <c r="G1843" s="883">
        <v>1.0026790565701473</v>
      </c>
      <c r="H1843" s="883">
        <v>0.98069507456067528</v>
      </c>
      <c r="I1843" s="883">
        <v>0.98952864961145903</v>
      </c>
      <c r="K1843">
        <v>1.6220285373721886</v>
      </c>
      <c r="L1843">
        <v>0</v>
      </c>
      <c r="M1843">
        <v>6.4314263908149894E-3</v>
      </c>
      <c r="N1843">
        <v>0.12200225434796222</v>
      </c>
      <c r="O1843">
        <v>3.1858301366882377E-2</v>
      </c>
      <c r="P1843">
        <v>1.855474504175483E-2</v>
      </c>
      <c r="Q1843">
        <v>0</v>
      </c>
      <c r="R1843">
        <v>6.4314263908149894E-3</v>
      </c>
      <c r="S1843">
        <v>0.1707492679593374</v>
      </c>
      <c r="T1843">
        <v>1.1882636700270481</v>
      </c>
      <c r="U1843">
        <v>0</v>
      </c>
      <c r="V1843">
        <v>1.6012065813707649E-2</v>
      </c>
      <c r="W1843">
        <v>6.3842318535214257E-2</v>
      </c>
      <c r="X1843">
        <v>-1.5737554845870045E-2</v>
      </c>
      <c r="Y1843">
        <v>2.6483469126153077E-2</v>
      </c>
    </row>
    <row r="1844" spans="1:25" x14ac:dyDescent="0.25">
      <c r="A1844" s="879"/>
      <c r="B1844" s="1133">
        <v>1594</v>
      </c>
      <c r="C1844" s="883">
        <v>0.96597280922779349</v>
      </c>
      <c r="D1844" s="883">
        <v>0.99822963932343334</v>
      </c>
      <c r="E1844" s="883">
        <v>1.0255208481970866</v>
      </c>
      <c r="F1844" s="883">
        <v>1.0012795382134856</v>
      </c>
      <c r="G1844" s="883">
        <v>1.0227403137677262</v>
      </c>
      <c r="H1844" s="883">
        <v>0.98053208975450479</v>
      </c>
      <c r="I1844" s="883">
        <v>0.97974935553720621</v>
      </c>
      <c r="K1844">
        <v>1.6214602327298353</v>
      </c>
      <c r="L1844">
        <v>0</v>
      </c>
      <c r="M1844">
        <v>6.3682167694853247E-3</v>
      </c>
      <c r="N1844">
        <v>0.1232984259207746</v>
      </c>
      <c r="O1844">
        <v>3.1933463883646415E-2</v>
      </c>
      <c r="P1844">
        <v>1.8720002459504129E-2</v>
      </c>
      <c r="Q1844">
        <v>0</v>
      </c>
      <c r="R1844">
        <v>6.3682167694853247E-3</v>
      </c>
      <c r="S1844">
        <v>0.17000758391613055</v>
      </c>
      <c r="T1844">
        <v>1.1869984889951626</v>
      </c>
      <c r="U1844">
        <v>0</v>
      </c>
      <c r="V1844">
        <v>1.6045949656125297E-2</v>
      </c>
      <c r="W1844">
        <v>6.4082619730825352E-2</v>
      </c>
      <c r="X1844">
        <v>-1.5849484988743841E-2</v>
      </c>
      <c r="Y1844">
        <v>2.6223183156410694E-2</v>
      </c>
    </row>
    <row r="1845" spans="1:25" x14ac:dyDescent="0.25">
      <c r="A1845" s="879"/>
      <c r="B1845" s="1133">
        <v>1595</v>
      </c>
      <c r="C1845" s="883">
        <v>0.99172598397196055</v>
      </c>
      <c r="D1845" s="883">
        <v>0.99013385530758613</v>
      </c>
      <c r="E1845" s="883">
        <v>0.98483306023859851</v>
      </c>
      <c r="F1845" s="883">
        <v>1.0168670363886458</v>
      </c>
      <c r="G1845" s="883">
        <v>0.99184596994042329</v>
      </c>
      <c r="H1845" s="883">
        <v>0.97644292997948634</v>
      </c>
      <c r="I1845" s="883">
        <v>0.99807793572065084</v>
      </c>
      <c r="K1845">
        <v>1.6309088994428047</v>
      </c>
      <c r="L1845">
        <v>0</v>
      </c>
      <c r="M1845">
        <v>6.4239036113993616E-3</v>
      </c>
      <c r="N1845">
        <v>0.11710359660180396</v>
      </c>
      <c r="O1845">
        <v>3.1241373123046649E-2</v>
      </c>
      <c r="P1845">
        <v>1.8386411128945006E-2</v>
      </c>
      <c r="Q1845">
        <v>0</v>
      </c>
      <c r="R1845">
        <v>6.4239036113993616E-3</v>
      </c>
      <c r="S1845">
        <v>0.16848730444468654</v>
      </c>
      <c r="T1845">
        <v>1.2062451822342786</v>
      </c>
      <c r="U1845">
        <v>0</v>
      </c>
      <c r="V1845">
        <v>1.5899394797232971E-2</v>
      </c>
      <c r="W1845">
        <v>6.2102671692188006E-2</v>
      </c>
      <c r="X1845">
        <v>-1.5009526238902882E-2</v>
      </c>
      <c r="Y1845">
        <v>2.645249165952434E-2</v>
      </c>
    </row>
    <row r="1846" spans="1:25" x14ac:dyDescent="0.25">
      <c r="A1846" s="879"/>
      <c r="B1846" s="1133">
        <v>1596</v>
      </c>
      <c r="C1846" s="883">
        <v>0.99302832517787143</v>
      </c>
      <c r="D1846" s="883">
        <v>0.96432057303893182</v>
      </c>
      <c r="E1846" s="883">
        <v>1.0114689540545763</v>
      </c>
      <c r="F1846" s="883">
        <v>0.9981130451194048</v>
      </c>
      <c r="G1846" s="883">
        <v>0.98816123460361338</v>
      </c>
      <c r="H1846" s="883">
        <v>1.0054314813634735</v>
      </c>
      <c r="I1846" s="883">
        <v>0.96186214592440888</v>
      </c>
      <c r="K1846">
        <v>1.6127568381737956</v>
      </c>
      <c r="L1846">
        <v>0</v>
      </c>
      <c r="M1846">
        <v>6.5306359986951265E-3</v>
      </c>
      <c r="N1846">
        <v>0.12384160234121305</v>
      </c>
      <c r="O1846">
        <v>3.1508811269924351E-2</v>
      </c>
      <c r="P1846">
        <v>1.8395810655263321E-2</v>
      </c>
      <c r="Q1846">
        <v>0</v>
      </c>
      <c r="R1846">
        <v>6.5306359986951265E-3</v>
      </c>
      <c r="S1846">
        <v>0.16409830117817772</v>
      </c>
      <c r="T1846">
        <v>1.1835041917624567</v>
      </c>
      <c r="U1846">
        <v>0</v>
      </c>
      <c r="V1846">
        <v>1.5892185424260533E-2</v>
      </c>
      <c r="W1846">
        <v>6.4812275527181745E-2</v>
      </c>
      <c r="X1846">
        <v>-1.6188336617434296E-2</v>
      </c>
      <c r="Y1846">
        <v>2.6891996632751564E-2</v>
      </c>
    </row>
    <row r="1847" spans="1:25" x14ac:dyDescent="0.25">
      <c r="A1847" s="879"/>
      <c r="B1847" s="1133">
        <v>1597</v>
      </c>
      <c r="C1847" s="883">
        <v>1.0166467842020985</v>
      </c>
      <c r="D1847" s="883">
        <v>0.99892436417185126</v>
      </c>
      <c r="E1847" s="883">
        <v>1.002906005186704</v>
      </c>
      <c r="F1847" s="883">
        <v>1.0007044707154518</v>
      </c>
      <c r="G1847" s="883">
        <v>1.0027360659475892</v>
      </c>
      <c r="H1847" s="883">
        <v>0.9869459420454354</v>
      </c>
      <c r="I1847" s="883">
        <v>1.0121503504081726</v>
      </c>
      <c r="K1847">
        <v>1.6065808471464316</v>
      </c>
      <c r="L1847">
        <v>0</v>
      </c>
      <c r="M1847">
        <v>6.2101538965550363E-3</v>
      </c>
      <c r="N1847">
        <v>0.11628052505336105</v>
      </c>
      <c r="O1847">
        <v>3.0353183093802607E-2</v>
      </c>
      <c r="P1847">
        <v>1.836101931248427E-2</v>
      </c>
      <c r="Q1847">
        <v>0</v>
      </c>
      <c r="R1847">
        <v>6.2101538965550363E-3</v>
      </c>
      <c r="S1847">
        <v>0.16721532456080684</v>
      </c>
      <c r="T1847">
        <v>1.1867359389040806</v>
      </c>
      <c r="U1847">
        <v>0</v>
      </c>
      <c r="V1847">
        <v>1.5764645583008535E-2</v>
      </c>
      <c r="W1847">
        <v>6.1113784616701312E-2</v>
      </c>
      <c r="X1847">
        <v>-1.4815882357639195E-2</v>
      </c>
      <c r="Y1847">
        <v>2.5572308379826356E-2</v>
      </c>
    </row>
    <row r="1848" spans="1:25" x14ac:dyDescent="0.25">
      <c r="A1848" s="879"/>
      <c r="B1848" s="1133">
        <v>1598</v>
      </c>
      <c r="C1848" s="883">
        <v>1.0228967634060981</v>
      </c>
      <c r="D1848" s="883">
        <v>0.99112764480238802</v>
      </c>
      <c r="E1848" s="883">
        <v>0.97000031233843342</v>
      </c>
      <c r="F1848" s="883">
        <v>0.99622726151811303</v>
      </c>
      <c r="G1848" s="883">
        <v>1.0194733106493812</v>
      </c>
      <c r="H1848" s="883">
        <v>0.97375251023249143</v>
      </c>
      <c r="I1848" s="883">
        <v>1.0021902546290875</v>
      </c>
      <c r="K1848">
        <v>1.5933075013736495</v>
      </c>
      <c r="L1848">
        <v>0</v>
      </c>
      <c r="M1848">
        <v>6.2889706645477281E-3</v>
      </c>
      <c r="N1848">
        <v>0.11214796978635014</v>
      </c>
      <c r="O1848">
        <v>3.0288624446614124E-2</v>
      </c>
      <c r="P1848">
        <v>1.7797470095543711E-2</v>
      </c>
      <c r="Q1848">
        <v>0</v>
      </c>
      <c r="R1848">
        <v>6.2889706645477281E-3</v>
      </c>
      <c r="S1848">
        <v>0.16384763393117877</v>
      </c>
      <c r="T1848">
        <v>1.1820376059537208</v>
      </c>
      <c r="U1848">
        <v>0</v>
      </c>
      <c r="V1848">
        <v>1.5731881145417976E-2</v>
      </c>
      <c r="W1848">
        <v>5.9918418653561602E-2</v>
      </c>
      <c r="X1848">
        <v>-1.4358964440296051E-2</v>
      </c>
      <c r="Y1848">
        <v>2.5896861801558532E-2</v>
      </c>
    </row>
    <row r="1849" spans="1:25" x14ac:dyDescent="0.25">
      <c r="A1849" s="879"/>
      <c r="B1849" s="1133">
        <v>1599</v>
      </c>
      <c r="C1849" s="883">
        <v>1.035642362350647</v>
      </c>
      <c r="D1849" s="883">
        <v>1.0057129398175113</v>
      </c>
      <c r="E1849" s="883">
        <v>0.97512142514583078</v>
      </c>
      <c r="F1849" s="883">
        <v>1.0149586311149188</v>
      </c>
      <c r="G1849" s="883">
        <v>1.0388511071991851</v>
      </c>
      <c r="H1849" s="883">
        <v>0.95942418187644352</v>
      </c>
      <c r="I1849" s="883">
        <v>0.97546911492611466</v>
      </c>
      <c r="K1849">
        <v>1.6023057766041477</v>
      </c>
      <c r="L1849">
        <v>0</v>
      </c>
      <c r="M1849">
        <v>6.0533597714940131E-3</v>
      </c>
      <c r="N1849">
        <v>0.10877020925434716</v>
      </c>
      <c r="O1849">
        <v>2.9737759406526575E-2</v>
      </c>
      <c r="P1849">
        <v>1.8062699944294519E-2</v>
      </c>
      <c r="Q1849">
        <v>0</v>
      </c>
      <c r="R1849">
        <v>6.0533597714940131E-3</v>
      </c>
      <c r="S1849">
        <v>0.15661019626070724</v>
      </c>
      <c r="T1849">
        <v>1.2041654160953701</v>
      </c>
      <c r="U1849">
        <v>0</v>
      </c>
      <c r="V1849">
        <v>1.5666290081015378E-2</v>
      </c>
      <c r="W1849">
        <v>5.7964472025159461E-2</v>
      </c>
      <c r="X1849">
        <v>-1.3597924544412233E-2</v>
      </c>
      <c r="Y1849">
        <v>2.4926658081138951E-2</v>
      </c>
    </row>
    <row r="1850" spans="1:25" x14ac:dyDescent="0.25">
      <c r="A1850" s="879"/>
      <c r="B1850" s="1133">
        <v>1600</v>
      </c>
      <c r="C1850" s="883">
        <v>0.97027131920040788</v>
      </c>
      <c r="D1850" s="883">
        <v>0.9838372256292589</v>
      </c>
      <c r="E1850" s="883">
        <v>1.0261672487906761</v>
      </c>
      <c r="F1850" s="883">
        <v>1.0215646636186855</v>
      </c>
      <c r="G1850" s="883">
        <v>0.99048965681015422</v>
      </c>
      <c r="H1850" s="883">
        <v>0.96660720366320907</v>
      </c>
      <c r="I1850" s="883">
        <v>1.007344456468549</v>
      </c>
      <c r="K1850">
        <v>1.6470787137436349</v>
      </c>
      <c r="L1850">
        <v>0</v>
      </c>
      <c r="M1850">
        <v>6.2870449286349106E-3</v>
      </c>
      <c r="N1850">
        <v>0.12184321701447666</v>
      </c>
      <c r="O1850">
        <v>3.1976593316195547E-2</v>
      </c>
      <c r="P1850">
        <v>1.9101737480059201E-2</v>
      </c>
      <c r="Q1850">
        <v>0</v>
      </c>
      <c r="R1850">
        <v>6.2870449286349106E-3</v>
      </c>
      <c r="S1850">
        <v>0.17332601693455679</v>
      </c>
      <c r="T1850">
        <v>1.211033935046232</v>
      </c>
      <c r="U1850">
        <v>0</v>
      </c>
      <c r="V1850">
        <v>1.60209470152003E-2</v>
      </c>
      <c r="W1850">
        <v>6.33061827660793E-2</v>
      </c>
      <c r="X1850">
        <v>-1.5418847793003489E-2</v>
      </c>
      <c r="Y1850">
        <v>2.5888931963837764E-2</v>
      </c>
    </row>
    <row r="1851" spans="1:25" x14ac:dyDescent="0.25">
      <c r="A1851" s="879"/>
      <c r="B1851" s="1133">
        <v>1601</v>
      </c>
      <c r="C1851" s="883">
        <v>1.0183555378607092</v>
      </c>
      <c r="D1851" s="883">
        <v>0.98771046334199719</v>
      </c>
      <c r="E1851" s="883">
        <v>0.97617188298575674</v>
      </c>
      <c r="F1851" s="883">
        <v>0.95815870359390687</v>
      </c>
      <c r="G1851" s="883">
        <v>1.0218039183611771</v>
      </c>
      <c r="H1851" s="883">
        <v>0.9985259534154739</v>
      </c>
      <c r="I1851" s="883">
        <v>1.0120576629788101</v>
      </c>
      <c r="K1851">
        <v>1.5572667185657714</v>
      </c>
      <c r="L1851">
        <v>0</v>
      </c>
      <c r="M1851">
        <v>6.4529406578456641E-3</v>
      </c>
      <c r="N1851">
        <v>0.11613101832214384</v>
      </c>
      <c r="O1851">
        <v>3.0461049082290317E-2</v>
      </c>
      <c r="P1851">
        <v>1.7339047712683669E-2</v>
      </c>
      <c r="Q1851">
        <v>0</v>
      </c>
      <c r="R1851">
        <v>6.4529406578456641E-3</v>
      </c>
      <c r="S1851">
        <v>0.16767352262216956</v>
      </c>
      <c r="T1851">
        <v>1.1367581339417623</v>
      </c>
      <c r="U1851">
        <v>0</v>
      </c>
      <c r="V1851">
        <v>1.5755647790422603E-2</v>
      </c>
      <c r="W1851">
        <v>6.1854502735755275E-2</v>
      </c>
      <c r="X1851">
        <v>-1.5278264689843649E-2</v>
      </c>
      <c r="Y1851">
        <v>2.6572061048388617E-2</v>
      </c>
    </row>
    <row r="1852" spans="1:25" x14ac:dyDescent="0.25">
      <c r="A1852" s="879"/>
      <c r="B1852" s="1133">
        <v>1602</v>
      </c>
      <c r="C1852" s="883">
        <v>0.98396137216652069</v>
      </c>
      <c r="D1852" s="883">
        <v>0.96511362504089804</v>
      </c>
      <c r="E1852" s="883">
        <v>0.95893397537048664</v>
      </c>
      <c r="F1852" s="883">
        <v>1.0121992212875996</v>
      </c>
      <c r="G1852" s="883">
        <v>1.0133180204714283</v>
      </c>
      <c r="H1852" s="883">
        <v>1.030587778080762</v>
      </c>
      <c r="I1852" s="883">
        <v>0.98930175919360264</v>
      </c>
      <c r="K1852">
        <v>1.6418511419346289</v>
      </c>
      <c r="L1852">
        <v>0</v>
      </c>
      <c r="M1852">
        <v>7.0698555549191027E-3</v>
      </c>
      <c r="N1852">
        <v>0.12401765772865615</v>
      </c>
      <c r="O1852">
        <v>3.1832444068883137E-2</v>
      </c>
      <c r="P1852">
        <v>1.7997708956283817E-2</v>
      </c>
      <c r="Q1852">
        <v>0</v>
      </c>
      <c r="R1852">
        <v>7.0698555549191027E-3</v>
      </c>
      <c r="S1852">
        <v>0.17175842779800557</v>
      </c>
      <c r="T1852">
        <v>1.2011984706022387</v>
      </c>
      <c r="U1852">
        <v>0</v>
      </c>
      <c r="V1852">
        <v>1.5942773448743425E-2</v>
      </c>
      <c r="W1852">
        <v>6.6630676537553044E-2</v>
      </c>
      <c r="X1852">
        <v>-1.6639423993514056E-2</v>
      </c>
      <c r="Y1852">
        <v>2.9112406787778784E-2</v>
      </c>
    </row>
    <row r="1853" spans="1:25" x14ac:dyDescent="0.25">
      <c r="A1853" s="879"/>
      <c r="B1853" s="1133">
        <v>1603</v>
      </c>
      <c r="C1853" s="883">
        <v>1.0213944410889721</v>
      </c>
      <c r="D1853" s="883">
        <v>1.0134501756996135</v>
      </c>
      <c r="E1853" s="883">
        <v>1.0061132292125419</v>
      </c>
      <c r="F1853" s="883">
        <v>1.0025197434581432</v>
      </c>
      <c r="G1853" s="883">
        <v>0.97903533264985498</v>
      </c>
      <c r="H1853" s="883">
        <v>0.97344848441106691</v>
      </c>
      <c r="I1853" s="883">
        <v>1.014216673579714</v>
      </c>
      <c r="K1853">
        <v>1.6027704092573694</v>
      </c>
      <c r="L1853">
        <v>0</v>
      </c>
      <c r="M1853">
        <v>6.0406768912040706E-3</v>
      </c>
      <c r="N1853">
        <v>0.11364571470462584</v>
      </c>
      <c r="O1853">
        <v>3.0035432225642918E-2</v>
      </c>
      <c r="P1853">
        <v>1.8415193056237726E-2</v>
      </c>
      <c r="Q1853">
        <v>0</v>
      </c>
      <c r="R1853">
        <v>6.0406768912040706E-3</v>
      </c>
      <c r="S1853">
        <v>0.1658695873331735</v>
      </c>
      <c r="T1853">
        <v>1.1888289782129711</v>
      </c>
      <c r="U1853">
        <v>0</v>
      </c>
      <c r="V1853">
        <v>1.5739720203195959E-2</v>
      </c>
      <c r="W1853">
        <v>5.9634115415448871E-2</v>
      </c>
      <c r="X1853">
        <v>-1.427276413149956E-2</v>
      </c>
      <c r="Y1853">
        <v>2.4874432237573508E-2</v>
      </c>
    </row>
    <row r="1854" spans="1:25" x14ac:dyDescent="0.25">
      <c r="A1854" s="879"/>
      <c r="B1854" s="1133">
        <v>1604</v>
      </c>
      <c r="C1854" s="883">
        <v>0.99288963006512532</v>
      </c>
      <c r="D1854" s="883">
        <v>0.97444630135743671</v>
      </c>
      <c r="E1854" s="883">
        <v>1.0376553642951571</v>
      </c>
      <c r="F1854" s="883">
        <v>0.99321238064278239</v>
      </c>
      <c r="G1854" s="883">
        <v>1.0191745143704338</v>
      </c>
      <c r="H1854" s="883">
        <v>1.003162744817985</v>
      </c>
      <c r="I1854" s="883">
        <v>1.0032607686225319</v>
      </c>
      <c r="K1854">
        <v>1.6136880326999543</v>
      </c>
      <c r="L1854">
        <v>0</v>
      </c>
      <c r="M1854">
        <v>6.3393815928084471E-3</v>
      </c>
      <c r="N1854">
        <v>0.12496134819468051</v>
      </c>
      <c r="O1854">
        <v>3.1357239970787286E-2</v>
      </c>
      <c r="P1854">
        <v>1.8764717294664307E-2</v>
      </c>
      <c r="Q1854">
        <v>0</v>
      </c>
      <c r="R1854">
        <v>6.3393815928084471E-3</v>
      </c>
      <c r="S1854">
        <v>0.17096419584534953</v>
      </c>
      <c r="T1854">
        <v>1.1772127119779578</v>
      </c>
      <c r="U1854">
        <v>0</v>
      </c>
      <c r="V1854">
        <v>1.5892952299273747E-2</v>
      </c>
      <c r="W1854">
        <v>6.4561666692026773E-2</v>
      </c>
      <c r="X1854">
        <v>-1.613124460611157E-2</v>
      </c>
      <c r="Y1854">
        <v>2.6104445031325439E-2</v>
      </c>
    </row>
    <row r="1855" spans="1:25" x14ac:dyDescent="0.25">
      <c r="A1855" s="879"/>
      <c r="B1855" s="1133">
        <v>1605</v>
      </c>
      <c r="C1855" s="883">
        <v>1.0078397061533322</v>
      </c>
      <c r="D1855" s="883">
        <v>1.0184993856484597</v>
      </c>
      <c r="E1855" s="883">
        <v>1.0171451624297938</v>
      </c>
      <c r="F1855" s="883">
        <v>1.0055869308495891</v>
      </c>
      <c r="G1855" s="883">
        <v>0.98759851972378909</v>
      </c>
      <c r="H1855" s="883">
        <v>0.98825295114519796</v>
      </c>
      <c r="I1855" s="883">
        <v>1.0015552209564333</v>
      </c>
      <c r="K1855">
        <v>1.6130438979796118</v>
      </c>
      <c r="L1855">
        <v>0</v>
      </c>
      <c r="M1855">
        <v>6.1417240716120387E-3</v>
      </c>
      <c r="N1855">
        <v>0.11744907142964771</v>
      </c>
      <c r="O1855">
        <v>3.0369319716543559E-2</v>
      </c>
      <c r="P1855">
        <v>1.8628499221367962E-2</v>
      </c>
      <c r="Q1855">
        <v>0</v>
      </c>
      <c r="R1855">
        <v>6.1417240716120387E-3</v>
      </c>
      <c r="S1855">
        <v>0.16681428918778338</v>
      </c>
      <c r="T1855">
        <v>1.1922605655561951</v>
      </c>
      <c r="U1855">
        <v>0</v>
      </c>
      <c r="V1855">
        <v>1.5811504940602593E-2</v>
      </c>
      <c r="W1855">
        <v>6.129473244866001E-2</v>
      </c>
      <c r="X1855">
        <v>-1.4874611061954488E-2</v>
      </c>
      <c r="Y1855">
        <v>2.5290526540765881E-2</v>
      </c>
    </row>
    <row r="1856" spans="1:25" x14ac:dyDescent="0.25">
      <c r="A1856" s="879"/>
      <c r="B1856" s="1133">
        <v>1606</v>
      </c>
      <c r="C1856" s="883">
        <v>0.96274943494092369</v>
      </c>
      <c r="D1856" s="883">
        <v>1.0110574015594671</v>
      </c>
      <c r="E1856" s="883">
        <v>1.0093464562476526</v>
      </c>
      <c r="F1856" s="883">
        <v>1.009900314204611</v>
      </c>
      <c r="G1856" s="883">
        <v>0.98371545138779382</v>
      </c>
      <c r="H1856" s="883">
        <v>0.95456495111942929</v>
      </c>
      <c r="I1856" s="883">
        <v>1.0131383898441031</v>
      </c>
      <c r="K1856">
        <v>1.6303763052777578</v>
      </c>
      <c r="L1856">
        <v>0</v>
      </c>
      <c r="M1856">
        <v>6.2731872206985414E-3</v>
      </c>
      <c r="N1856">
        <v>0.11858636916958748</v>
      </c>
      <c r="O1856">
        <v>3.1892235408197134E-2</v>
      </c>
      <c r="P1856">
        <v>1.8700189123829439E-2</v>
      </c>
      <c r="Q1856">
        <v>0</v>
      </c>
      <c r="R1856">
        <v>6.2731872206985414E-3</v>
      </c>
      <c r="S1856">
        <v>0.1746663843426868</v>
      </c>
      <c r="T1856">
        <v>1.197520587031861</v>
      </c>
      <c r="U1856">
        <v>0</v>
      </c>
      <c r="V1856">
        <v>1.6064845165503924E-2</v>
      </c>
      <c r="W1856">
        <v>6.2127135294275881E-2</v>
      </c>
      <c r="X1856">
        <v>-1.5013308647320402E-2</v>
      </c>
      <c r="Y1856">
        <v>2.5831868389135874E-2</v>
      </c>
    </row>
    <row r="1857" spans="1:25" x14ac:dyDescent="0.25">
      <c r="A1857" s="879"/>
      <c r="B1857" s="1133">
        <v>1607</v>
      </c>
      <c r="C1857" s="883">
        <v>1.0156795131432481</v>
      </c>
      <c r="D1857" s="883">
        <v>1.0272769510771347</v>
      </c>
      <c r="E1857" s="883">
        <v>0.99399236669697366</v>
      </c>
      <c r="F1857" s="883">
        <v>1.0013737373008784</v>
      </c>
      <c r="G1857" s="883">
        <v>0.96423620750220773</v>
      </c>
      <c r="H1857" s="883">
        <v>0.98348784748654616</v>
      </c>
      <c r="I1857" s="883">
        <v>0.98367868087719168</v>
      </c>
      <c r="K1857">
        <v>1.5988863839457175</v>
      </c>
      <c r="L1857">
        <v>0</v>
      </c>
      <c r="M1857">
        <v>6.165310086511451E-3</v>
      </c>
      <c r="N1857">
        <v>0.11392626474831818</v>
      </c>
      <c r="O1857">
        <v>3.0051205871822716E-2</v>
      </c>
      <c r="P1857">
        <v>1.8183263489807804E-2</v>
      </c>
      <c r="Q1857">
        <v>0</v>
      </c>
      <c r="R1857">
        <v>6.165310086511451E-3</v>
      </c>
      <c r="S1857">
        <v>0.16220542908612254</v>
      </c>
      <c r="T1857">
        <v>1.1876955728308678</v>
      </c>
      <c r="U1857">
        <v>0</v>
      </c>
      <c r="V1857">
        <v>1.576975236655986E-2</v>
      </c>
      <c r="W1857">
        <v>6.0142269775665218E-2</v>
      </c>
      <c r="X1857">
        <v>-1.4475023775414209E-2</v>
      </c>
      <c r="Y1857">
        <v>2.5387649551967508E-2</v>
      </c>
    </row>
    <row r="1858" spans="1:25" x14ac:dyDescent="0.25">
      <c r="A1858" s="879"/>
      <c r="B1858" s="1133">
        <v>1608</v>
      </c>
      <c r="C1858" s="883">
        <v>1.0054219190341958</v>
      </c>
      <c r="D1858" s="883">
        <v>0.98691132570609685</v>
      </c>
      <c r="E1858" s="883">
        <v>0.99941577064657672</v>
      </c>
      <c r="F1858" s="883">
        <v>0.98951538376030879</v>
      </c>
      <c r="G1858" s="883">
        <v>1.0056311598893293</v>
      </c>
      <c r="H1858" s="883">
        <v>1.031079383683879</v>
      </c>
      <c r="I1858" s="883">
        <v>1.0127099987297881</v>
      </c>
      <c r="K1858">
        <v>1.6093958513129176</v>
      </c>
      <c r="L1858">
        <v>0</v>
      </c>
      <c r="M1858">
        <v>6.6159438530015054E-3</v>
      </c>
      <c r="N1858">
        <v>0.1232398074444193</v>
      </c>
      <c r="O1858">
        <v>3.0843934495291506E-2</v>
      </c>
      <c r="P1858">
        <v>1.8199414050229117E-2</v>
      </c>
      <c r="Q1858">
        <v>0</v>
      </c>
      <c r="R1858">
        <v>6.6159438530015054E-3</v>
      </c>
      <c r="S1858">
        <v>0.17188572072222066</v>
      </c>
      <c r="T1858">
        <v>1.1735309641691927</v>
      </c>
      <c r="U1858">
        <v>0</v>
      </c>
      <c r="V1858">
        <v>1.5824512753670767E-2</v>
      </c>
      <c r="W1858">
        <v>6.4883705090098165E-2</v>
      </c>
      <c r="X1858">
        <v>-1.6255486604757518E-2</v>
      </c>
      <c r="Y1858">
        <v>2.7243279192553205E-2</v>
      </c>
    </row>
    <row r="1859" spans="1:25" x14ac:dyDescent="0.25">
      <c r="A1859" s="879"/>
      <c r="B1859" s="1133">
        <v>1609</v>
      </c>
      <c r="C1859" s="883">
        <v>0.99460855582391794</v>
      </c>
      <c r="D1859" s="883">
        <v>1.0229536888651765</v>
      </c>
      <c r="E1859" s="883">
        <v>1.0155227916037928</v>
      </c>
      <c r="F1859" s="883">
        <v>0.98450225704242578</v>
      </c>
      <c r="G1859" s="883">
        <v>0.96828141861973283</v>
      </c>
      <c r="H1859" s="883">
        <v>1.0094482944427836</v>
      </c>
      <c r="I1859" s="883">
        <v>1.0179657470725196</v>
      </c>
      <c r="K1859">
        <v>1.6002245532404362</v>
      </c>
      <c r="L1859">
        <v>0</v>
      </c>
      <c r="M1859">
        <v>6.3535693898517922E-3</v>
      </c>
      <c r="N1859">
        <v>0.12120889531758343</v>
      </c>
      <c r="O1859">
        <v>3.0721101956218719E-2</v>
      </c>
      <c r="P1859">
        <v>1.8352996524379869E-2</v>
      </c>
      <c r="Q1859">
        <v>0</v>
      </c>
      <c r="R1859">
        <v>6.3535693898517922E-3</v>
      </c>
      <c r="S1859">
        <v>0.17300406724871589</v>
      </c>
      <c r="T1859">
        <v>1.1672913767672235</v>
      </c>
      <c r="U1859">
        <v>0</v>
      </c>
      <c r="V1859">
        <v>1.5883463090646154E-2</v>
      </c>
      <c r="W1859">
        <v>6.3307571466717533E-2</v>
      </c>
      <c r="X1859">
        <v>-1.5707786985265659E-2</v>
      </c>
      <c r="Y1859">
        <v>2.6162867854216201E-2</v>
      </c>
    </row>
    <row r="1860" spans="1:25" x14ac:dyDescent="0.25">
      <c r="A1860" s="879"/>
      <c r="B1860" s="1133">
        <v>1610</v>
      </c>
      <c r="C1860" s="883">
        <v>1.0024113419969929</v>
      </c>
      <c r="D1860" s="883">
        <v>1.0021386596183279</v>
      </c>
      <c r="E1860" s="883">
        <v>0.99836143519533016</v>
      </c>
      <c r="F1860" s="883">
        <v>0.97482975518418669</v>
      </c>
      <c r="G1860" s="883">
        <v>0.98977455231130151</v>
      </c>
      <c r="H1860" s="883">
        <v>1.0093010926158796</v>
      </c>
      <c r="I1860" s="883">
        <v>1.0210958083463044</v>
      </c>
      <c r="K1860">
        <v>1.5872841338270671</v>
      </c>
      <c r="L1860">
        <v>0</v>
      </c>
      <c r="M1860">
        <v>6.4573721933120958E-3</v>
      </c>
      <c r="N1860">
        <v>0.1200982294780133</v>
      </c>
      <c r="O1860">
        <v>3.0748565311650003E-2</v>
      </c>
      <c r="P1860">
        <v>1.7959218688846104E-2</v>
      </c>
      <c r="Q1860">
        <v>0</v>
      </c>
      <c r="R1860">
        <v>6.4573721933120958E-3</v>
      </c>
      <c r="S1860">
        <v>0.17237073781614015</v>
      </c>
      <c r="T1860">
        <v>1.1561334243258647</v>
      </c>
      <c r="U1860">
        <v>0</v>
      </c>
      <c r="V1860">
        <v>1.584079751751136E-2</v>
      </c>
      <c r="W1860">
        <v>6.326284861047983E-2</v>
      </c>
      <c r="X1860">
        <v>-1.571999724409438E-2</v>
      </c>
      <c r="Y1860">
        <v>2.6590309322655471E-2</v>
      </c>
    </row>
    <row r="1861" spans="1:25" x14ac:dyDescent="0.25">
      <c r="A1861" s="879"/>
      <c r="B1861" s="1133">
        <v>1611</v>
      </c>
      <c r="C1861" s="883">
        <v>0.9654839272575384</v>
      </c>
      <c r="D1861" s="883">
        <v>1.0183843488355511</v>
      </c>
      <c r="E1861" s="883">
        <v>0.99124325636243837</v>
      </c>
      <c r="F1861" s="883">
        <v>0.97523427403300644</v>
      </c>
      <c r="G1861" s="883">
        <v>1.0390521224896423</v>
      </c>
      <c r="H1861" s="883">
        <v>0.99115145786580905</v>
      </c>
      <c r="I1861" s="883">
        <v>0.99750386897666099</v>
      </c>
      <c r="K1861">
        <v>1.5921964538877169</v>
      </c>
      <c r="L1861">
        <v>0</v>
      </c>
      <c r="M1861">
        <v>6.5775132642448865E-3</v>
      </c>
      <c r="N1861">
        <v>0.12104892123166075</v>
      </c>
      <c r="O1861">
        <v>3.1726048701888269E-2</v>
      </c>
      <c r="P1861">
        <v>1.7889011099876815E-2</v>
      </c>
      <c r="Q1861">
        <v>0</v>
      </c>
      <c r="R1861">
        <v>6.5775132642448865E-3</v>
      </c>
      <c r="S1861">
        <v>0.17357275060590399</v>
      </c>
      <c r="T1861">
        <v>1.1567423523887272</v>
      </c>
      <c r="U1861">
        <v>0</v>
      </c>
      <c r="V1861">
        <v>1.6048807379004493E-2</v>
      </c>
      <c r="W1861">
        <v>6.3989926795529242E-2</v>
      </c>
      <c r="X1861">
        <v>-1.5906393183317748E-2</v>
      </c>
      <c r="Y1861">
        <v>2.7085028868443259E-2</v>
      </c>
    </row>
    <row r="1862" spans="1:25" x14ac:dyDescent="0.25">
      <c r="A1862" s="879"/>
      <c r="B1862" s="1133">
        <v>1612</v>
      </c>
      <c r="C1862" s="883">
        <v>0.97799179822860027</v>
      </c>
      <c r="D1862" s="883">
        <v>1.0124227670834003</v>
      </c>
      <c r="E1862" s="883">
        <v>1.0293431472233172</v>
      </c>
      <c r="F1862" s="883">
        <v>1.0220208219250864</v>
      </c>
      <c r="G1862" s="883">
        <v>0.96493934274575388</v>
      </c>
      <c r="H1862" s="883">
        <v>1.0240568954623372</v>
      </c>
      <c r="I1862" s="883">
        <v>1.0045963785907095</v>
      </c>
      <c r="K1862">
        <v>1.6554452581462353</v>
      </c>
      <c r="L1862">
        <v>0</v>
      </c>
      <c r="M1862">
        <v>6.5061091339205694E-3</v>
      </c>
      <c r="N1862">
        <v>0.12668211786504621</v>
      </c>
      <c r="O1862">
        <v>3.1359781019807659E-2</v>
      </c>
      <c r="P1862">
        <v>1.917035886864701E-2</v>
      </c>
      <c r="Q1862">
        <v>0</v>
      </c>
      <c r="R1862">
        <v>6.5061091339205694E-3</v>
      </c>
      <c r="S1862">
        <v>0.17462065607544122</v>
      </c>
      <c r="T1862">
        <v>1.211514769962281</v>
      </c>
      <c r="U1862">
        <v>0</v>
      </c>
      <c r="V1862">
        <v>1.5976592086862432E-2</v>
      </c>
      <c r="W1862">
        <v>6.5717769011683386E-2</v>
      </c>
      <c r="X1862">
        <v>-1.638778611276456E-2</v>
      </c>
      <c r="Y1862">
        <v>2.6790999369229129E-2</v>
      </c>
    </row>
    <row r="1863" spans="1:25" x14ac:dyDescent="0.25">
      <c r="A1863" s="879"/>
      <c r="B1863" s="1133">
        <v>1613</v>
      </c>
      <c r="C1863" s="883">
        <v>1.0004998655481654</v>
      </c>
      <c r="D1863" s="883">
        <v>1.0149146693429876</v>
      </c>
      <c r="E1863" s="883">
        <v>0.993959165921943</v>
      </c>
      <c r="F1863" s="883">
        <v>0.98751881895442606</v>
      </c>
      <c r="G1863" s="883">
        <v>1.0150323259441438</v>
      </c>
      <c r="H1863" s="883">
        <v>0.96116423347498792</v>
      </c>
      <c r="I1863" s="883">
        <v>0.96460329416067025</v>
      </c>
      <c r="K1863">
        <v>1.5805493691434302</v>
      </c>
      <c r="L1863">
        <v>0</v>
      </c>
      <c r="M1863">
        <v>6.1500447165408201E-3</v>
      </c>
      <c r="N1863">
        <v>0.11363859006898104</v>
      </c>
      <c r="O1863">
        <v>3.0655271109896558E-2</v>
      </c>
      <c r="P1863">
        <v>1.7940320138171865E-2</v>
      </c>
      <c r="Q1863">
        <v>0</v>
      </c>
      <c r="R1863">
        <v>6.1500447165408201E-3</v>
      </c>
      <c r="S1863">
        <v>0.16034277163325034</v>
      </c>
      <c r="T1863">
        <v>1.1712633322770811</v>
      </c>
      <c r="U1863">
        <v>0</v>
      </c>
      <c r="V1863">
        <v>1.5851187910788059E-2</v>
      </c>
      <c r="W1863">
        <v>5.9991396416482358E-2</v>
      </c>
      <c r="X1863">
        <v>-1.4458289886783547E-2</v>
      </c>
      <c r="Y1863">
        <v>2.532478947556302E-2</v>
      </c>
    </row>
    <row r="1864" spans="1:25" x14ac:dyDescent="0.25">
      <c r="A1864" s="879"/>
      <c r="B1864" s="1133">
        <v>1614</v>
      </c>
      <c r="C1864" s="883">
        <v>0.98340608100982418</v>
      </c>
      <c r="D1864" s="883">
        <v>1.0048381232850634</v>
      </c>
      <c r="E1864" s="883">
        <v>1.0147676618167167</v>
      </c>
      <c r="F1864" s="883">
        <v>1.0226729911447738</v>
      </c>
      <c r="G1864" s="883">
        <v>0.99179609258134438</v>
      </c>
      <c r="H1864" s="883">
        <v>0.98720930806741836</v>
      </c>
      <c r="I1864" s="883">
        <v>0.97307558834114383</v>
      </c>
      <c r="K1864">
        <v>1.639428587455547</v>
      </c>
      <c r="L1864">
        <v>0</v>
      </c>
      <c r="M1864">
        <v>6.3388093799750817E-3</v>
      </c>
      <c r="N1864">
        <v>0.12079225868740089</v>
      </c>
      <c r="O1864">
        <v>3.1294611604523577E-2</v>
      </c>
      <c r="P1864">
        <v>1.8862974102354716E-2</v>
      </c>
      <c r="Q1864">
        <v>0</v>
      </c>
      <c r="R1864">
        <v>6.3388093799750817E-3</v>
      </c>
      <c r="S1864">
        <v>0.1661642651505526</v>
      </c>
      <c r="T1864">
        <v>1.2125634396758602</v>
      </c>
      <c r="U1864">
        <v>0</v>
      </c>
      <c r="V1864">
        <v>1.5945901946581614E-2</v>
      </c>
      <c r="W1864">
        <v>6.3113480228055699E-2</v>
      </c>
      <c r="X1864">
        <v>-1.5410432700509201E-2</v>
      </c>
      <c r="Y1864">
        <v>2.6102088760727723E-2</v>
      </c>
    </row>
    <row r="1865" spans="1:25" x14ac:dyDescent="0.25">
      <c r="A1865" s="879"/>
      <c r="B1865" s="1133">
        <v>1615</v>
      </c>
      <c r="C1865" s="883">
        <v>1.0150535278205988</v>
      </c>
      <c r="D1865" s="883">
        <v>1.0088039724602387</v>
      </c>
      <c r="E1865" s="883">
        <v>1.0160436383798215</v>
      </c>
      <c r="F1865" s="883">
        <v>0.98276021223828214</v>
      </c>
      <c r="G1865" s="883">
        <v>0.97850462648466174</v>
      </c>
      <c r="H1865" s="883">
        <v>1.0158991746721946</v>
      </c>
      <c r="I1865" s="883">
        <v>0.98758065065351341</v>
      </c>
      <c r="K1865">
        <v>1.5879164617697401</v>
      </c>
      <c r="L1865">
        <v>0</v>
      </c>
      <c r="M1865">
        <v>6.3015207858543787E-3</v>
      </c>
      <c r="N1865">
        <v>0.12030863793167114</v>
      </c>
      <c r="O1865">
        <v>3.0270049803137019E-2</v>
      </c>
      <c r="P1865">
        <v>1.822147617967966E-2</v>
      </c>
      <c r="Q1865">
        <v>0</v>
      </c>
      <c r="R1865">
        <v>6.3015207858543787E-3</v>
      </c>
      <c r="S1865">
        <v>0.16495958795164203</v>
      </c>
      <c r="T1865">
        <v>1.1652164149321089</v>
      </c>
      <c r="U1865">
        <v>0</v>
      </c>
      <c r="V1865">
        <v>1.5773062492777053E-2</v>
      </c>
      <c r="W1865">
        <v>6.2821218188683733E-2</v>
      </c>
      <c r="X1865">
        <v>-1.5602526677220839E-2</v>
      </c>
      <c r="Y1865">
        <v>2.5948540967260996E-2</v>
      </c>
    </row>
    <row r="1866" spans="1:25" x14ac:dyDescent="0.25">
      <c r="A1866" s="879"/>
      <c r="B1866" s="1133">
        <v>1616</v>
      </c>
      <c r="C1866" s="883">
        <v>0.98385401047900634</v>
      </c>
      <c r="D1866" s="883">
        <v>0.97990196483838576</v>
      </c>
      <c r="E1866" s="883">
        <v>1.0408340280784583</v>
      </c>
      <c r="F1866" s="883">
        <v>1.0236948585235039</v>
      </c>
      <c r="G1866" s="883">
        <v>0.98783454583240171</v>
      </c>
      <c r="H1866" s="883">
        <v>1.0020320515362342</v>
      </c>
      <c r="I1866" s="883">
        <v>1.021683187709328</v>
      </c>
      <c r="K1866">
        <v>1.6566827414559553</v>
      </c>
      <c r="L1866">
        <v>0</v>
      </c>
      <c r="M1866">
        <v>6.3567252711032177E-3</v>
      </c>
      <c r="N1866">
        <v>0.12589296778173542</v>
      </c>
      <c r="O1866">
        <v>3.157148792672787E-2</v>
      </c>
      <c r="P1866">
        <v>1.937005504098941E-2</v>
      </c>
      <c r="Q1866">
        <v>0</v>
      </c>
      <c r="R1866">
        <v>6.3567252711032177E-3</v>
      </c>
      <c r="S1866">
        <v>0.17557541147397007</v>
      </c>
      <c r="T1866">
        <v>1.2132823954929692</v>
      </c>
      <c r="U1866">
        <v>0</v>
      </c>
      <c r="V1866">
        <v>1.5943378046679644E-2</v>
      </c>
      <c r="W1866">
        <v>6.4942022642707056E-2</v>
      </c>
      <c r="X1866">
        <v>-1.6070840161308372E-2</v>
      </c>
      <c r="Y1866">
        <v>2.6175863211483651E-2</v>
      </c>
    </row>
    <row r="1867" spans="1:25" x14ac:dyDescent="0.25">
      <c r="A1867" s="879"/>
      <c r="B1867" s="1133">
        <v>1617</v>
      </c>
      <c r="C1867" s="883">
        <v>0.97323982553322352</v>
      </c>
      <c r="D1867" s="883">
        <v>1.0105167538819142</v>
      </c>
      <c r="E1867" s="883">
        <v>0.99397727514333722</v>
      </c>
      <c r="F1867" s="883">
        <v>0.97252440184872202</v>
      </c>
      <c r="G1867" s="883">
        <v>0.95938450963874089</v>
      </c>
      <c r="H1867" s="883">
        <v>0.95990267658653639</v>
      </c>
      <c r="I1867" s="883">
        <v>0.98374777124860924</v>
      </c>
      <c r="K1867">
        <v>1.5764929190501049</v>
      </c>
      <c r="L1867">
        <v>0</v>
      </c>
      <c r="M1867">
        <v>6.3261400305629689E-3</v>
      </c>
      <c r="N1867">
        <v>0.11689556133134922</v>
      </c>
      <c r="O1867">
        <v>3.1568686868877489E-2</v>
      </c>
      <c r="P1867">
        <v>1.7808938259686841E-2</v>
      </c>
      <c r="Q1867">
        <v>0</v>
      </c>
      <c r="R1867">
        <v>6.3261400305629689E-3</v>
      </c>
      <c r="S1867">
        <v>0.16807098980712523</v>
      </c>
      <c r="T1867">
        <v>1.1534786234706749</v>
      </c>
      <c r="U1867">
        <v>0</v>
      </c>
      <c r="V1867">
        <v>1.6003809377611141E-2</v>
      </c>
      <c r="W1867">
        <v>6.1710240592703428E-2</v>
      </c>
      <c r="X1867">
        <v>-1.5093849292833092E-2</v>
      </c>
      <c r="Y1867">
        <v>2.6049918634908773E-2</v>
      </c>
    </row>
    <row r="1868" spans="1:25" x14ac:dyDescent="0.25">
      <c r="A1868" s="879"/>
      <c r="B1868" s="1133">
        <v>1618</v>
      </c>
      <c r="C1868" s="883">
        <v>0.97448588580629902</v>
      </c>
      <c r="D1868" s="883">
        <v>1.0149036228057799</v>
      </c>
      <c r="E1868" s="883">
        <v>0.98931582019871533</v>
      </c>
      <c r="F1868" s="883">
        <v>1.017046975113769</v>
      </c>
      <c r="G1868" s="883">
        <v>1.0098997915304793</v>
      </c>
      <c r="H1868" s="883">
        <v>1.0208775723559966</v>
      </c>
      <c r="I1868" s="883">
        <v>1.0350030389547908</v>
      </c>
      <c r="K1868">
        <v>1.6532346516975893</v>
      </c>
      <c r="L1868">
        <v>0</v>
      </c>
      <c r="M1868">
        <v>6.7337645726211906E-3</v>
      </c>
      <c r="N1868">
        <v>0.12357087297059535</v>
      </c>
      <c r="O1868">
        <v>3.1477669398398869E-2</v>
      </c>
      <c r="P1868">
        <v>1.8609486455650873E-2</v>
      </c>
      <c r="Q1868">
        <v>0</v>
      </c>
      <c r="R1868">
        <v>6.7337645726211906E-3</v>
      </c>
      <c r="S1868">
        <v>0.18028532182831547</v>
      </c>
      <c r="T1868">
        <v>1.2063736410645343</v>
      </c>
      <c r="U1868">
        <v>0</v>
      </c>
      <c r="V1868">
        <v>1.5996646794645065E-2</v>
      </c>
      <c r="W1868">
        <v>6.5385910992971474E-2</v>
      </c>
      <c r="X1868">
        <v>-1.6193341752162593E-2</v>
      </c>
      <c r="Y1868">
        <v>2.772844394464077E-2</v>
      </c>
    </row>
    <row r="1869" spans="1:25" x14ac:dyDescent="0.25">
      <c r="A1869" s="879"/>
      <c r="B1869" s="1133">
        <v>1619</v>
      </c>
      <c r="C1869" s="883">
        <v>1.0007080805408759</v>
      </c>
      <c r="D1869" s="883">
        <v>1.0185779134781259</v>
      </c>
      <c r="E1869" s="883">
        <v>1.0340607592028723</v>
      </c>
      <c r="F1869" s="883">
        <v>0.99035041785437694</v>
      </c>
      <c r="G1869" s="883">
        <v>1.0463778189215369</v>
      </c>
      <c r="H1869" s="883">
        <v>0.9877816859959474</v>
      </c>
      <c r="I1869" s="883">
        <v>0.97677856160054821</v>
      </c>
      <c r="K1869">
        <v>1.593874751419303</v>
      </c>
      <c r="L1869">
        <v>0</v>
      </c>
      <c r="M1869">
        <v>6.0913985999142889E-3</v>
      </c>
      <c r="N1869">
        <v>0.11943708280186895</v>
      </c>
      <c r="O1869">
        <v>3.0569279908702458E-2</v>
      </c>
      <c r="P1869">
        <v>1.8571080328512304E-2</v>
      </c>
      <c r="Q1869">
        <v>0</v>
      </c>
      <c r="R1869">
        <v>6.0913985999142889E-3</v>
      </c>
      <c r="S1869">
        <v>0.16383755829247826</v>
      </c>
      <c r="T1869">
        <v>1.1738861457105145</v>
      </c>
      <c r="U1869">
        <v>0</v>
      </c>
      <c r="V1869">
        <v>1.5850054170452998E-2</v>
      </c>
      <c r="W1869">
        <v>6.1816192596935937E-2</v>
      </c>
      <c r="X1869">
        <v>-1.5175937596077238E-2</v>
      </c>
      <c r="Y1869">
        <v>2.5083295205914579E-2</v>
      </c>
    </row>
    <row r="1870" spans="1:25" x14ac:dyDescent="0.25">
      <c r="A1870" s="879"/>
      <c r="B1870" s="1133">
        <v>1620</v>
      </c>
      <c r="C1870" s="883">
        <v>0.98395091831427295</v>
      </c>
      <c r="D1870" s="883">
        <v>0.99850398081650948</v>
      </c>
      <c r="E1870" s="883">
        <v>0.99938156513120957</v>
      </c>
      <c r="F1870" s="883">
        <v>1.0099118800911724</v>
      </c>
      <c r="G1870" s="883">
        <v>0.97158970861046778</v>
      </c>
      <c r="H1870" s="883">
        <v>0.9966178382496943</v>
      </c>
      <c r="I1870" s="883">
        <v>1.0151383604119881</v>
      </c>
      <c r="K1870">
        <v>1.6333860866294787</v>
      </c>
      <c r="L1870">
        <v>0</v>
      </c>
      <c r="M1870">
        <v>6.5005954389905285E-3</v>
      </c>
      <c r="N1870">
        <v>0.12108499557346471</v>
      </c>
      <c r="O1870">
        <v>3.1370137584087653E-2</v>
      </c>
      <c r="P1870">
        <v>1.8550302288856499E-2</v>
      </c>
      <c r="Q1870">
        <v>0</v>
      </c>
      <c r="R1870">
        <v>6.5005954389905285E-3</v>
      </c>
      <c r="S1870">
        <v>0.17386109162594787</v>
      </c>
      <c r="T1870">
        <v>1.1977211443073195</v>
      </c>
      <c r="U1870">
        <v>0</v>
      </c>
      <c r="V1870">
        <v>1.5942832312898385E-2</v>
      </c>
      <c r="W1870">
        <v>6.375031576810837E-2</v>
      </c>
      <c r="X1870">
        <v>-1.5663027786113386E-2</v>
      </c>
      <c r="Y1870">
        <v>2.6768294954908328E-2</v>
      </c>
    </row>
    <row r="1871" spans="1:25" x14ac:dyDescent="0.25">
      <c r="A1871" s="879"/>
      <c r="B1871" s="1133">
        <v>1621</v>
      </c>
      <c r="C1871" s="883">
        <v>1.0212200514751495</v>
      </c>
      <c r="D1871" s="883">
        <v>1.0151802028915831</v>
      </c>
      <c r="E1871" s="883">
        <v>0.98598136342326703</v>
      </c>
      <c r="F1871" s="883">
        <v>0.99859878149666326</v>
      </c>
      <c r="G1871" s="883">
        <v>0.99874324111120627</v>
      </c>
      <c r="H1871" s="883">
        <v>1.0237204350855145</v>
      </c>
      <c r="I1871" s="883">
        <v>1.0135823027626087</v>
      </c>
      <c r="K1871">
        <v>1.6088482732608038</v>
      </c>
      <c r="L1871">
        <v>0</v>
      </c>
      <c r="M1871">
        <v>6.4614866775604745E-3</v>
      </c>
      <c r="N1871">
        <v>0.11798948023500605</v>
      </c>
      <c r="O1871">
        <v>3.0036526337874118E-2</v>
      </c>
      <c r="P1871">
        <v>1.8115439649143562E-2</v>
      </c>
      <c r="Q1871">
        <v>0</v>
      </c>
      <c r="R1871">
        <v>6.4614866775604745E-3</v>
      </c>
      <c r="S1871">
        <v>0.16863051604522405</v>
      </c>
      <c r="T1871">
        <v>1.1845533197807525</v>
      </c>
      <c r="U1871">
        <v>0</v>
      </c>
      <c r="V1871">
        <v>1.5740631655261662E-2</v>
      </c>
      <c r="W1871">
        <v>6.2536588348602679E-2</v>
      </c>
      <c r="X1871">
        <v>-1.5361480827500556E-2</v>
      </c>
      <c r="Y1871">
        <v>2.6607252036439405E-2</v>
      </c>
    </row>
    <row r="1872" spans="1:25" x14ac:dyDescent="0.25">
      <c r="A1872" s="879"/>
      <c r="B1872" s="1133">
        <v>1622</v>
      </c>
      <c r="C1872" s="883">
        <v>0.98907908105956677</v>
      </c>
      <c r="D1872" s="883">
        <v>0.99505694586005278</v>
      </c>
      <c r="E1872" s="883">
        <v>1.0101055186525569</v>
      </c>
      <c r="F1872" s="883">
        <v>0.96965899861199922</v>
      </c>
      <c r="G1872" s="883">
        <v>1.0097455879435684</v>
      </c>
      <c r="H1872" s="883">
        <v>1.0017596710919339</v>
      </c>
      <c r="I1872" s="883">
        <v>0.984923080121064</v>
      </c>
      <c r="K1872">
        <v>1.5796125984520744</v>
      </c>
      <c r="L1872">
        <v>0</v>
      </c>
      <c r="M1872">
        <v>6.4495565875210773E-3</v>
      </c>
      <c r="N1872">
        <v>0.12205748280873042</v>
      </c>
      <c r="O1872">
        <v>3.1241291002708661E-2</v>
      </c>
      <c r="P1872">
        <v>1.797777228970807E-2</v>
      </c>
      <c r="Q1872">
        <v>0</v>
      </c>
      <c r="R1872">
        <v>6.4495565875210773E-3</v>
      </c>
      <c r="S1872">
        <v>0.16815547545620468</v>
      </c>
      <c r="T1872">
        <v>1.1497895524274078</v>
      </c>
      <c r="U1872">
        <v>0</v>
      </c>
      <c r="V1872">
        <v>1.5914105768387105E-2</v>
      </c>
      <c r="W1872">
        <v>6.3921638137761222E-2</v>
      </c>
      <c r="X1872">
        <v>-1.6002845487967949E-2</v>
      </c>
      <c r="Y1872">
        <v>2.6558126049134035E-2</v>
      </c>
    </row>
    <row r="1873" spans="1:25" x14ac:dyDescent="0.25">
      <c r="A1873" s="879"/>
      <c r="B1873" s="1133">
        <v>1623</v>
      </c>
      <c r="C1873" s="883">
        <v>0.9836476462433027</v>
      </c>
      <c r="D1873" s="883">
        <v>0.99221011657328839</v>
      </c>
      <c r="E1873" s="883">
        <v>1.0162441859382421</v>
      </c>
      <c r="F1873" s="883">
        <v>1.0320001249596293</v>
      </c>
      <c r="G1873" s="883">
        <v>0.98673765689833914</v>
      </c>
      <c r="H1873" s="883">
        <v>1.0064081186123763</v>
      </c>
      <c r="I1873" s="883">
        <v>1.001940253721251</v>
      </c>
      <c r="K1873">
        <v>1.6618249628352253</v>
      </c>
      <c r="L1873">
        <v>0</v>
      </c>
      <c r="M1873">
        <v>6.4886576795133051E-3</v>
      </c>
      <c r="N1873">
        <v>0.12391822319926599</v>
      </c>
      <c r="O1873">
        <v>3.1444250379898439E-2</v>
      </c>
      <c r="P1873">
        <v>1.9116564622280188E-2</v>
      </c>
      <c r="Q1873">
        <v>0</v>
      </c>
      <c r="R1873">
        <v>6.4886576795133051E-3</v>
      </c>
      <c r="S1873">
        <v>0.17231774723582788</v>
      </c>
      <c r="T1873">
        <v>1.2235942248310416</v>
      </c>
      <c r="U1873">
        <v>0</v>
      </c>
      <c r="V1873">
        <v>1.5944540539440208E-2</v>
      </c>
      <c r="W1873">
        <v>6.4699623068968315E-2</v>
      </c>
      <c r="X1873">
        <v>-1.5929348427721514E-2</v>
      </c>
      <c r="Y1873">
        <v>2.6719137386223103E-2</v>
      </c>
    </row>
    <row r="1874" spans="1:25" x14ac:dyDescent="0.25">
      <c r="A1874" s="879"/>
      <c r="B1874" s="1133">
        <v>1624</v>
      </c>
      <c r="C1874" s="883">
        <v>0.9837693854242795</v>
      </c>
      <c r="D1874" s="883">
        <v>0.97379191507024032</v>
      </c>
      <c r="E1874" s="883">
        <v>1.0402943392321009</v>
      </c>
      <c r="F1874" s="883">
        <v>1.0017830300963075</v>
      </c>
      <c r="G1874" s="883">
        <v>1.0221217465277646</v>
      </c>
      <c r="H1874" s="883">
        <v>0.9575509286628483</v>
      </c>
      <c r="I1874" s="883">
        <v>1.0068812596765944</v>
      </c>
      <c r="K1874">
        <v>1.617075177528734</v>
      </c>
      <c r="L1874">
        <v>0</v>
      </c>
      <c r="M1874">
        <v>6.0949478463674482E-3</v>
      </c>
      <c r="N1874">
        <v>0.12061236353750433</v>
      </c>
      <c r="O1874">
        <v>3.1653836841827231E-2</v>
      </c>
      <c r="P1874">
        <v>1.8933838813566011E-2</v>
      </c>
      <c r="Q1874">
        <v>0</v>
      </c>
      <c r="R1874">
        <v>6.0949478463674482E-3</v>
      </c>
      <c r="S1874">
        <v>0.17044259388456914</v>
      </c>
      <c r="T1874">
        <v>1.1873224635568316</v>
      </c>
      <c r="U1874">
        <v>0</v>
      </c>
      <c r="V1874">
        <v>1.5943854698262917E-2</v>
      </c>
      <c r="W1874">
        <v>6.2234421649208574E-2</v>
      </c>
      <c r="X1874">
        <v>-1.516610582410312E-2</v>
      </c>
      <c r="Y1874">
        <v>2.509791037106638E-2</v>
      </c>
    </row>
    <row r="1875" spans="1:25" x14ac:dyDescent="0.25">
      <c r="A1875" s="879"/>
      <c r="B1875" s="1133">
        <v>1625</v>
      </c>
      <c r="C1875" s="883">
        <v>0.98344943767596837</v>
      </c>
      <c r="D1875" s="883">
        <v>0.99860721289655519</v>
      </c>
      <c r="E1875" s="883">
        <v>1.0011568489808897</v>
      </c>
      <c r="F1875" s="883">
        <v>0.97710025273752732</v>
      </c>
      <c r="G1875" s="883">
        <v>1.0267738313896206</v>
      </c>
      <c r="H1875" s="883">
        <v>1.01672104862308</v>
      </c>
      <c r="I1875" s="883">
        <v>0.97703169326665773</v>
      </c>
      <c r="K1875">
        <v>1.5923655501313732</v>
      </c>
      <c r="L1875">
        <v>0</v>
      </c>
      <c r="M1875">
        <v>6.6245156879774147E-3</v>
      </c>
      <c r="N1875">
        <v>0.12371817866179584</v>
      </c>
      <c r="O1875">
        <v>3.1383297114833633E-2</v>
      </c>
      <c r="P1875">
        <v>1.798323940248257E-2</v>
      </c>
      <c r="Q1875">
        <v>0</v>
      </c>
      <c r="R1875">
        <v>6.6245156879774147E-3</v>
      </c>
      <c r="S1875">
        <v>0.16857945963333881</v>
      </c>
      <c r="T1875">
        <v>1.1587754336613949</v>
      </c>
      <c r="U1875">
        <v>0</v>
      </c>
      <c r="V1875">
        <v>1.5945657548948593E-2</v>
      </c>
      <c r="W1875">
        <v>6.5079269182205621E-2</v>
      </c>
      <c r="X1875">
        <v>-1.6377561556880846E-2</v>
      </c>
      <c r="Y1875">
        <v>2.7278576483254262E-2</v>
      </c>
    </row>
    <row r="1876" spans="1:25" x14ac:dyDescent="0.25">
      <c r="A1876" s="879"/>
      <c r="B1876" s="1133">
        <v>1626</v>
      </c>
      <c r="C1876" s="883">
        <v>1.0427156657848142</v>
      </c>
      <c r="D1876" s="883">
        <v>1.0163221011398638</v>
      </c>
      <c r="E1876" s="883">
        <v>1.0018551021964601</v>
      </c>
      <c r="F1876" s="883">
        <v>0.96775639414330139</v>
      </c>
      <c r="G1876" s="883">
        <v>0.9863479834263873</v>
      </c>
      <c r="H1876" s="883">
        <v>0.98756181026762202</v>
      </c>
      <c r="I1876" s="883">
        <v>1.000377078789678</v>
      </c>
      <c r="K1876">
        <v>1.5535467971258503</v>
      </c>
      <c r="L1876">
        <v>0</v>
      </c>
      <c r="M1876">
        <v>6.0177338176206794E-3</v>
      </c>
      <c r="N1876">
        <v>0.1125023421764705</v>
      </c>
      <c r="O1876">
        <v>2.939149114481697E-2</v>
      </c>
      <c r="P1876">
        <v>1.7738418341372204E-2</v>
      </c>
      <c r="Q1876">
        <v>0</v>
      </c>
      <c r="R1876">
        <v>6.0177338176206794E-3</v>
      </c>
      <c r="S1876">
        <v>0.16101086443486096</v>
      </c>
      <c r="T1876">
        <v>1.1476816891029766</v>
      </c>
      <c r="U1876">
        <v>0</v>
      </c>
      <c r="V1876">
        <v>1.5630581497339886E-2</v>
      </c>
      <c r="W1876">
        <v>5.9158915405920443E-2</v>
      </c>
      <c r="X1876">
        <v>-1.4347461722180283E-2</v>
      </c>
      <c r="Y1876">
        <v>2.4779956744271966E-2</v>
      </c>
    </row>
    <row r="1877" spans="1:25" x14ac:dyDescent="0.25">
      <c r="A1877" s="879"/>
      <c r="B1877" s="1133">
        <v>1627</v>
      </c>
      <c r="C1877" s="883">
        <v>0.99580677437263043</v>
      </c>
      <c r="D1877" s="883">
        <v>0.99016609207848916</v>
      </c>
      <c r="E1877" s="883">
        <v>0.97896181948987382</v>
      </c>
      <c r="F1877" s="883">
        <v>1.0072506259621004</v>
      </c>
      <c r="G1877" s="883">
        <v>1.0219795244124856</v>
      </c>
      <c r="H1877" s="883">
        <v>0.98778215464587116</v>
      </c>
      <c r="I1877" s="883">
        <v>0.95763925921496007</v>
      </c>
      <c r="K1877">
        <v>1.6132455245960111</v>
      </c>
      <c r="L1877">
        <v>0</v>
      </c>
      <c r="M1877">
        <v>6.5049906122271843E-3</v>
      </c>
      <c r="N1877">
        <v>0.11755341981059834</v>
      </c>
      <c r="O1877">
        <v>3.111766626997842E-2</v>
      </c>
      <c r="P1877">
        <v>1.8064065789446606E-2</v>
      </c>
      <c r="Q1877">
        <v>0</v>
      </c>
      <c r="R1877">
        <v>6.5049906122271843E-3</v>
      </c>
      <c r="S1877">
        <v>0.16162691938949664</v>
      </c>
      <c r="T1877">
        <v>1.1949482187041556</v>
      </c>
      <c r="U1877">
        <v>0</v>
      </c>
      <c r="V1877">
        <v>1.5876867786743087E-2</v>
      </c>
      <c r="W1877">
        <v>6.2524620232009998E-2</v>
      </c>
      <c r="X1877">
        <v>-1.5252646882402621E-2</v>
      </c>
      <c r="Y1877">
        <v>2.6786393495985206E-2</v>
      </c>
    </row>
    <row r="1878" spans="1:25" x14ac:dyDescent="0.25">
      <c r="A1878" s="879"/>
      <c r="B1878" s="1133">
        <v>1628</v>
      </c>
      <c r="C1878" s="883">
        <v>0.96378291937628469</v>
      </c>
      <c r="D1878" s="883">
        <v>1.0460519235887398</v>
      </c>
      <c r="E1878" s="883">
        <v>0.99673835272677636</v>
      </c>
      <c r="F1878" s="883">
        <v>1.0209891872857324</v>
      </c>
      <c r="G1878" s="883">
        <v>0.98543699288387376</v>
      </c>
      <c r="H1878" s="883">
        <v>1.0228476726813005</v>
      </c>
      <c r="I1878" s="883">
        <v>1.0158538915157189</v>
      </c>
      <c r="K1878">
        <v>1.6566909874570528</v>
      </c>
      <c r="L1878">
        <v>0</v>
      </c>
      <c r="M1878">
        <v>6.6870078553521867E-3</v>
      </c>
      <c r="N1878">
        <v>0.1240703877600257</v>
      </c>
      <c r="O1878">
        <v>3.1438419474156494E-2</v>
      </c>
      <c r="P1878">
        <v>1.8755490395586598E-2</v>
      </c>
      <c r="Q1878">
        <v>0</v>
      </c>
      <c r="R1878">
        <v>6.6870078553521867E-3</v>
      </c>
      <c r="S1878">
        <v>0.17871825495505078</v>
      </c>
      <c r="T1878">
        <v>1.2109086327037948</v>
      </c>
      <c r="U1878">
        <v>0</v>
      </c>
      <c r="V1878">
        <v>1.6058773085518691E-2</v>
      </c>
      <c r="W1878">
        <v>6.5407974999347709E-2</v>
      </c>
      <c r="X1878">
        <v>-1.6202854021739394E-2</v>
      </c>
      <c r="Y1878">
        <v>2.7535908105312427E-2</v>
      </c>
    </row>
    <row r="1879" spans="1:25" x14ac:dyDescent="0.25">
      <c r="A1879" s="879"/>
      <c r="B1879" s="1133">
        <v>1629</v>
      </c>
      <c r="C1879" s="883">
        <v>1.0081825165946725</v>
      </c>
      <c r="D1879" s="883">
        <v>1.001791730469799</v>
      </c>
      <c r="E1879" s="883">
        <v>1.0301686037113749</v>
      </c>
      <c r="F1879" s="883">
        <v>1.0190845596179676</v>
      </c>
      <c r="G1879" s="883">
        <v>0.99810927216155709</v>
      </c>
      <c r="H1879" s="883">
        <v>0.99141043274883733</v>
      </c>
      <c r="I1879" s="883">
        <v>1.0150861145292156</v>
      </c>
      <c r="K1879">
        <v>1.6346104785815625</v>
      </c>
      <c r="L1879">
        <v>0</v>
      </c>
      <c r="M1879">
        <v>6.1344643564268326E-3</v>
      </c>
      <c r="N1879">
        <v>0.11959156489243039</v>
      </c>
      <c r="O1879">
        <v>3.0548645522664633E-2</v>
      </c>
      <c r="P1879">
        <v>1.9059988780316076E-2</v>
      </c>
      <c r="Q1879">
        <v>0</v>
      </c>
      <c r="R1879">
        <v>6.1344643564268326E-3</v>
      </c>
      <c r="S1879">
        <v>0.16936982494970795</v>
      </c>
      <c r="T1879">
        <v>1.208018568649408</v>
      </c>
      <c r="U1879">
        <v>0</v>
      </c>
      <c r="V1879">
        <v>1.5809665653794439E-2</v>
      </c>
      <c r="W1879">
        <v>6.2014344387731547E-2</v>
      </c>
      <c r="X1879">
        <v>-1.5062756580305602E-2</v>
      </c>
      <c r="Y1879">
        <v>2.5260632325814335E-2</v>
      </c>
    </row>
    <row r="1880" spans="1:25" x14ac:dyDescent="0.25">
      <c r="A1880" s="879"/>
      <c r="B1880" s="1133">
        <v>1630</v>
      </c>
      <c r="C1880" s="883">
        <v>1.0205598078768587</v>
      </c>
      <c r="D1880" s="883">
        <v>1.0077684229003812</v>
      </c>
      <c r="E1880" s="883">
        <v>0.99446451529326063</v>
      </c>
      <c r="F1880" s="883">
        <v>1.00566102468526</v>
      </c>
      <c r="G1880" s="883">
        <v>1.0422233069333275</v>
      </c>
      <c r="H1880" s="883">
        <v>0.99531429369637436</v>
      </c>
      <c r="I1880" s="883">
        <v>0.97080199009170154</v>
      </c>
      <c r="K1880">
        <v>1.6048405240382351</v>
      </c>
      <c r="L1880">
        <v>0</v>
      </c>
      <c r="M1880">
        <v>6.2603095045787281E-3</v>
      </c>
      <c r="N1880">
        <v>0.11576270038779916</v>
      </c>
      <c r="O1880">
        <v>3.0137367650545154E-2</v>
      </c>
      <c r="P1880">
        <v>1.8229483395718636E-2</v>
      </c>
      <c r="Q1880">
        <v>0</v>
      </c>
      <c r="R1880">
        <v>6.2603095045787281E-3</v>
      </c>
      <c r="S1880">
        <v>0.16013876670858565</v>
      </c>
      <c r="T1880">
        <v>1.1927717429369016</v>
      </c>
      <c r="U1880">
        <v>0</v>
      </c>
      <c r="V1880">
        <v>1.5744085258522549E-2</v>
      </c>
      <c r="W1880">
        <v>6.109737180646569E-2</v>
      </c>
      <c r="X1880">
        <v>-1.4819834352606307E-2</v>
      </c>
      <c r="Y1880">
        <v>2.5778840246302493E-2</v>
      </c>
    </row>
    <row r="1881" spans="1:25" x14ac:dyDescent="0.25">
      <c r="A1881" s="879"/>
      <c r="B1881" s="1133">
        <v>1631</v>
      </c>
      <c r="C1881" s="883">
        <v>0.9901911965600968</v>
      </c>
      <c r="D1881" s="883">
        <v>1.0287829459137452</v>
      </c>
      <c r="E1881" s="883">
        <v>1.0246019315762713</v>
      </c>
      <c r="F1881" s="883">
        <v>0.99426206597897737</v>
      </c>
      <c r="G1881" s="883">
        <v>0.99042457138892881</v>
      </c>
      <c r="H1881" s="883">
        <v>1.0198783169196382</v>
      </c>
      <c r="I1881" s="883">
        <v>1.0052801261956485</v>
      </c>
      <c r="K1881">
        <v>1.6139820006879504</v>
      </c>
      <c r="L1881">
        <v>0</v>
      </c>
      <c r="M1881">
        <v>6.380637737091628E-3</v>
      </c>
      <c r="N1881">
        <v>0.12337115981796172</v>
      </c>
      <c r="O1881">
        <v>3.0779850139343048E-2</v>
      </c>
      <c r="P1881">
        <v>1.8621784661736498E-2</v>
      </c>
      <c r="Q1881">
        <v>0</v>
      </c>
      <c r="R1881">
        <v>6.380637737091628E-3</v>
      </c>
      <c r="S1881">
        <v>0.17216927905688961</v>
      </c>
      <c r="T1881">
        <v>1.1786962839197328</v>
      </c>
      <c r="U1881">
        <v>0</v>
      </c>
      <c r="V1881">
        <v>1.5907915266541568E-2</v>
      </c>
      <c r="W1881">
        <v>6.4149393018493386E-2</v>
      </c>
      <c r="X1881">
        <v>-1.5987995682912523E-2</v>
      </c>
      <c r="Y1881">
        <v>2.6274330490163634E-2</v>
      </c>
    </row>
    <row r="1882" spans="1:25" x14ac:dyDescent="0.25">
      <c r="A1882" s="879"/>
      <c r="B1882" s="1133">
        <v>1632</v>
      </c>
      <c r="C1882" s="883">
        <v>1.0289996224552973</v>
      </c>
      <c r="D1882" s="883">
        <v>1.0086547581319152</v>
      </c>
      <c r="E1882" s="883">
        <v>0.98335044908175007</v>
      </c>
      <c r="F1882" s="883">
        <v>1.0057826035782695</v>
      </c>
      <c r="G1882" s="883">
        <v>1.0111497786799239</v>
      </c>
      <c r="H1882" s="883">
        <v>1.0029808151724477</v>
      </c>
      <c r="I1882" s="883">
        <v>1.0097583418956304</v>
      </c>
      <c r="K1882">
        <v>1.6095719334753471</v>
      </c>
      <c r="L1882">
        <v>0</v>
      </c>
      <c r="M1882">
        <v>6.3152800277579977E-3</v>
      </c>
      <c r="N1882">
        <v>0.1148705747658077</v>
      </c>
      <c r="O1882">
        <v>2.9888486220647423E-2</v>
      </c>
      <c r="P1882">
        <v>1.8151574032211876E-2</v>
      </c>
      <c r="Q1882">
        <v>0</v>
      </c>
      <c r="R1882">
        <v>6.3152800277579977E-3</v>
      </c>
      <c r="S1882">
        <v>0.16561291049093255</v>
      </c>
      <c r="T1882">
        <v>1.1931242369161723</v>
      </c>
      <c r="U1882">
        <v>0</v>
      </c>
      <c r="V1882">
        <v>1.5700272028650871E-2</v>
      </c>
      <c r="W1882">
        <v>6.0963614434284066E-2</v>
      </c>
      <c r="X1882">
        <v>-1.4744934489726599E-2</v>
      </c>
      <c r="Y1882">
        <v>2.6005199076366354E-2</v>
      </c>
    </row>
    <row r="1883" spans="1:25" x14ac:dyDescent="0.25">
      <c r="A1883" s="879"/>
      <c r="B1883" s="1133">
        <v>1633</v>
      </c>
      <c r="C1883" s="883">
        <v>0.98050546969474817</v>
      </c>
      <c r="D1883" s="883">
        <v>0.95595264665187774</v>
      </c>
      <c r="E1883" s="883">
        <v>1.0101054246959045</v>
      </c>
      <c r="F1883" s="883">
        <v>1.0139973221244245</v>
      </c>
      <c r="G1883" s="883">
        <v>1.0128426183049588</v>
      </c>
      <c r="H1883" s="883">
        <v>1.0188081647833409</v>
      </c>
      <c r="I1883" s="883">
        <v>0.99353889815997487</v>
      </c>
      <c r="K1883">
        <v>1.6468784403605583</v>
      </c>
      <c r="L1883">
        <v>0</v>
      </c>
      <c r="M1883">
        <v>6.7362343957510099E-3</v>
      </c>
      <c r="N1883">
        <v>0.12748282590219717</v>
      </c>
      <c r="O1883">
        <v>3.2023928417984723E-2</v>
      </c>
      <c r="P1883">
        <v>1.8746379731838868E-2</v>
      </c>
      <c r="Q1883">
        <v>0</v>
      </c>
      <c r="R1883">
        <v>6.7362343957510099E-3</v>
      </c>
      <c r="S1883">
        <v>0.17256555686030492</v>
      </c>
      <c r="T1883">
        <v>1.202364470963232</v>
      </c>
      <c r="U1883">
        <v>0</v>
      </c>
      <c r="V1883">
        <v>1.5962301524387018E-2</v>
      </c>
      <c r="W1883">
        <v>6.6762899391818134E-2</v>
      </c>
      <c r="X1883">
        <v>-1.6768536667883027E-2</v>
      </c>
      <c r="Y1883">
        <v>2.7738614236677228E-2</v>
      </c>
    </row>
    <row r="1884" spans="1:25" x14ac:dyDescent="0.25">
      <c r="A1884" s="879"/>
      <c r="B1884" s="1133">
        <v>1634</v>
      </c>
      <c r="C1884" s="883">
        <v>1.0076590244524941</v>
      </c>
      <c r="D1884" s="883">
        <v>0.98677076515083462</v>
      </c>
      <c r="E1884" s="883">
        <v>0.97643081000875032</v>
      </c>
      <c r="F1884" s="883">
        <v>1.0229846109487633</v>
      </c>
      <c r="G1884" s="883">
        <v>1.0344465783010808</v>
      </c>
      <c r="H1884" s="883">
        <v>0.9976195261169053</v>
      </c>
      <c r="I1884" s="883">
        <v>0.9955603359129237</v>
      </c>
      <c r="K1884">
        <v>1.6367556855157208</v>
      </c>
      <c r="L1884">
        <v>0</v>
      </c>
      <c r="M1884">
        <v>6.5168185306878276E-3</v>
      </c>
      <c r="N1884">
        <v>0.11732567920679261</v>
      </c>
      <c r="O1884">
        <v>3.0795920646221171E-2</v>
      </c>
      <c r="P1884">
        <v>1.8339766848628161E-2</v>
      </c>
      <c r="Q1884">
        <v>0</v>
      </c>
      <c r="R1884">
        <v>6.5168185306878276E-3</v>
      </c>
      <c r="S1884">
        <v>0.16664898740033363</v>
      </c>
      <c r="T1884">
        <v>1.213662548746044</v>
      </c>
      <c r="U1884">
        <v>0</v>
      </c>
      <c r="V1884">
        <v>1.5812474858890341E-2</v>
      </c>
      <c r="W1884">
        <v>6.2482697743908328E-2</v>
      </c>
      <c r="X1884">
        <v>-1.5147488694012994E-2</v>
      </c>
      <c r="Y1884">
        <v>2.6835098758915134E-2</v>
      </c>
    </row>
    <row r="1885" spans="1:25" x14ac:dyDescent="0.25">
      <c r="A1885" s="879"/>
      <c r="B1885" s="1133">
        <v>1635</v>
      </c>
      <c r="C1885" s="883">
        <v>0.9954134937760647</v>
      </c>
      <c r="D1885" s="883">
        <v>0.98180316833636216</v>
      </c>
      <c r="E1885" s="883">
        <v>0.98386561822351715</v>
      </c>
      <c r="F1885" s="883">
        <v>0.99259191352300091</v>
      </c>
      <c r="G1885" s="883">
        <v>0.95743908706274783</v>
      </c>
      <c r="H1885" s="883">
        <v>1.0153955661445053</v>
      </c>
      <c r="I1885" s="883">
        <v>0.99034255167745644</v>
      </c>
      <c r="K1885">
        <v>1.6092258172599085</v>
      </c>
      <c r="L1885">
        <v>0</v>
      </c>
      <c r="M1885">
        <v>6.6862105321539621E-3</v>
      </c>
      <c r="N1885">
        <v>0.12171051254320434</v>
      </c>
      <c r="O1885">
        <v>3.1231802019263698E-2</v>
      </c>
      <c r="P1885">
        <v>1.7997941280743727E-2</v>
      </c>
      <c r="Q1885">
        <v>0</v>
      </c>
      <c r="R1885">
        <v>6.6862105321539621E-3</v>
      </c>
      <c r="S1885">
        <v>0.16890875025499702</v>
      </c>
      <c r="T1885">
        <v>1.1774670488136125</v>
      </c>
      <c r="U1885">
        <v>0</v>
      </c>
      <c r="V1885">
        <v>1.5879030754078333E-2</v>
      </c>
      <c r="W1885">
        <v>6.4577041360082188E-2</v>
      </c>
      <c r="X1885">
        <v>-1.6078934636375136E-2</v>
      </c>
      <c r="Y1885">
        <v>2.7532624870300386E-2</v>
      </c>
    </row>
    <row r="1886" spans="1:25" x14ac:dyDescent="0.25">
      <c r="A1886" s="879"/>
      <c r="B1886" s="1133">
        <v>1636</v>
      </c>
      <c r="C1886" s="883">
        <v>1.0041529694068869</v>
      </c>
      <c r="D1886" s="883">
        <v>1.0400590927540156</v>
      </c>
      <c r="E1886" s="883">
        <v>1.0055533209516072</v>
      </c>
      <c r="F1886" s="883">
        <v>1.0224674906654085</v>
      </c>
      <c r="G1886" s="883">
        <v>0.99041212920826172</v>
      </c>
      <c r="H1886" s="883">
        <v>1.0339741783494931</v>
      </c>
      <c r="I1886" s="883">
        <v>0.99604399969465363</v>
      </c>
      <c r="K1886">
        <v>1.6421285602486564</v>
      </c>
      <c r="L1886">
        <v>0</v>
      </c>
      <c r="M1886">
        <v>6.4546923670242137E-3</v>
      </c>
      <c r="N1886">
        <v>0.12133411234603428</v>
      </c>
      <c r="O1886">
        <v>3.0236539769526723E-2</v>
      </c>
      <c r="P1886">
        <v>1.8766988798809975E-2</v>
      </c>
      <c r="Q1886">
        <v>0</v>
      </c>
      <c r="R1886">
        <v>6.4546923670242137E-3</v>
      </c>
      <c r="S1886">
        <v>0.16888320210226163</v>
      </c>
      <c r="T1886">
        <v>1.2124944591344264</v>
      </c>
      <c r="U1886">
        <v>0</v>
      </c>
      <c r="V1886">
        <v>1.5831364830086823E-2</v>
      </c>
      <c r="W1886">
        <v>6.3686166968506056E-2</v>
      </c>
      <c r="X1886">
        <v>-1.5683547975989417E-2</v>
      </c>
      <c r="Y1886">
        <v>2.6579274274993271E-2</v>
      </c>
    </row>
    <row r="1887" spans="1:25" x14ac:dyDescent="0.25">
      <c r="A1887" s="879"/>
      <c r="B1887" s="1133">
        <v>1637</v>
      </c>
      <c r="C1887" s="883">
        <v>0.95656809798308573</v>
      </c>
      <c r="D1887" s="883">
        <v>1.023015443761089</v>
      </c>
      <c r="E1887" s="883">
        <v>0.96812441535953997</v>
      </c>
      <c r="F1887" s="883">
        <v>1.0075950960854121</v>
      </c>
      <c r="G1887" s="883">
        <v>0.96750184420040097</v>
      </c>
      <c r="H1887" s="883">
        <v>1.0019453864130079</v>
      </c>
      <c r="I1887" s="883">
        <v>0.98353419912435402</v>
      </c>
      <c r="K1887">
        <v>1.6336348959149232</v>
      </c>
      <c r="L1887">
        <v>0</v>
      </c>
      <c r="M1887">
        <v>6.8338968524002943E-3</v>
      </c>
      <c r="N1887">
        <v>0.12152637499280801</v>
      </c>
      <c r="O1887">
        <v>3.1982651996227476E-2</v>
      </c>
      <c r="P1887">
        <v>1.8076402323539929E-2</v>
      </c>
      <c r="Q1887">
        <v>0</v>
      </c>
      <c r="R1887">
        <v>6.8338968524002943E-3</v>
      </c>
      <c r="S1887">
        <v>0.17330399334080845</v>
      </c>
      <c r="T1887">
        <v>1.1955610843831528</v>
      </c>
      <c r="U1887">
        <v>0</v>
      </c>
      <c r="V1887">
        <v>1.6101436588104555E-2</v>
      </c>
      <c r="W1887">
        <v>6.4990401984296342E-2</v>
      </c>
      <c r="X1887">
        <v>-1.6048220543905211E-2</v>
      </c>
      <c r="Y1887">
        <v>2.8140770849889713E-2</v>
      </c>
    </row>
    <row r="1888" spans="1:25" x14ac:dyDescent="0.25">
      <c r="A1888" s="879"/>
      <c r="B1888" s="1133">
        <v>1638</v>
      </c>
      <c r="C1888" s="883">
        <v>0.98101062856041477</v>
      </c>
      <c r="D1888" s="883">
        <v>1.0002581853217185</v>
      </c>
      <c r="E1888" s="883">
        <v>1.0232716064327656</v>
      </c>
      <c r="F1888" s="883">
        <v>0.98155474031348977</v>
      </c>
      <c r="G1888" s="883">
        <v>1.0219891096164315</v>
      </c>
      <c r="H1888" s="883">
        <v>1.0042692756303613</v>
      </c>
      <c r="I1888" s="883">
        <v>0.99943861776223253</v>
      </c>
      <c r="K1888">
        <v>1.6005087047120319</v>
      </c>
      <c r="L1888">
        <v>0</v>
      </c>
      <c r="M1888">
        <v>6.4292409389486958E-3</v>
      </c>
      <c r="N1888">
        <v>0.12406659000420564</v>
      </c>
      <c r="O1888">
        <v>3.1420548972664393E-2</v>
      </c>
      <c r="P1888">
        <v>1.8399119864235352E-2</v>
      </c>
      <c r="Q1888">
        <v>0</v>
      </c>
      <c r="R1888">
        <v>6.4292409389486958E-3</v>
      </c>
      <c r="S1888">
        <v>0.17214534468076909</v>
      </c>
      <c r="T1888">
        <v>1.1636558976824718</v>
      </c>
      <c r="U1888">
        <v>0</v>
      </c>
      <c r="V1888">
        <v>1.595943846545805E-2</v>
      </c>
      <c r="W1888">
        <v>6.4553216925893567E-2</v>
      </c>
      <c r="X1888">
        <v>-1.616592170802951E-2</v>
      </c>
      <c r="Y1888">
        <v>2.6474469824363616E-2</v>
      </c>
    </row>
    <row r="1889" spans="1:25" x14ac:dyDescent="0.25">
      <c r="A1889" s="879"/>
      <c r="B1889" s="1133">
        <v>1639</v>
      </c>
      <c r="C1889" s="883">
        <v>1.0041905832151659</v>
      </c>
      <c r="D1889" s="883">
        <v>0.99080106988911376</v>
      </c>
      <c r="E1889" s="883">
        <v>1.0045793827052443</v>
      </c>
      <c r="F1889" s="883">
        <v>0.97629801506174729</v>
      </c>
      <c r="G1889" s="883">
        <v>0.99070830844393787</v>
      </c>
      <c r="H1889" s="883">
        <v>0.96777561681516844</v>
      </c>
      <c r="I1889" s="883">
        <v>0.98760464367604961</v>
      </c>
      <c r="K1889">
        <v>1.5740139075772532</v>
      </c>
      <c r="L1889">
        <v>0</v>
      </c>
      <c r="M1889">
        <v>6.1785233503698477E-3</v>
      </c>
      <c r="N1889">
        <v>0.11597534286091163</v>
      </c>
      <c r="O1889">
        <v>3.0828779698813456E-2</v>
      </c>
      <c r="P1889">
        <v>1.7955376358179825E-2</v>
      </c>
      <c r="Q1889">
        <v>0</v>
      </c>
      <c r="R1889">
        <v>6.1785233503698477E-3</v>
      </c>
      <c r="S1889">
        <v>0.16416785087613014</v>
      </c>
      <c r="T1889">
        <v>1.1577619746303709</v>
      </c>
      <c r="U1889">
        <v>0</v>
      </c>
      <c r="V1889">
        <v>1.5831161473929732E-2</v>
      </c>
      <c r="W1889">
        <v>6.09028321183053E-2</v>
      </c>
      <c r="X1889">
        <v>-1.4851469860051895E-2</v>
      </c>
      <c r="Y1889">
        <v>2.5442059420663087E-2</v>
      </c>
    </row>
    <row r="1890" spans="1:25" x14ac:dyDescent="0.25">
      <c r="A1890" s="879"/>
      <c r="B1890" s="1133">
        <v>1640</v>
      </c>
      <c r="C1890" s="883">
        <v>1.0272048530220839</v>
      </c>
      <c r="D1890" s="883">
        <v>1.0351617627436818</v>
      </c>
      <c r="E1890" s="883">
        <v>0.99533280282061309</v>
      </c>
      <c r="F1890" s="883">
        <v>0.96347577419762342</v>
      </c>
      <c r="G1890" s="883">
        <v>1.0122481853819429</v>
      </c>
      <c r="H1890" s="883">
        <v>1.0037423243120878</v>
      </c>
      <c r="I1890" s="883">
        <v>1.0155996429603538</v>
      </c>
      <c r="K1890">
        <v>1.5582198453534453</v>
      </c>
      <c r="L1890">
        <v>0</v>
      </c>
      <c r="M1890">
        <v>6.193283756363209E-3</v>
      </c>
      <c r="N1890">
        <v>0.11467075956583409</v>
      </c>
      <c r="O1890">
        <v>2.9622212462383904E-2</v>
      </c>
      <c r="P1890">
        <v>1.7661306533166866E-2</v>
      </c>
      <c r="Q1890">
        <v>0</v>
      </c>
      <c r="R1890">
        <v>6.193283756363209E-3</v>
      </c>
      <c r="S1890">
        <v>0.16666542018892297</v>
      </c>
      <c r="T1890">
        <v>1.1427220460051319</v>
      </c>
      <c r="U1890">
        <v>0</v>
      </c>
      <c r="V1890">
        <v>1.5709528861622118E-2</v>
      </c>
      <c r="W1890">
        <v>6.0494919259973801E-2</v>
      </c>
      <c r="X1890">
        <v>-1.4829187668878703E-2</v>
      </c>
      <c r="Y1890">
        <v>2.5502840145289429E-2</v>
      </c>
    </row>
    <row r="1891" spans="1:25" x14ac:dyDescent="0.25">
      <c r="A1891" s="879"/>
      <c r="B1891" s="1133">
        <v>1641</v>
      </c>
      <c r="C1891" s="883">
        <v>1.0228773340506858</v>
      </c>
      <c r="D1891" s="883">
        <v>1.0143566366479788</v>
      </c>
      <c r="E1891" s="883">
        <v>1.0050310768401109</v>
      </c>
      <c r="F1891" s="883">
        <v>0.98561435591518232</v>
      </c>
      <c r="G1891" s="883">
        <v>0.98309674498702826</v>
      </c>
      <c r="H1891" s="883">
        <v>0.9567502513974343</v>
      </c>
      <c r="I1891" s="883">
        <v>1.0059724308968785</v>
      </c>
      <c r="K1891">
        <v>1.5763332387793358</v>
      </c>
      <c r="L1891">
        <v>0</v>
      </c>
      <c r="M1891">
        <v>5.9316962700582225E-3</v>
      </c>
      <c r="N1891">
        <v>0.11141672641011294</v>
      </c>
      <c r="O1891">
        <v>2.998207795616574E-2</v>
      </c>
      <c r="P1891">
        <v>1.8097048643064505E-2</v>
      </c>
      <c r="Q1891">
        <v>0</v>
      </c>
      <c r="R1891">
        <v>5.9316962700582225E-3</v>
      </c>
      <c r="S1891">
        <v>0.16332741643249732</v>
      </c>
      <c r="T1891">
        <v>1.1688016738008904</v>
      </c>
      <c r="U1891">
        <v>0</v>
      </c>
      <c r="V1891">
        <v>1.5731982380041965E-2</v>
      </c>
      <c r="W1891">
        <v>5.8495840432679407E-2</v>
      </c>
      <c r="X1891">
        <v>-1.3945196713640036E-2</v>
      </c>
      <c r="Y1891">
        <v>2.4425669437522342E-2</v>
      </c>
    </row>
    <row r="1892" spans="1:25" x14ac:dyDescent="0.25">
      <c r="A1892" s="879"/>
      <c r="B1892" s="1133">
        <v>1642</v>
      </c>
      <c r="C1892" s="883">
        <v>0.97230333190687102</v>
      </c>
      <c r="D1892" s="883">
        <v>0.98252683807746022</v>
      </c>
      <c r="E1892" s="883">
        <v>1.0020193677232532</v>
      </c>
      <c r="F1892" s="883">
        <v>1.003797874645262</v>
      </c>
      <c r="G1892" s="883">
        <v>1.0099677153119933</v>
      </c>
      <c r="H1892" s="883">
        <v>1.0184410195941984</v>
      </c>
      <c r="I1892" s="883">
        <v>0.97361873310772662</v>
      </c>
      <c r="K1892">
        <v>1.6308828218912133</v>
      </c>
      <c r="L1892">
        <v>0</v>
      </c>
      <c r="M1892">
        <v>6.7555015378827753E-3</v>
      </c>
      <c r="N1892">
        <v>0.12632574284242779</v>
      </c>
      <c r="O1892">
        <v>3.1949094519884404E-2</v>
      </c>
      <c r="P1892">
        <v>1.8441302139527216E-2</v>
      </c>
      <c r="Q1892">
        <v>0</v>
      </c>
      <c r="R1892">
        <v>6.7555015378827753E-3</v>
      </c>
      <c r="S1892">
        <v>0.17019310482895686</v>
      </c>
      <c r="T1892">
        <v>1.1904209395267704</v>
      </c>
      <c r="U1892">
        <v>0</v>
      </c>
      <c r="V1892">
        <v>1.6009204598384154E-2</v>
      </c>
      <c r="W1892">
        <v>6.6422481764558616E-2</v>
      </c>
      <c r="X1892">
        <v>-1.6697001227848098E-2</v>
      </c>
      <c r="Y1892">
        <v>2.7817952898552389E-2</v>
      </c>
    </row>
    <row r="1893" spans="1:25" x14ac:dyDescent="0.25">
      <c r="A1893" s="879"/>
      <c r="B1893" s="1133">
        <v>1643</v>
      </c>
      <c r="C1893" s="883">
        <v>1.0088769230231571</v>
      </c>
      <c r="D1893" s="883">
        <v>1.0357958611013194</v>
      </c>
      <c r="E1893" s="883">
        <v>1.0434476424961707</v>
      </c>
      <c r="F1893" s="883">
        <v>0.99583039473121238</v>
      </c>
      <c r="G1893" s="883">
        <v>1.0037694369172947</v>
      </c>
      <c r="H1893" s="883">
        <v>0.98383254632761385</v>
      </c>
      <c r="I1893" s="883">
        <v>0.9841694235984354</v>
      </c>
      <c r="K1893">
        <v>1.5963887487433321</v>
      </c>
      <c r="L1893">
        <v>0</v>
      </c>
      <c r="M1893">
        <v>5.924178964661542E-3</v>
      </c>
      <c r="N1893">
        <v>0.11778027495480294</v>
      </c>
      <c r="O1893">
        <v>3.0110297967325707E-2</v>
      </c>
      <c r="P1893">
        <v>1.87796122950455E-2</v>
      </c>
      <c r="Q1893">
        <v>0</v>
      </c>
      <c r="R1893">
        <v>5.924178964661542E-3</v>
      </c>
      <c r="S1893">
        <v>0.16337755984221736</v>
      </c>
      <c r="T1893">
        <v>1.1802095670426751</v>
      </c>
      <c r="U1893">
        <v>0</v>
      </c>
      <c r="V1893">
        <v>1.5805943773305089E-2</v>
      </c>
      <c r="W1893">
        <v>6.0679612875955163E-2</v>
      </c>
      <c r="X1893">
        <v>-1.4748834519924103E-2</v>
      </c>
      <c r="Y1893">
        <v>2.4394714511929289E-2</v>
      </c>
    </row>
    <row r="1894" spans="1:25" x14ac:dyDescent="0.25">
      <c r="A1894" s="879"/>
      <c r="B1894" s="1133">
        <v>1644</v>
      </c>
      <c r="C1894" s="883">
        <v>1.0025184549748973</v>
      </c>
      <c r="D1894" s="883">
        <v>0.99815056249290768</v>
      </c>
      <c r="E1894" s="883">
        <v>1.0013207849248318</v>
      </c>
      <c r="F1894" s="883">
        <v>1.0001094910507611</v>
      </c>
      <c r="G1894" s="883">
        <v>1.0054813168117713</v>
      </c>
      <c r="H1894" s="883">
        <v>0.99412215884219179</v>
      </c>
      <c r="I1894" s="883">
        <v>0.982605435669338</v>
      </c>
      <c r="K1894">
        <v>1.6080349213592702</v>
      </c>
      <c r="L1894">
        <v>0</v>
      </c>
      <c r="M1894">
        <v>6.354452539045743E-3</v>
      </c>
      <c r="N1894">
        <v>0.11870335443349213</v>
      </c>
      <c r="O1894">
        <v>3.0791845068550181E-2</v>
      </c>
      <c r="P1894">
        <v>1.8301750783653037E-2</v>
      </c>
      <c r="Q1894">
        <v>0</v>
      </c>
      <c r="R1894">
        <v>6.354452539045743E-3</v>
      </c>
      <c r="S1894">
        <v>0.16503597351278462</v>
      </c>
      <c r="T1894">
        <v>1.1860598024416285</v>
      </c>
      <c r="U1894">
        <v>0</v>
      </c>
      <c r="V1894">
        <v>1.584021644572841E-2</v>
      </c>
      <c r="W1894">
        <v>6.2436248523999573E-2</v>
      </c>
      <c r="X1894">
        <v>-1.5300774355968305E-2</v>
      </c>
      <c r="Y1894">
        <v>2.6166504505402186E-2</v>
      </c>
    </row>
    <row r="1895" spans="1:25" x14ac:dyDescent="0.25">
      <c r="A1895" s="879"/>
      <c r="B1895" s="1133">
        <v>1645</v>
      </c>
      <c r="C1895" s="883">
        <v>1.0011436724425029</v>
      </c>
      <c r="D1895" s="883">
        <v>1.0209500769300237</v>
      </c>
      <c r="E1895" s="883">
        <v>0.98686056948483292</v>
      </c>
      <c r="F1895" s="883">
        <v>1.0341146379583177</v>
      </c>
      <c r="G1895" s="883">
        <v>1.0113828797967443</v>
      </c>
      <c r="H1895" s="883">
        <v>0.99162237524840835</v>
      </c>
      <c r="I1895" s="883">
        <v>1.0242643397243254</v>
      </c>
      <c r="K1895">
        <v>1.6531100694120024</v>
      </c>
      <c r="L1895">
        <v>0</v>
      </c>
      <c r="M1895">
        <v>6.3634189259068582E-3</v>
      </c>
      <c r="N1895">
        <v>0.11635032483594125</v>
      </c>
      <c r="O1895">
        <v>3.0568775553444769E-2</v>
      </c>
      <c r="P1895">
        <v>1.8729692543141701E-2</v>
      </c>
      <c r="Q1895">
        <v>0</v>
      </c>
      <c r="R1895">
        <v>6.3634189259068582E-3</v>
      </c>
      <c r="S1895">
        <v>0.17187915613556082</v>
      </c>
      <c r="T1895">
        <v>1.2266658263507502</v>
      </c>
      <c r="U1895">
        <v>0</v>
      </c>
      <c r="V1895">
        <v>1.5847683877504952E-2</v>
      </c>
      <c r="W1895">
        <v>6.1640735188861567E-2</v>
      </c>
      <c r="X1895">
        <v>-1.4775551563742271E-2</v>
      </c>
      <c r="Y1895">
        <v>2.6203426490538896E-2</v>
      </c>
    </row>
    <row r="1896" spans="1:25" x14ac:dyDescent="0.25">
      <c r="A1896" s="879"/>
      <c r="B1896" s="1133">
        <v>1646</v>
      </c>
      <c r="C1896" s="883">
        <v>0.99556520300071605</v>
      </c>
      <c r="D1896" s="883">
        <v>0.99217330946708482</v>
      </c>
      <c r="E1896" s="883">
        <v>0.98809088694074187</v>
      </c>
      <c r="F1896" s="883">
        <v>0.9806194964356103</v>
      </c>
      <c r="G1896" s="883">
        <v>1.0007995992620511</v>
      </c>
      <c r="H1896" s="883">
        <v>1.0354321442486385</v>
      </c>
      <c r="I1896" s="883">
        <v>1.0303681877343285</v>
      </c>
      <c r="K1896">
        <v>1.6056643706608076</v>
      </c>
      <c r="L1896">
        <v>0</v>
      </c>
      <c r="M1896">
        <v>6.7602513093215459E-3</v>
      </c>
      <c r="N1896">
        <v>0.12383181720314512</v>
      </c>
      <c r="O1896">
        <v>3.1092628175882674E-2</v>
      </c>
      <c r="P1896">
        <v>1.7971952884073192E-2</v>
      </c>
      <c r="Q1896">
        <v>0</v>
      </c>
      <c r="R1896">
        <v>6.7602513093215459E-3</v>
      </c>
      <c r="S1896">
        <v>0.17680216459328274</v>
      </c>
      <c r="T1896">
        <v>1.1631874503082624</v>
      </c>
      <c r="U1896">
        <v>0</v>
      </c>
      <c r="V1896">
        <v>1.5878196180180996E-2</v>
      </c>
      <c r="W1896">
        <v>6.5564043972302366E-2</v>
      </c>
      <c r="X1896">
        <v>-1.6501394268232234E-2</v>
      </c>
      <c r="Y1896">
        <v>2.7837511611909446E-2</v>
      </c>
    </row>
    <row r="1897" spans="1:25" x14ac:dyDescent="0.25">
      <c r="A1897" s="879"/>
      <c r="B1897" s="1133">
        <v>1647</v>
      </c>
      <c r="C1897" s="883">
        <v>1.0072846034415186</v>
      </c>
      <c r="D1897" s="883">
        <v>1.0392551188637511</v>
      </c>
      <c r="E1897" s="883">
        <v>1.0115628501987617</v>
      </c>
      <c r="F1897" s="883">
        <v>1.0051059462853653</v>
      </c>
      <c r="G1897" s="883">
        <v>0.97548563417483791</v>
      </c>
      <c r="H1897" s="883">
        <v>0.98935651496876231</v>
      </c>
      <c r="I1897" s="883">
        <v>0.99018744934715486</v>
      </c>
      <c r="K1897">
        <v>1.608684724134106</v>
      </c>
      <c r="L1897">
        <v>0</v>
      </c>
      <c r="M1897">
        <v>6.1268010828010588E-3</v>
      </c>
      <c r="N1897">
        <v>0.11619975871606322</v>
      </c>
      <c r="O1897">
        <v>3.014671301668443E-2</v>
      </c>
      <c r="P1897">
        <v>1.8518483386584069E-2</v>
      </c>
      <c r="Q1897">
        <v>0</v>
      </c>
      <c r="R1897">
        <v>6.1268010828010588E-3</v>
      </c>
      <c r="S1897">
        <v>0.16488264295549962</v>
      </c>
      <c r="T1897">
        <v>1.1917942165956479</v>
      </c>
      <c r="U1897">
        <v>0</v>
      </c>
      <c r="V1897">
        <v>1.5814485897729172E-2</v>
      </c>
      <c r="W1897">
        <v>6.0810108223437652E-2</v>
      </c>
      <c r="X1897">
        <v>-1.4710760986575151E-2</v>
      </c>
      <c r="Y1897">
        <v>2.5229076329035257E-2</v>
      </c>
    </row>
    <row r="1898" spans="1:25" x14ac:dyDescent="0.25">
      <c r="A1898" s="879"/>
      <c r="B1898" s="1133">
        <v>1648</v>
      </c>
      <c r="C1898" s="883">
        <v>0.99304848588878725</v>
      </c>
      <c r="D1898" s="883">
        <v>0.98706899165187667</v>
      </c>
      <c r="E1898" s="883">
        <v>0.99612409229630339</v>
      </c>
      <c r="F1898" s="883">
        <v>1.0069891625205241</v>
      </c>
      <c r="G1898" s="883">
        <v>0.99124686900591008</v>
      </c>
      <c r="H1898" s="883">
        <v>0.96837960994020644</v>
      </c>
      <c r="I1898" s="883">
        <v>1.0242964560934325</v>
      </c>
      <c r="K1898">
        <v>1.6218105989783116</v>
      </c>
      <c r="L1898">
        <v>0</v>
      </c>
      <c r="M1898">
        <v>6.3087131461748991E-3</v>
      </c>
      <c r="N1898">
        <v>0.11694502947732723</v>
      </c>
      <c r="O1898">
        <v>3.1229070692735075E-2</v>
      </c>
      <c r="P1898">
        <v>1.8436761569975518E-2</v>
      </c>
      <c r="Q1898">
        <v>0</v>
      </c>
      <c r="R1898">
        <v>6.3087131461748991E-3</v>
      </c>
      <c r="S1898">
        <v>0.17224164864435543</v>
      </c>
      <c r="T1898">
        <v>1.1943158970317411</v>
      </c>
      <c r="U1898">
        <v>0</v>
      </c>
      <c r="V1898">
        <v>1.5892073969199689E-2</v>
      </c>
      <c r="W1898">
        <v>6.167043506167947E-2</v>
      </c>
      <c r="X1898">
        <v>-1.4898475295571147E-2</v>
      </c>
      <c r="Y1898">
        <v>2.5978157826868496E-2</v>
      </c>
    </row>
    <row r="1899" spans="1:25" x14ac:dyDescent="0.25">
      <c r="A1899" s="879"/>
      <c r="B1899" s="1133">
        <v>1649</v>
      </c>
      <c r="C1899" s="883">
        <v>0.9632455383517704</v>
      </c>
      <c r="D1899" s="883">
        <v>1.0120157107830952</v>
      </c>
      <c r="E1899" s="883">
        <v>1.0219435404776698</v>
      </c>
      <c r="F1899" s="883">
        <v>0.96983690121293875</v>
      </c>
      <c r="G1899" s="883">
        <v>1.0106616771784835</v>
      </c>
      <c r="H1899" s="883">
        <v>1.0034859509120635</v>
      </c>
      <c r="I1899" s="883">
        <v>0.98033641003037608</v>
      </c>
      <c r="K1899">
        <v>1.5888634472024725</v>
      </c>
      <c r="L1899">
        <v>0</v>
      </c>
      <c r="M1899">
        <v>6.5162791964935261E-3</v>
      </c>
      <c r="N1899">
        <v>0.12549943770918245</v>
      </c>
      <c r="O1899">
        <v>3.1852062974514588E-2</v>
      </c>
      <c r="P1899">
        <v>1.8189155241505627E-2</v>
      </c>
      <c r="Q1899">
        <v>0</v>
      </c>
      <c r="R1899">
        <v>6.5162791964935261E-3</v>
      </c>
      <c r="S1899">
        <v>0.1718010516718928</v>
      </c>
      <c r="T1899">
        <v>1.149787937337192</v>
      </c>
      <c r="U1899">
        <v>0</v>
      </c>
      <c r="V1899">
        <v>1.6061928759554971E-2</v>
      </c>
      <c r="W1899">
        <v>6.5341430096276992E-2</v>
      </c>
      <c r="X1899">
        <v>-1.6502434464349281E-2</v>
      </c>
      <c r="Y1899">
        <v>2.6832877876700915E-2</v>
      </c>
    </row>
    <row r="1900" spans="1:25" x14ac:dyDescent="0.25">
      <c r="A1900" s="879"/>
      <c r="B1900" s="1133">
        <v>1650</v>
      </c>
      <c r="C1900" s="883">
        <v>0.95315341020711519</v>
      </c>
      <c r="D1900" s="883">
        <v>1.0063883582535813</v>
      </c>
      <c r="E1900" s="883">
        <v>0.96586500463015035</v>
      </c>
      <c r="F1900" s="883">
        <v>1.0235186194524792</v>
      </c>
      <c r="G1900" s="883">
        <v>0.99359732403183099</v>
      </c>
      <c r="H1900" s="883">
        <v>1.0097978641740424</v>
      </c>
      <c r="I1900" s="883">
        <v>1.0225600470119458</v>
      </c>
      <c r="K1900">
        <v>1.6650334029359943</v>
      </c>
      <c r="L1900">
        <v>0</v>
      </c>
      <c r="M1900">
        <v>6.9765003872072975E-3</v>
      </c>
      <c r="N1900">
        <v>0.12364668600149853</v>
      </c>
      <c r="O1900">
        <v>3.2310089938679037E-2</v>
      </c>
      <c r="P1900">
        <v>1.839825859256039E-2</v>
      </c>
      <c r="Q1900">
        <v>0</v>
      </c>
      <c r="R1900">
        <v>6.9765003872072975E-3</v>
      </c>
      <c r="S1900">
        <v>0.18148511162188807</v>
      </c>
      <c r="T1900">
        <v>1.2144984386355593</v>
      </c>
      <c r="U1900">
        <v>0</v>
      </c>
      <c r="V1900">
        <v>1.6121853889602841E-2</v>
      </c>
      <c r="W1900">
        <v>6.6199559789814746E-2</v>
      </c>
      <c r="X1900">
        <v>-1.6354582357351221E-2</v>
      </c>
      <c r="Y1900">
        <v>2.8727986823741988E-2</v>
      </c>
    </row>
    <row r="1901" spans="1:25" x14ac:dyDescent="0.25">
      <c r="A1901" s="879"/>
      <c r="B1901" s="1133">
        <v>1651</v>
      </c>
      <c r="C1901" s="883">
        <v>1.0039230958541521</v>
      </c>
      <c r="D1901" s="883">
        <v>0.9559661740990979</v>
      </c>
      <c r="E1901" s="883">
        <v>1.0178317930225125</v>
      </c>
      <c r="F1901" s="883">
        <v>0.96980499609374304</v>
      </c>
      <c r="G1901" s="883">
        <v>1.0241790987578578</v>
      </c>
      <c r="H1901" s="883">
        <v>0.98389755611931173</v>
      </c>
      <c r="I1901" s="883">
        <v>0.97435769116588045</v>
      </c>
      <c r="K1901">
        <v>1.5723584658485876</v>
      </c>
      <c r="L1901">
        <v>0</v>
      </c>
      <c r="M1901">
        <v>6.3108197467846459E-3</v>
      </c>
      <c r="N1901">
        <v>0.12080537791917144</v>
      </c>
      <c r="O1901">
        <v>3.1269769558022471E-2</v>
      </c>
      <c r="P1901">
        <v>1.8015347047412957E-2</v>
      </c>
      <c r="Q1901">
        <v>0</v>
      </c>
      <c r="R1901">
        <v>6.3108197467846459E-3</v>
      </c>
      <c r="S1901">
        <v>0.16328988351118776</v>
      </c>
      <c r="T1901">
        <v>1.1498238732144681</v>
      </c>
      <c r="U1901">
        <v>0</v>
      </c>
      <c r="V1901">
        <v>1.583260795487523E-2</v>
      </c>
      <c r="W1901">
        <v>6.3024991023002311E-2</v>
      </c>
      <c r="X1901">
        <v>-1.5690216812770625E-2</v>
      </c>
      <c r="Y1901">
        <v>2.5986832433218504E-2</v>
      </c>
    </row>
    <row r="1902" spans="1:25" x14ac:dyDescent="0.25">
      <c r="A1902" s="879"/>
      <c r="B1902" s="1133">
        <v>1652</v>
      </c>
      <c r="C1902" s="883">
        <v>0.9953229161421141</v>
      </c>
      <c r="D1902" s="883">
        <v>0.99692856905891603</v>
      </c>
      <c r="E1902" s="883">
        <v>1.005897956316306</v>
      </c>
      <c r="F1902" s="883">
        <v>1.0079886310066317</v>
      </c>
      <c r="G1902" s="883">
        <v>0.99889234662073545</v>
      </c>
      <c r="H1902" s="883">
        <v>1.0177306846144509</v>
      </c>
      <c r="I1902" s="883">
        <v>1.0168207861615746</v>
      </c>
      <c r="K1902">
        <v>1.6324304384734485</v>
      </c>
      <c r="L1902">
        <v>0</v>
      </c>
      <c r="M1902">
        <v>6.5297983434232983E-3</v>
      </c>
      <c r="N1902">
        <v>0.12280860051426415</v>
      </c>
      <c r="O1902">
        <v>3.1025683370618215E-2</v>
      </c>
      <c r="P1902">
        <v>1.8603064588126543E-2</v>
      </c>
      <c r="Q1902">
        <v>0</v>
      </c>
      <c r="R1902">
        <v>6.5297983434232983E-3</v>
      </c>
      <c r="S1902">
        <v>0.1734352444666071</v>
      </c>
      <c r="T1902">
        <v>1.1953182362273811</v>
      </c>
      <c r="U1902">
        <v>0</v>
      </c>
      <c r="V1902">
        <v>1.5879529155744955E-2</v>
      </c>
      <c r="W1902">
        <v>6.4449094067151616E-2</v>
      </c>
      <c r="X1902">
        <v>-1.597756123388477E-2</v>
      </c>
      <c r="Y1902">
        <v>2.6888547317439258E-2</v>
      </c>
    </row>
    <row r="1903" spans="1:25" x14ac:dyDescent="0.25">
      <c r="A1903" s="879"/>
      <c r="B1903" s="1133">
        <v>1653</v>
      </c>
      <c r="C1903" s="883">
        <v>1.002731155508013</v>
      </c>
      <c r="D1903" s="883">
        <v>0.99813269416025707</v>
      </c>
      <c r="E1903" s="883">
        <v>0.99136166702620387</v>
      </c>
      <c r="F1903" s="883">
        <v>1.0193974605037484</v>
      </c>
      <c r="G1903" s="883">
        <v>0.98246529292825024</v>
      </c>
      <c r="H1903" s="883">
        <v>1.0057962877177855</v>
      </c>
      <c r="I1903" s="883">
        <v>0.98220158314470885</v>
      </c>
      <c r="K1903">
        <v>1.6335271075291085</v>
      </c>
      <c r="L1903">
        <v>0</v>
      </c>
      <c r="M1903">
        <v>6.4839040377776E-3</v>
      </c>
      <c r="N1903">
        <v>0.11934713664568773</v>
      </c>
      <c r="O1903">
        <v>3.0793888349142935E-2</v>
      </c>
      <c r="P1903">
        <v>1.84773879339575E-2</v>
      </c>
      <c r="Q1903">
        <v>0</v>
      </c>
      <c r="R1903">
        <v>6.4839040377776E-3</v>
      </c>
      <c r="S1903">
        <v>0.16558636566762083</v>
      </c>
      <c r="T1903">
        <v>1.2091228288193723</v>
      </c>
      <c r="U1903">
        <v>0</v>
      </c>
      <c r="V1903">
        <v>1.583906294536859E-2</v>
      </c>
      <c r="W1903">
        <v>6.3086591486309559E-2</v>
      </c>
      <c r="X1903">
        <v>-1.5425717054024115E-2</v>
      </c>
      <c r="Y1903">
        <v>2.6699562735672165E-2</v>
      </c>
    </row>
    <row r="1904" spans="1:25" x14ac:dyDescent="0.25">
      <c r="A1904" s="879"/>
      <c r="B1904" s="1133">
        <v>1654</v>
      </c>
      <c r="C1904" s="883">
        <v>1.0020484075940876</v>
      </c>
      <c r="D1904" s="883">
        <v>0.98062466108790258</v>
      </c>
      <c r="E1904" s="883">
        <v>1.026887434475082</v>
      </c>
      <c r="F1904" s="883">
        <v>1.0166470610203899</v>
      </c>
      <c r="G1904" s="883">
        <v>0.98963638153494082</v>
      </c>
      <c r="H1904" s="883">
        <v>0.99984262635851151</v>
      </c>
      <c r="I1904" s="883">
        <v>1.0037924643310434</v>
      </c>
      <c r="K1904">
        <v>1.636334952580637</v>
      </c>
      <c r="L1904">
        <v>0</v>
      </c>
      <c r="M1904">
        <v>6.302210294784151E-3</v>
      </c>
      <c r="N1904">
        <v>0.12226724940562023</v>
      </c>
      <c r="O1904">
        <v>3.1002409368442608E-2</v>
      </c>
      <c r="P1904">
        <v>1.8973603011855283E-2</v>
      </c>
      <c r="Q1904">
        <v>0</v>
      </c>
      <c r="R1904">
        <v>6.302210294784151E-3</v>
      </c>
      <c r="S1904">
        <v>0.16921753474198831</v>
      </c>
      <c r="T1904">
        <v>1.2051907443395204</v>
      </c>
      <c r="U1904">
        <v>0</v>
      </c>
      <c r="V1904">
        <v>1.5842767305587611E-2</v>
      </c>
      <c r="W1904">
        <v>6.3504025017602508E-2</v>
      </c>
      <c r="X1904">
        <v>-1.5614760852286792E-2</v>
      </c>
      <c r="Y1904">
        <v>2.5951380242305786E-2</v>
      </c>
    </row>
    <row r="1905" spans="1:25" x14ac:dyDescent="0.25">
      <c r="A1905" s="879"/>
      <c r="B1905" s="1133">
        <v>1655</v>
      </c>
      <c r="C1905" s="883">
        <v>0.98621736324831466</v>
      </c>
      <c r="D1905" s="883">
        <v>0.97733952173755623</v>
      </c>
      <c r="E1905" s="883">
        <v>0.97489344610924766</v>
      </c>
      <c r="F1905" s="883">
        <v>0.98171837205383305</v>
      </c>
      <c r="G1905" s="883">
        <v>1.0313650831431127</v>
      </c>
      <c r="H1905" s="883">
        <v>0.98162797207346886</v>
      </c>
      <c r="I1905" s="883">
        <v>0.99092137749193498</v>
      </c>
      <c r="K1905">
        <v>1.5916226948035446</v>
      </c>
      <c r="L1905">
        <v>0</v>
      </c>
      <c r="M1905">
        <v>6.5887426478767773E-3</v>
      </c>
      <c r="N1905">
        <v>0.11835021978918096</v>
      </c>
      <c r="O1905">
        <v>3.1587797256408791E-2</v>
      </c>
      <c r="P1905">
        <v>1.7703791118284372E-2</v>
      </c>
      <c r="Q1905">
        <v>0</v>
      </c>
      <c r="R1905">
        <v>6.5887426478767773E-3</v>
      </c>
      <c r="S1905">
        <v>0.16863683205686752</v>
      </c>
      <c r="T1905">
        <v>1.1647327509669194</v>
      </c>
      <c r="U1905">
        <v>0</v>
      </c>
      <c r="V1905">
        <v>1.5930099477260175E-2</v>
      </c>
      <c r="W1905">
        <v>6.3076947141321393E-2</v>
      </c>
      <c r="X1905">
        <v>-1.5527012474181813E-2</v>
      </c>
      <c r="Y1905">
        <v>2.7131269471483602E-2</v>
      </c>
    </row>
    <row r="1906" spans="1:25" x14ac:dyDescent="0.25">
      <c r="A1906" s="879"/>
      <c r="B1906" s="1133">
        <v>1656</v>
      </c>
      <c r="C1906" s="883">
        <v>1.0172117299314531</v>
      </c>
      <c r="D1906" s="883">
        <v>0.96137214418529138</v>
      </c>
      <c r="E1906" s="883">
        <v>0.99470594788617617</v>
      </c>
      <c r="F1906" s="883">
        <v>1.0137432463779188</v>
      </c>
      <c r="G1906" s="883">
        <v>1.0022984555279197</v>
      </c>
      <c r="H1906" s="883">
        <v>0.98258029568181171</v>
      </c>
      <c r="I1906" s="883">
        <v>1.0183734789653582</v>
      </c>
      <c r="K1906">
        <v>1.6256978745193424</v>
      </c>
      <c r="L1906">
        <v>0</v>
      </c>
      <c r="M1906">
        <v>6.33107663382003E-3</v>
      </c>
      <c r="N1906">
        <v>0.11711319098775023</v>
      </c>
      <c r="O1906">
        <v>3.0811814898077196E-2</v>
      </c>
      <c r="P1906">
        <v>1.846924657363257E-2</v>
      </c>
      <c r="Q1906">
        <v>0</v>
      </c>
      <c r="R1906">
        <v>6.33107663382003E-3</v>
      </c>
      <c r="S1906">
        <v>0.1682747044537255</v>
      </c>
      <c r="T1906">
        <v>1.2023531675709569</v>
      </c>
      <c r="U1906">
        <v>0</v>
      </c>
      <c r="V1906">
        <v>1.5761667400420811E-2</v>
      </c>
      <c r="W1906">
        <v>6.1802708069857298E-2</v>
      </c>
      <c r="X1906">
        <v>-1.4958872123516749E-2</v>
      </c>
      <c r="Y1906">
        <v>2.6070246688438724E-2</v>
      </c>
    </row>
    <row r="1907" spans="1:25" x14ac:dyDescent="0.25">
      <c r="A1907" s="879"/>
      <c r="B1907" s="1133">
        <v>1657</v>
      </c>
      <c r="C1907" s="883">
        <v>1.0063127751480916</v>
      </c>
      <c r="D1907" s="883">
        <v>0.9827960968460745</v>
      </c>
      <c r="E1907" s="883">
        <v>1.0315228719424356</v>
      </c>
      <c r="F1907" s="883">
        <v>0.98021549112119555</v>
      </c>
      <c r="G1907" s="883">
        <v>1.0010699820657882</v>
      </c>
      <c r="H1907" s="883">
        <v>0.97631827771051871</v>
      </c>
      <c r="I1907" s="883">
        <v>1.0103008920643295</v>
      </c>
      <c r="K1907">
        <v>1.5859752841234689</v>
      </c>
      <c r="L1907">
        <v>0</v>
      </c>
      <c r="M1907">
        <v>6.0969873662777875E-3</v>
      </c>
      <c r="N1907">
        <v>0.11909911800826865</v>
      </c>
      <c r="O1907">
        <v>3.0839391808888186E-2</v>
      </c>
      <c r="P1907">
        <v>1.8431903440236836E-2</v>
      </c>
      <c r="Q1907">
        <v>0</v>
      </c>
      <c r="R1907">
        <v>6.0969873662777875E-3</v>
      </c>
      <c r="S1907">
        <v>0.16819447395052578</v>
      </c>
      <c r="T1907">
        <v>1.1619188470946997</v>
      </c>
      <c r="U1907">
        <v>0</v>
      </c>
      <c r="V1907">
        <v>1.5819712631723298E-2</v>
      </c>
      <c r="W1907">
        <v>6.1717981499708578E-2</v>
      </c>
      <c r="X1907">
        <v>-1.5152453061619563E-2</v>
      </c>
      <c r="Y1907">
        <v>2.5106308751036144E-2</v>
      </c>
    </row>
    <row r="1908" spans="1:25" x14ac:dyDescent="0.25">
      <c r="A1908" s="879"/>
      <c r="B1908" s="1133">
        <v>1658</v>
      </c>
      <c r="C1908" s="883">
        <v>1.0284828721006989</v>
      </c>
      <c r="D1908" s="883">
        <v>1.0035301861929282</v>
      </c>
      <c r="E1908" s="883">
        <v>1.010769003507044</v>
      </c>
      <c r="F1908" s="883">
        <v>1.0211471319430567</v>
      </c>
      <c r="G1908" s="883">
        <v>1.0273696777352512</v>
      </c>
      <c r="H1908" s="883">
        <v>1.0032053090109498</v>
      </c>
      <c r="I1908" s="883">
        <v>1.0084513085427371</v>
      </c>
      <c r="K1908">
        <v>1.6299404312455423</v>
      </c>
      <c r="L1908">
        <v>0</v>
      </c>
      <c r="M1908">
        <v>6.1843701817141548E-3</v>
      </c>
      <c r="N1908">
        <v>0.11715385534416002</v>
      </c>
      <c r="O1908">
        <v>2.994206047927055E-2</v>
      </c>
      <c r="P1908">
        <v>1.8771908799333402E-2</v>
      </c>
      <c r="Q1908">
        <v>0</v>
      </c>
      <c r="R1908">
        <v>6.1843701817141548E-3</v>
      </c>
      <c r="S1908">
        <v>0.16557384571129957</v>
      </c>
      <c r="T1908">
        <v>1.2108299163783489</v>
      </c>
      <c r="U1908">
        <v>0</v>
      </c>
      <c r="V1908">
        <v>1.5702933945868674E-2</v>
      </c>
      <c r="W1908">
        <v>6.1333475789198913E-2</v>
      </c>
      <c r="X1908">
        <v>-1.4833700833380072E-2</v>
      </c>
      <c r="Y1908">
        <v>2.5466135631441764E-2</v>
      </c>
    </row>
    <row r="1909" spans="1:25" x14ac:dyDescent="0.25">
      <c r="A1909" s="879"/>
      <c r="B1909" s="1133">
        <v>1659</v>
      </c>
      <c r="C1909" s="883">
        <v>0.98558922930253534</v>
      </c>
      <c r="D1909" s="883">
        <v>0.99245327072308709</v>
      </c>
      <c r="E1909" s="883">
        <v>1.0344605644101541</v>
      </c>
      <c r="F1909" s="883">
        <v>0.96904542362870116</v>
      </c>
      <c r="G1909" s="883">
        <v>0.97106366083385376</v>
      </c>
      <c r="H1909" s="883">
        <v>0.98561086555735511</v>
      </c>
      <c r="I1909" s="883">
        <v>0.99517023517442493</v>
      </c>
      <c r="K1909">
        <v>1.5795382807217193</v>
      </c>
      <c r="L1909">
        <v>0</v>
      </c>
      <c r="M1909">
        <v>6.240974236940585E-3</v>
      </c>
      <c r="N1909">
        <v>0.12244220478953058</v>
      </c>
      <c r="O1909">
        <v>3.1362090055760017E-2</v>
      </c>
      <c r="P1909">
        <v>1.8310473688015094E-2</v>
      </c>
      <c r="Q1909">
        <v>0</v>
      </c>
      <c r="R1909">
        <v>6.240974236940585E-3</v>
      </c>
      <c r="S1909">
        <v>0.1696116657671812</v>
      </c>
      <c r="T1909">
        <v>1.148625682364298</v>
      </c>
      <c r="U1909">
        <v>0</v>
      </c>
      <c r="V1909">
        <v>1.5933622453483152E-2</v>
      </c>
      <c r="W1909">
        <v>6.3359125174444003E-2</v>
      </c>
      <c r="X1909">
        <v>-1.5805804626710739E-2</v>
      </c>
      <c r="Y1909">
        <v>2.5699221055717952E-2</v>
      </c>
    </row>
    <row r="1910" spans="1:25" x14ac:dyDescent="0.25">
      <c r="A1910" s="879"/>
      <c r="B1910" s="1133">
        <v>1660</v>
      </c>
      <c r="C1910" s="883">
        <v>0.99240609405938385</v>
      </c>
      <c r="D1910" s="883">
        <v>1.0073988362102069</v>
      </c>
      <c r="E1910" s="883">
        <v>0.99193222395406178</v>
      </c>
      <c r="F1910" s="883">
        <v>0.98593616264134076</v>
      </c>
      <c r="G1910" s="883">
        <v>0.96470021638285497</v>
      </c>
      <c r="H1910" s="883">
        <v>1.0407767739371387</v>
      </c>
      <c r="I1910" s="883">
        <v>0.99163240695580968</v>
      </c>
      <c r="K1910">
        <v>1.6064171605456004</v>
      </c>
      <c r="L1910">
        <v>0</v>
      </c>
      <c r="M1910">
        <v>6.7479711566274898E-3</v>
      </c>
      <c r="N1910">
        <v>0.12431283364256426</v>
      </c>
      <c r="O1910">
        <v>3.099900174167847E-2</v>
      </c>
      <c r="P1910">
        <v>1.8028546382397172E-2</v>
      </c>
      <c r="Q1910">
        <v>0</v>
      </c>
      <c r="R1910">
        <v>6.7479711566274898E-3</v>
      </c>
      <c r="S1910">
        <v>0.17084120608443135</v>
      </c>
      <c r="T1910">
        <v>1.1694233992356657</v>
      </c>
      <c r="U1910">
        <v>0</v>
      </c>
      <c r="V1910">
        <v>1.5895627549825667E-2</v>
      </c>
      <c r="W1910">
        <v>6.5692765368865674E-2</v>
      </c>
      <c r="X1910">
        <v>-1.6563163588729078E-2</v>
      </c>
      <c r="Y1910">
        <v>2.7786944128901016E-2</v>
      </c>
    </row>
    <row r="1911" spans="1:25" x14ac:dyDescent="0.25">
      <c r="A1911" s="879"/>
      <c r="B1911" s="1133">
        <v>1661</v>
      </c>
      <c r="C1911" s="883">
        <v>1.0102365404447413</v>
      </c>
      <c r="D1911" s="883">
        <v>1.0223068233816697</v>
      </c>
      <c r="E1911" s="883">
        <v>1.0321512862238285</v>
      </c>
      <c r="F1911" s="883">
        <v>0.99218443281012869</v>
      </c>
      <c r="G1911" s="883">
        <v>1.019350867686708</v>
      </c>
      <c r="H1911" s="883">
        <v>1.0017225292126493</v>
      </c>
      <c r="I1911" s="883">
        <v>1.0141374714722529</v>
      </c>
      <c r="K1911">
        <v>1.601649861915325</v>
      </c>
      <c r="L1911">
        <v>0</v>
      </c>
      <c r="M1911">
        <v>6.1193850765625443E-3</v>
      </c>
      <c r="N1911">
        <v>0.11964771341935264</v>
      </c>
      <c r="O1911">
        <v>3.0238498100636144E-2</v>
      </c>
      <c r="P1911">
        <v>1.8649038294899466E-2</v>
      </c>
      <c r="Q1911">
        <v>0</v>
      </c>
      <c r="R1911">
        <v>6.1193850765625443E-3</v>
      </c>
      <c r="S1911">
        <v>0.1692662431073956</v>
      </c>
      <c r="T1911">
        <v>1.1760949811559884</v>
      </c>
      <c r="U1911">
        <v>0</v>
      </c>
      <c r="V1911">
        <v>1.5798671310634293E-2</v>
      </c>
      <c r="W1911">
        <v>6.1983169915941563E-2</v>
      </c>
      <c r="X1911">
        <v>-1.5226991924868477E-2</v>
      </c>
      <c r="Y1911">
        <v>2.5198538535344955E-2</v>
      </c>
    </row>
    <row r="1912" spans="1:25" x14ac:dyDescent="0.25">
      <c r="A1912" s="879"/>
      <c r="B1912" s="1133">
        <v>1662</v>
      </c>
      <c r="C1912" s="883">
        <v>0.9822359878386453</v>
      </c>
      <c r="D1912" s="883">
        <v>0.97549800781339291</v>
      </c>
      <c r="E1912" s="883">
        <v>1.0245178250655658</v>
      </c>
      <c r="F1912" s="883">
        <v>0.98536379156270693</v>
      </c>
      <c r="G1912" s="883">
        <v>1.0069874892122315</v>
      </c>
      <c r="H1912" s="883">
        <v>0.98464226476280459</v>
      </c>
      <c r="I1912" s="883">
        <v>0.97624077663499953</v>
      </c>
      <c r="K1912">
        <v>1.5984233371045682</v>
      </c>
      <c r="L1912">
        <v>0</v>
      </c>
      <c r="M1912">
        <v>6.3596137139160167E-3</v>
      </c>
      <c r="N1912">
        <v>0.12294936239442107</v>
      </c>
      <c r="O1912">
        <v>3.1696388384525709E-2</v>
      </c>
      <c r="P1912">
        <v>1.8407841638146651E-2</v>
      </c>
      <c r="Q1912">
        <v>0</v>
      </c>
      <c r="R1912">
        <v>6.3596137139160167E-3</v>
      </c>
      <c r="S1912">
        <v>0.16705925193395438</v>
      </c>
      <c r="T1912">
        <v>1.1681489233693556</v>
      </c>
      <c r="U1912">
        <v>0</v>
      </c>
      <c r="V1912">
        <v>1.5952505805006859E-2</v>
      </c>
      <c r="W1912">
        <v>6.3932714470795501E-2</v>
      </c>
      <c r="X1912">
        <v>-1.5911408196500887E-2</v>
      </c>
      <c r="Y1912">
        <v>2.6187757304863099E-2</v>
      </c>
    </row>
    <row r="1913" spans="1:25" x14ac:dyDescent="0.25">
      <c r="A1913" s="879"/>
      <c r="B1913" s="1133">
        <v>1663</v>
      </c>
      <c r="C1913" s="883">
        <v>1.0081324731469032</v>
      </c>
      <c r="D1913" s="883">
        <v>1.0100273521483443</v>
      </c>
      <c r="E1913" s="883">
        <v>1.0054910904316445</v>
      </c>
      <c r="F1913" s="883">
        <v>0.99191665841084276</v>
      </c>
      <c r="G1913" s="883">
        <v>0.97724602273053962</v>
      </c>
      <c r="H1913" s="883">
        <v>1.0027745210945695</v>
      </c>
      <c r="I1913" s="883">
        <v>1.0084040788745368</v>
      </c>
      <c r="K1913">
        <v>1.601410054124828</v>
      </c>
      <c r="L1913">
        <v>0</v>
      </c>
      <c r="M1913">
        <v>6.3174658614767393E-3</v>
      </c>
      <c r="N1913">
        <v>0.11874361049470177</v>
      </c>
      <c r="O1913">
        <v>3.0472289444978984E-2</v>
      </c>
      <c r="P1913">
        <v>1.8278410555342548E-2</v>
      </c>
      <c r="Q1913">
        <v>0</v>
      </c>
      <c r="R1913">
        <v>6.3174658614767393E-3</v>
      </c>
      <c r="S1913">
        <v>0.16881236857327325</v>
      </c>
      <c r="T1913">
        <v>1.1762668590355752</v>
      </c>
      <c r="U1913">
        <v>0</v>
      </c>
      <c r="V1913">
        <v>1.5809934074799421E-2</v>
      </c>
      <c r="W1913">
        <v>6.2328379502190265E-2</v>
      </c>
      <c r="X1913">
        <v>-1.5315997506591185E-2</v>
      </c>
      <c r="Y1913">
        <v>2.6014199950556233E-2</v>
      </c>
    </row>
    <row r="1914" spans="1:25" x14ac:dyDescent="0.25">
      <c r="A1914" s="879"/>
      <c r="B1914" s="1133">
        <v>1664</v>
      </c>
      <c r="C1914" s="883">
        <v>0.99755982693947498</v>
      </c>
      <c r="D1914" s="883">
        <v>0.97656528728979963</v>
      </c>
      <c r="E1914" s="883">
        <v>1.0208278517354989</v>
      </c>
      <c r="F1914" s="883">
        <v>1.0188601171466949</v>
      </c>
      <c r="G1914" s="883">
        <v>1.0095325806846409</v>
      </c>
      <c r="H1914" s="883">
        <v>0.95704509299039531</v>
      </c>
      <c r="I1914" s="883">
        <v>0.96684869946707075</v>
      </c>
      <c r="K1914">
        <v>1.6240468478897274</v>
      </c>
      <c r="L1914">
        <v>0</v>
      </c>
      <c r="M1914">
        <v>6.1031323795047833E-3</v>
      </c>
      <c r="N1914">
        <v>0.11734867447175418</v>
      </c>
      <c r="O1914">
        <v>3.1199265844121846E-2</v>
      </c>
      <c r="P1914">
        <v>1.8818618329227335E-2</v>
      </c>
      <c r="Q1914">
        <v>0</v>
      </c>
      <c r="R1914">
        <v>6.1031323795047833E-3</v>
      </c>
      <c r="S1914">
        <v>0.16132833883880818</v>
      </c>
      <c r="T1914">
        <v>1.2079283189932628</v>
      </c>
      <c r="U1914">
        <v>0</v>
      </c>
      <c r="V1914">
        <v>1.5867247080540051E-2</v>
      </c>
      <c r="W1914">
        <v>6.1131293971874723E-2</v>
      </c>
      <c r="X1914">
        <v>-1.4706522461595085E-2</v>
      </c>
      <c r="Y1914">
        <v>2.5131612821733339E-2</v>
      </c>
    </row>
    <row r="1915" spans="1:25" x14ac:dyDescent="0.25">
      <c r="A1915" s="879"/>
      <c r="B1915" s="1133">
        <v>1665</v>
      </c>
      <c r="C1915" s="883">
        <v>1.0227589410484301</v>
      </c>
      <c r="D1915" s="883">
        <v>1.005244117965292</v>
      </c>
      <c r="E1915" s="883">
        <v>1.0201574744003543</v>
      </c>
      <c r="F1915" s="883">
        <v>0.99096616428509188</v>
      </c>
      <c r="G1915" s="883">
        <v>1.0222455125525536</v>
      </c>
      <c r="H1915" s="883">
        <v>0.98816421302673585</v>
      </c>
      <c r="I1915" s="883">
        <v>1.0141234690134191</v>
      </c>
      <c r="K1915">
        <v>1.5932847892179405</v>
      </c>
      <c r="L1915">
        <v>0</v>
      </c>
      <c r="M1915">
        <v>6.0710004664753974E-3</v>
      </c>
      <c r="N1915">
        <v>0.11661515610019009</v>
      </c>
      <c r="O1915">
        <v>3.0080879281885554E-2</v>
      </c>
      <c r="P1915">
        <v>1.8429855008505865E-2</v>
      </c>
      <c r="Q1915">
        <v>0</v>
      </c>
      <c r="R1915">
        <v>6.0710004664753974E-3</v>
      </c>
      <c r="S1915">
        <v>0.16656705271789862</v>
      </c>
      <c r="T1915">
        <v>1.174870417595177</v>
      </c>
      <c r="U1915">
        <v>0</v>
      </c>
      <c r="V1915">
        <v>1.5732599337522968E-2</v>
      </c>
      <c r="W1915">
        <v>6.0769237012264249E-2</v>
      </c>
      <c r="X1915">
        <v>-1.4779707158649907E-2</v>
      </c>
      <c r="Y1915">
        <v>2.4999299323145631E-2</v>
      </c>
    </row>
    <row r="1916" spans="1:25" x14ac:dyDescent="0.25">
      <c r="A1916" s="879"/>
      <c r="B1916" s="1133">
        <v>1666</v>
      </c>
      <c r="C1916" s="883">
        <v>1.0172400982339338</v>
      </c>
      <c r="D1916" s="883">
        <v>0.98049768580641139</v>
      </c>
      <c r="E1916" s="883">
        <v>1.0046742587888609</v>
      </c>
      <c r="F1916" s="883">
        <v>1.0203173936479619</v>
      </c>
      <c r="G1916" s="883">
        <v>0.97886043489685204</v>
      </c>
      <c r="H1916" s="883">
        <v>1.0071113021472036</v>
      </c>
      <c r="I1916" s="883">
        <v>1.0186853377962695</v>
      </c>
      <c r="K1916">
        <v>1.6380480316831156</v>
      </c>
      <c r="L1916">
        <v>0</v>
      </c>
      <c r="M1916">
        <v>6.3763302188358656E-3</v>
      </c>
      <c r="N1916">
        <v>0.11970513902466869</v>
      </c>
      <c r="O1916">
        <v>3.0560736327116929E-2</v>
      </c>
      <c r="P1916">
        <v>1.8728804876458404E-2</v>
      </c>
      <c r="Q1916">
        <v>0</v>
      </c>
      <c r="R1916">
        <v>6.3763302188358656E-3</v>
      </c>
      <c r="S1916">
        <v>0.16956665714247776</v>
      </c>
      <c r="T1916">
        <v>1.2099614130499223</v>
      </c>
      <c r="U1916">
        <v>0</v>
      </c>
      <c r="V1916">
        <v>1.5761517940564886E-2</v>
      </c>
      <c r="W1916">
        <v>6.2858526214126659E-2</v>
      </c>
      <c r="X1916">
        <v>-1.5351355788915539E-2</v>
      </c>
      <c r="Y1916">
        <v>2.6256592896696081E-2</v>
      </c>
    </row>
    <row r="1917" spans="1:25" x14ac:dyDescent="0.25">
      <c r="A1917" s="879"/>
      <c r="B1917" s="1133">
        <v>1667</v>
      </c>
      <c r="C1917" s="883">
        <v>1.0011597128939695</v>
      </c>
      <c r="D1917" s="883">
        <v>0.99709365325518351</v>
      </c>
      <c r="E1917" s="883">
        <v>1.0008479967344308</v>
      </c>
      <c r="F1917" s="883">
        <v>0.99626418266515637</v>
      </c>
      <c r="G1917" s="883">
        <v>1.0314723746117027</v>
      </c>
      <c r="H1917" s="883">
        <v>0.96365821525740258</v>
      </c>
      <c r="I1917" s="883">
        <v>1.0159117361548009</v>
      </c>
      <c r="K1917">
        <v>1.6022557483520548</v>
      </c>
      <c r="L1917">
        <v>0</v>
      </c>
      <c r="M1917">
        <v>6.1735513881711595E-3</v>
      </c>
      <c r="N1917">
        <v>0.11524331753233905</v>
      </c>
      <c r="O1917">
        <v>3.0847107931797589E-2</v>
      </c>
      <c r="P1917">
        <v>1.8288576898954294E-2</v>
      </c>
      <c r="Q1917">
        <v>0</v>
      </c>
      <c r="R1917">
        <v>6.1735513881711595E-3</v>
      </c>
      <c r="S1917">
        <v>0.16907730602837129</v>
      </c>
      <c r="T1917">
        <v>1.1815082878615824</v>
      </c>
      <c r="U1917">
        <v>0</v>
      </c>
      <c r="V1917">
        <v>1.5847596632040981E-2</v>
      </c>
      <c r="W1917">
        <v>6.0630547364150474E-2</v>
      </c>
      <c r="X1917">
        <v>-1.4608577662487791E-2</v>
      </c>
      <c r="Y1917">
        <v>2.5421585765305177E-2</v>
      </c>
    </row>
    <row r="1918" spans="1:25" x14ac:dyDescent="0.25">
      <c r="A1918" s="879"/>
      <c r="B1918" s="1133">
        <v>1668</v>
      </c>
      <c r="C1918" s="883">
        <v>1.0008775442142273</v>
      </c>
      <c r="D1918" s="883">
        <v>0.99494529691328726</v>
      </c>
      <c r="E1918" s="883">
        <v>0.99871615969371053</v>
      </c>
      <c r="F1918" s="883">
        <v>1.0281695067396273</v>
      </c>
      <c r="G1918" s="883">
        <v>0.97645873451259313</v>
      </c>
      <c r="H1918" s="883">
        <v>1.0363641073180134</v>
      </c>
      <c r="I1918" s="883">
        <v>0.98195537567597158</v>
      </c>
      <c r="K1918">
        <v>1.6529209994071752</v>
      </c>
      <c r="L1918">
        <v>0</v>
      </c>
      <c r="M1918">
        <v>6.6599890006989217E-3</v>
      </c>
      <c r="N1918">
        <v>0.12393174131380906</v>
      </c>
      <c r="O1918">
        <v>3.0884253006178586E-2</v>
      </c>
      <c r="P1918">
        <v>1.8745780052826084E-2</v>
      </c>
      <c r="Q1918">
        <v>0</v>
      </c>
      <c r="R1918">
        <v>6.6599890006989217E-3</v>
      </c>
      <c r="S1918">
        <v>0.16763442693932756</v>
      </c>
      <c r="T1918">
        <v>1.2193867865392365</v>
      </c>
      <c r="U1918">
        <v>0</v>
      </c>
      <c r="V1918">
        <v>1.5849131781049828E-2</v>
      </c>
      <c r="W1918">
        <v>6.5270679783200336E-2</v>
      </c>
      <c r="X1918">
        <v>-1.6206449279480874E-2</v>
      </c>
      <c r="Y1918">
        <v>2.7424649271027144E-2</v>
      </c>
    </row>
    <row r="1919" spans="1:25" x14ac:dyDescent="0.25">
      <c r="A1919" s="879"/>
      <c r="B1919" s="1133">
        <v>1669</v>
      </c>
      <c r="C1919" s="883">
        <v>1.0008861940920217</v>
      </c>
      <c r="D1919" s="883">
        <v>0.95803362772071909</v>
      </c>
      <c r="E1919" s="883">
        <v>1.0025532784024347</v>
      </c>
      <c r="F1919" s="883">
        <v>0.97126210955267489</v>
      </c>
      <c r="G1919" s="883">
        <v>0.98976502952702106</v>
      </c>
      <c r="H1919" s="883">
        <v>1.0129930980990629</v>
      </c>
      <c r="I1919" s="883">
        <v>1.012007438849656</v>
      </c>
      <c r="K1919">
        <v>1.5880251171872017</v>
      </c>
      <c r="L1919">
        <v>0</v>
      </c>
      <c r="M1919">
        <v>6.5984423069593671E-3</v>
      </c>
      <c r="N1919">
        <v>0.12348640486321245</v>
      </c>
      <c r="O1919">
        <v>3.1351235283958764E-2</v>
      </c>
      <c r="P1919">
        <v>1.795125951596847E-2</v>
      </c>
      <c r="Q1919">
        <v>0</v>
      </c>
      <c r="R1919">
        <v>6.5984423069593671E-3</v>
      </c>
      <c r="S1919">
        <v>0.17181306332916776</v>
      </c>
      <c r="T1919">
        <v>1.1518265908983909</v>
      </c>
      <c r="U1919">
        <v>0</v>
      </c>
      <c r="V1919">
        <v>1.5849084708213338E-2</v>
      </c>
      <c r="W1919">
        <v>6.4912350483853229E-2</v>
      </c>
      <c r="X1919">
        <v>-1.6336082836674468E-2</v>
      </c>
      <c r="Y1919">
        <v>2.7171210941110743E-2</v>
      </c>
    </row>
    <row r="1920" spans="1:25" x14ac:dyDescent="0.25">
      <c r="A1920" s="879"/>
      <c r="B1920" s="1133">
        <v>1670</v>
      </c>
      <c r="C1920" s="883">
        <v>0.99350880287281762</v>
      </c>
      <c r="D1920" s="883">
        <v>0.99282542792332773</v>
      </c>
      <c r="E1920" s="883">
        <v>0.96863311816868591</v>
      </c>
      <c r="F1920" s="883">
        <v>1.0397123217111677</v>
      </c>
      <c r="G1920" s="883">
        <v>0.98499547044537683</v>
      </c>
      <c r="H1920" s="883">
        <v>1.0048497710381787</v>
      </c>
      <c r="I1920" s="883">
        <v>1.0181812523038922</v>
      </c>
      <c r="K1920">
        <v>1.6671909188076459</v>
      </c>
      <c r="L1920">
        <v>0</v>
      </c>
      <c r="M1920">
        <v>6.6846311606283673E-3</v>
      </c>
      <c r="N1920">
        <v>0.11896183116029198</v>
      </c>
      <c r="O1920">
        <v>3.1164269419862618E-2</v>
      </c>
      <c r="P1920">
        <v>1.857703916443558E-2</v>
      </c>
      <c r="Q1920">
        <v>0</v>
      </c>
      <c r="R1920">
        <v>6.6846311606283673E-3</v>
      </c>
      <c r="S1920">
        <v>0.17322084277181773</v>
      </c>
      <c r="T1920">
        <v>1.2336598478677852</v>
      </c>
      <c r="U1920">
        <v>0</v>
      </c>
      <c r="V1920">
        <v>1.5889530415757067E-2</v>
      </c>
      <c r="W1920">
        <v>6.3602644474712131E-2</v>
      </c>
      <c r="X1920">
        <v>-1.5411207766490818E-2</v>
      </c>
      <c r="Y1920">
        <v>2.7526121299475643E-2</v>
      </c>
    </row>
    <row r="1921" spans="1:25" x14ac:dyDescent="0.25">
      <c r="A1921" s="879"/>
      <c r="B1921" s="1133">
        <v>1671</v>
      </c>
      <c r="C1921" s="883">
        <v>0.97935890508542689</v>
      </c>
      <c r="D1921" s="883">
        <v>1.0072151538654259</v>
      </c>
      <c r="E1921" s="883">
        <v>1.0098532939815492</v>
      </c>
      <c r="F1921" s="883">
        <v>1.0233761631108336</v>
      </c>
      <c r="G1921" s="883">
        <v>1.023106757830508</v>
      </c>
      <c r="H1921" s="883">
        <v>1.0027634365537703</v>
      </c>
      <c r="I1921" s="883">
        <v>0.9872837275231614</v>
      </c>
      <c r="K1921">
        <v>1.6477522311508155</v>
      </c>
      <c r="L1921">
        <v>0</v>
      </c>
      <c r="M1921">
        <v>6.4863045285793505E-3</v>
      </c>
      <c r="N1921">
        <v>0.12270710927053537</v>
      </c>
      <c r="O1921">
        <v>3.1398688487878981E-2</v>
      </c>
      <c r="P1921">
        <v>1.8860402129991738E-2</v>
      </c>
      <c r="Q1921">
        <v>0</v>
      </c>
      <c r="R1921">
        <v>6.4863045285793505E-3</v>
      </c>
      <c r="S1921">
        <v>0.17016493798196758</v>
      </c>
      <c r="T1921">
        <v>1.2134903743829173</v>
      </c>
      <c r="U1921">
        <v>0</v>
      </c>
      <c r="V1921">
        <v>1.596881080023136E-2</v>
      </c>
      <c r="W1921">
        <v>6.4269865632045564E-2</v>
      </c>
      <c r="X1921">
        <v>-1.5817405064274502E-2</v>
      </c>
      <c r="Y1921">
        <v>2.6709447529522316E-2</v>
      </c>
    </row>
    <row r="1922" spans="1:25" x14ac:dyDescent="0.25">
      <c r="A1922" s="879"/>
      <c r="B1922" s="1133">
        <v>1672</v>
      </c>
      <c r="C1922" s="883">
        <v>0.97148237355471456</v>
      </c>
      <c r="D1922" s="883">
        <v>0.976161120237655</v>
      </c>
      <c r="E1922" s="883">
        <v>0.95778140903126985</v>
      </c>
      <c r="F1922" s="883">
        <v>0.95920504929514361</v>
      </c>
      <c r="G1922" s="883">
        <v>1.0332119184274822</v>
      </c>
      <c r="H1922" s="883">
        <v>0.98293794376899069</v>
      </c>
      <c r="I1922" s="883">
        <v>1.0403186376644524</v>
      </c>
      <c r="K1922">
        <v>1.5787827617185968</v>
      </c>
      <c r="L1922">
        <v>0</v>
      </c>
      <c r="M1922">
        <v>6.8017622445143387E-3</v>
      </c>
      <c r="N1922">
        <v>0.1191106449639377</v>
      </c>
      <c r="O1922">
        <v>3.2095761786961656E-2</v>
      </c>
      <c r="P1922">
        <v>1.7272953199597537E-2</v>
      </c>
      <c r="Q1922">
        <v>0</v>
      </c>
      <c r="R1922">
        <v>6.8017622445143387E-3</v>
      </c>
      <c r="S1922">
        <v>0.17980444418165278</v>
      </c>
      <c r="T1922">
        <v>1.1383298997563551</v>
      </c>
      <c r="U1922">
        <v>0</v>
      </c>
      <c r="V1922">
        <v>1.6013942766515361E-2</v>
      </c>
      <c r="W1922">
        <v>6.403156762048004E-2</v>
      </c>
      <c r="X1922">
        <v>-1.5884898811265515E-2</v>
      </c>
      <c r="Y1922">
        <v>2.8008446254362333E-2</v>
      </c>
    </row>
    <row r="1923" spans="1:25" x14ac:dyDescent="0.25">
      <c r="A1923" s="879"/>
      <c r="B1923" s="1133">
        <v>1673</v>
      </c>
      <c r="C1923" s="883">
        <v>0.99162970191143818</v>
      </c>
      <c r="D1923" s="883">
        <v>0.97326470692662381</v>
      </c>
      <c r="E1923" s="883">
        <v>0.99726430010828582</v>
      </c>
      <c r="F1923" s="883">
        <v>1.0291229122293308</v>
      </c>
      <c r="G1923" s="883">
        <v>1.0080573126608279</v>
      </c>
      <c r="H1923" s="883">
        <v>0.96561763641717169</v>
      </c>
      <c r="I1923" s="883">
        <v>0.97268722690038423</v>
      </c>
      <c r="K1923">
        <v>1.6410926877969749</v>
      </c>
      <c r="L1923">
        <v>0</v>
      </c>
      <c r="M1923">
        <v>6.3331562048619802E-3</v>
      </c>
      <c r="N1923">
        <v>0.11759665684417939</v>
      </c>
      <c r="O1923">
        <v>3.1449453154928059E-2</v>
      </c>
      <c r="P1923">
        <v>1.8689649030090322E-2</v>
      </c>
      <c r="Q1923">
        <v>0</v>
      </c>
      <c r="R1923">
        <v>6.3331562048619802E-3</v>
      </c>
      <c r="S1923">
        <v>0.16377366492569059</v>
      </c>
      <c r="T1923">
        <v>1.220545286975474</v>
      </c>
      <c r="U1923">
        <v>0</v>
      </c>
      <c r="V1923">
        <v>1.5899928537782233E-2</v>
      </c>
      <c r="W1923">
        <v>6.1978913881913553E-2</v>
      </c>
      <c r="X1923">
        <v>-1.4919675544924217E-2</v>
      </c>
      <c r="Y1923">
        <v>2.6078809991839629E-2</v>
      </c>
    </row>
    <row r="1924" spans="1:25" x14ac:dyDescent="0.25">
      <c r="A1924" s="879"/>
      <c r="B1924" s="1133">
        <v>1674</v>
      </c>
      <c r="C1924" s="883">
        <v>0.98529417881805115</v>
      </c>
      <c r="D1924" s="883">
        <v>0.98300018532042943</v>
      </c>
      <c r="E1924" s="883">
        <v>1.028917393865006</v>
      </c>
      <c r="F1924" s="883">
        <v>1.0227240029580396</v>
      </c>
      <c r="G1924" s="883">
        <v>0.97424192641827911</v>
      </c>
      <c r="H1924" s="883">
        <v>0.98825644567945325</v>
      </c>
      <c r="I1924" s="883">
        <v>0.97104529498637537</v>
      </c>
      <c r="K1924">
        <v>1.6416807935064079</v>
      </c>
      <c r="L1924">
        <v>0</v>
      </c>
      <c r="M1924">
        <v>6.3170169167150224E-3</v>
      </c>
      <c r="N1924">
        <v>0.12292286437546469</v>
      </c>
      <c r="O1924">
        <v>3.1497150153664111E-2</v>
      </c>
      <c r="P1924">
        <v>1.9054375272984078E-2</v>
      </c>
      <c r="Q1924">
        <v>0</v>
      </c>
      <c r="R1924">
        <v>6.3170169167150224E-3</v>
      </c>
      <c r="S1924">
        <v>0.16579050958939745</v>
      </c>
      <c r="T1924">
        <v>1.2123563650529385</v>
      </c>
      <c r="U1924">
        <v>0</v>
      </c>
      <c r="V1924">
        <v>1.5935278835502196E-2</v>
      </c>
      <c r="W1924">
        <v>6.3780939297890207E-2</v>
      </c>
      <c r="X1924">
        <v>-1.5669040347370881E-2</v>
      </c>
      <c r="Y1924">
        <v>2.6012351275936662E-2</v>
      </c>
    </row>
    <row r="1925" spans="1:25" x14ac:dyDescent="0.25">
      <c r="A1925" s="879"/>
      <c r="B1925" s="1133">
        <v>1675</v>
      </c>
      <c r="C1925" s="883">
        <v>1.0176574237438072</v>
      </c>
      <c r="D1925" s="883">
        <v>1.0171119291269899</v>
      </c>
      <c r="E1925" s="883">
        <v>1.0373205344470757</v>
      </c>
      <c r="F1925" s="883">
        <v>0.99630119137210038</v>
      </c>
      <c r="G1925" s="883">
        <v>0.97766629134982308</v>
      </c>
      <c r="H1925" s="883">
        <v>1.0025110899587211</v>
      </c>
      <c r="I1925" s="883">
        <v>1.0080510809041459</v>
      </c>
      <c r="K1925">
        <v>1.6036928815725271</v>
      </c>
      <c r="L1925">
        <v>0</v>
      </c>
      <c r="M1925">
        <v>6.0658028722115039E-3</v>
      </c>
      <c r="N1925">
        <v>0.11950945539880076</v>
      </c>
      <c r="O1925">
        <v>3.0074428026493044E-2</v>
      </c>
      <c r="P1925">
        <v>1.8755786036800538E-2</v>
      </c>
      <c r="Q1925">
        <v>0</v>
      </c>
      <c r="R1925">
        <v>6.0658028722115039E-3</v>
      </c>
      <c r="S1925">
        <v>0.16712364727619752</v>
      </c>
      <c r="T1925">
        <v>1.1808798935109799</v>
      </c>
      <c r="U1925">
        <v>0</v>
      </c>
      <c r="V1925">
        <v>1.575932020266612E-2</v>
      </c>
      <c r="W1925">
        <v>6.1755041712437057E-2</v>
      </c>
      <c r="X1925">
        <v>-1.5142587146953315E-2</v>
      </c>
      <c r="Y1925">
        <v>2.4977896555104222E-2</v>
      </c>
    </row>
    <row r="1926" spans="1:25" x14ac:dyDescent="0.25">
      <c r="A1926" s="879"/>
      <c r="B1926" s="1133">
        <v>1676</v>
      </c>
      <c r="C1926" s="883">
        <v>0.98144328105434953</v>
      </c>
      <c r="D1926" s="883">
        <v>1.0151333304317713</v>
      </c>
      <c r="E1926" s="883">
        <v>0.9846794196429971</v>
      </c>
      <c r="F1926" s="883">
        <v>0.99040802580701237</v>
      </c>
      <c r="G1926" s="883">
        <v>0.97633443416599108</v>
      </c>
      <c r="H1926" s="883">
        <v>1.0091755324695448</v>
      </c>
      <c r="I1926" s="883">
        <v>1.0257974005549231</v>
      </c>
      <c r="K1926">
        <v>1.6133639470748715</v>
      </c>
      <c r="L1926">
        <v>0</v>
      </c>
      <c r="M1926">
        <v>6.6355053206439687E-3</v>
      </c>
      <c r="N1926">
        <v>0.12093339792996778</v>
      </c>
      <c r="O1926">
        <v>3.1255515343181203E-2</v>
      </c>
      <c r="P1926">
        <v>1.8079009961173963E-2</v>
      </c>
      <c r="Q1926">
        <v>0</v>
      </c>
      <c r="R1926">
        <v>6.6355053206439687E-3</v>
      </c>
      <c r="S1926">
        <v>0.17670313876978277</v>
      </c>
      <c r="T1926">
        <v>1.1748613662288132</v>
      </c>
      <c r="U1926">
        <v>0</v>
      </c>
      <c r="V1926">
        <v>1.5956988689695233E-2</v>
      </c>
      <c r="W1926">
        <v>6.4138625864059468E-2</v>
      </c>
      <c r="X1926">
        <v>-1.5887925546296585E-2</v>
      </c>
      <c r="Y1926">
        <v>2.7323829834493437E-2</v>
      </c>
    </row>
    <row r="1927" spans="1:25" x14ac:dyDescent="0.25">
      <c r="A1927" s="879"/>
      <c r="B1927" s="1133">
        <v>1677</v>
      </c>
      <c r="C1927" s="883">
        <v>1.0173099362695317</v>
      </c>
      <c r="D1927" s="883">
        <v>0.9876351001261473</v>
      </c>
      <c r="E1927" s="883">
        <v>1.0120095012857202</v>
      </c>
      <c r="F1927" s="883">
        <v>0.98645476493411255</v>
      </c>
      <c r="G1927" s="883">
        <v>1.0443663813702031</v>
      </c>
      <c r="H1927" s="883">
        <v>0.9955860237790356</v>
      </c>
      <c r="I1927" s="883">
        <v>1.0162893600960337</v>
      </c>
      <c r="K1927">
        <v>1.5935185185059217</v>
      </c>
      <c r="L1927">
        <v>0</v>
      </c>
      <c r="M1927">
        <v>6.2423858651948771E-3</v>
      </c>
      <c r="N1927">
        <v>0.11847021609738353</v>
      </c>
      <c r="O1927">
        <v>3.0463765731205138E-2</v>
      </c>
      <c r="P1927">
        <v>1.8273200710523286E-2</v>
      </c>
      <c r="Q1927">
        <v>0</v>
      </c>
      <c r="R1927">
        <v>6.2423858651948771E-3</v>
      </c>
      <c r="S1927">
        <v>0.16841565548206905</v>
      </c>
      <c r="T1927">
        <v>1.1696706009904982</v>
      </c>
      <c r="U1927">
        <v>0</v>
      </c>
      <c r="V1927">
        <v>1.5761150030813808E-2</v>
      </c>
      <c r="W1927">
        <v>6.1984607762657296E-2</v>
      </c>
      <c r="X1927">
        <v>-1.5225712188837927E-2</v>
      </c>
      <c r="Y1927">
        <v>2.570503388960867E-2</v>
      </c>
    </row>
    <row r="1928" spans="1:25" x14ac:dyDescent="0.25">
      <c r="A1928" s="879"/>
      <c r="B1928" s="1133">
        <v>1678</v>
      </c>
      <c r="C1928" s="883">
        <v>1.012869946041477</v>
      </c>
      <c r="D1928" s="883">
        <v>1.030547446025547</v>
      </c>
      <c r="E1928" s="883">
        <v>0.98937408469440291</v>
      </c>
      <c r="F1928" s="883">
        <v>0.99817562932671189</v>
      </c>
      <c r="G1928" s="883">
        <v>1.0216580234504642</v>
      </c>
      <c r="H1928" s="883">
        <v>1.0164466381175183</v>
      </c>
      <c r="I1928" s="883">
        <v>1.0177725806865137</v>
      </c>
      <c r="K1928">
        <v>1.6091308662246566</v>
      </c>
      <c r="L1928">
        <v>0</v>
      </c>
      <c r="M1928">
        <v>6.4063298301200548E-3</v>
      </c>
      <c r="N1928">
        <v>0.11757229559650134</v>
      </c>
      <c r="O1928">
        <v>3.0099999250781696E-2</v>
      </c>
      <c r="P1928">
        <v>1.817591206550391E-2</v>
      </c>
      <c r="Q1928">
        <v>0</v>
      </c>
      <c r="R1928">
        <v>6.4063298301200548E-3</v>
      </c>
      <c r="S1928">
        <v>0.17015297867778645</v>
      </c>
      <c r="T1928">
        <v>1.1839882481046182</v>
      </c>
      <c r="U1928">
        <v>0</v>
      </c>
      <c r="V1928">
        <v>1.5784641008049615E-2</v>
      </c>
      <c r="W1928">
        <v>6.2210034245169833E-2</v>
      </c>
      <c r="X1928">
        <v>-1.5233368679986986E-2</v>
      </c>
      <c r="Y1928">
        <v>2.6380125956232615E-2</v>
      </c>
    </row>
    <row r="1929" spans="1:25" x14ac:dyDescent="0.25">
      <c r="A1929" s="879"/>
      <c r="B1929" s="1133">
        <v>1679</v>
      </c>
      <c r="C1929" s="883">
        <v>0.98089060271725514</v>
      </c>
      <c r="D1929" s="883">
        <v>1.0290694074202993</v>
      </c>
      <c r="E1929" s="883">
        <v>1.0249352028382084</v>
      </c>
      <c r="F1929" s="883">
        <v>1.0268880113413037</v>
      </c>
      <c r="G1929" s="883">
        <v>1.0285853606675501</v>
      </c>
      <c r="H1929" s="883">
        <v>0.99548039439943681</v>
      </c>
      <c r="I1929" s="883">
        <v>0.97057359828738943</v>
      </c>
      <c r="K1929">
        <v>1.6450930354645998</v>
      </c>
      <c r="L1929">
        <v>0</v>
      </c>
      <c r="M1929">
        <v>6.2844359931438932E-3</v>
      </c>
      <c r="N1929">
        <v>0.12157097522739266</v>
      </c>
      <c r="O1929">
        <v>3.1067928003714874E-2</v>
      </c>
      <c r="P1929">
        <v>1.9075459975933282E-2</v>
      </c>
      <c r="Q1929">
        <v>0</v>
      </c>
      <c r="R1929">
        <v>6.2844359931438932E-3</v>
      </c>
      <c r="S1929">
        <v>0.16641683649481451</v>
      </c>
      <c r="T1929">
        <v>1.2173679732858131</v>
      </c>
      <c r="U1929">
        <v>0</v>
      </c>
      <c r="V1929">
        <v>1.5960118461711598E-2</v>
      </c>
      <c r="W1929">
        <v>6.3202993185636477E-2</v>
      </c>
      <c r="X1929">
        <v>-1.544743800227689E-2</v>
      </c>
      <c r="Y1929">
        <v>2.587818883185897E-2</v>
      </c>
    </row>
    <row r="1930" spans="1:25" x14ac:dyDescent="0.25">
      <c r="A1930" s="879"/>
      <c r="B1930" s="1133">
        <v>1680</v>
      </c>
      <c r="C1930" s="883">
        <v>0.96178514928125824</v>
      </c>
      <c r="D1930" s="883">
        <v>0.97300486818068876</v>
      </c>
      <c r="E1930" s="883">
        <v>0.99109110100020614</v>
      </c>
      <c r="F1930" s="883">
        <v>1.0116175774744813</v>
      </c>
      <c r="G1930" s="883">
        <v>1.0240062913229273</v>
      </c>
      <c r="H1930" s="883">
        <v>1.0432882506654655</v>
      </c>
      <c r="I1930" s="883">
        <v>0.95465548617405882</v>
      </c>
      <c r="K1930">
        <v>1.6482218743690176</v>
      </c>
      <c r="L1930">
        <v>0</v>
      </c>
      <c r="M1930">
        <v>7.0938682885423173E-3</v>
      </c>
      <c r="N1930">
        <v>0.13052218961768247</v>
      </c>
      <c r="O1930">
        <v>3.2434218152891971E-2</v>
      </c>
      <c r="P1930">
        <v>1.8416161093933917E-2</v>
      </c>
      <c r="Q1930">
        <v>0</v>
      </c>
      <c r="R1930">
        <v>7.0938682885423173E-3</v>
      </c>
      <c r="S1930">
        <v>0.17024587785355685</v>
      </c>
      <c r="T1930">
        <v>1.1999000887245379</v>
      </c>
      <c r="U1930">
        <v>0</v>
      </c>
      <c r="V1930">
        <v>1.6070522446758596E-2</v>
      </c>
      <c r="W1930">
        <v>6.9003000695367744E-2</v>
      </c>
      <c r="X1930">
        <v>-1.7581471166444415E-2</v>
      </c>
      <c r="Y1930">
        <v>2.921128695073193E-2</v>
      </c>
    </row>
    <row r="1931" spans="1:25" x14ac:dyDescent="0.25">
      <c r="A1931" s="879"/>
      <c r="B1931" s="1133">
        <v>1681</v>
      </c>
      <c r="C1931" s="883">
        <v>1.0102841636290092</v>
      </c>
      <c r="D1931" s="883">
        <v>1.0381815237628318</v>
      </c>
      <c r="E1931" s="883">
        <v>0.99530044343089952</v>
      </c>
      <c r="F1931" s="883">
        <v>0.98908544699221845</v>
      </c>
      <c r="G1931" s="883">
        <v>0.98478292905430032</v>
      </c>
      <c r="H1931" s="883">
        <v>0.98423859657969726</v>
      </c>
      <c r="I1931" s="883">
        <v>0.99674322738826648</v>
      </c>
      <c r="K1931">
        <v>1.5874522884603532</v>
      </c>
      <c r="L1931">
        <v>0</v>
      </c>
      <c r="M1931">
        <v>6.1668274793889293E-3</v>
      </c>
      <c r="N1931">
        <v>0.11417543699811887</v>
      </c>
      <c r="O1931">
        <v>3.0083292095331889E-2</v>
      </c>
      <c r="P1931">
        <v>1.8047033152105516E-2</v>
      </c>
      <c r="Q1931">
        <v>0</v>
      </c>
      <c r="R1931">
        <v>6.1668274793889293E-3</v>
      </c>
      <c r="S1931">
        <v>0.16518583798665679</v>
      </c>
      <c r="T1931">
        <v>1.1730967707535336</v>
      </c>
      <c r="U1931">
        <v>0</v>
      </c>
      <c r="V1931">
        <v>1.5798416933627202E-2</v>
      </c>
      <c r="W1931">
        <v>6.0234580146414841E-2</v>
      </c>
      <c r="X1931">
        <v>-1.456297751118657E-2</v>
      </c>
      <c r="Y1931">
        <v>2.5393897905751098E-2</v>
      </c>
    </row>
    <row r="1932" spans="1:25" x14ac:dyDescent="0.25">
      <c r="A1932" s="879"/>
      <c r="B1932" s="1133">
        <v>1682</v>
      </c>
      <c r="C1932" s="883">
        <v>1.0086056554228533</v>
      </c>
      <c r="D1932" s="883">
        <v>0.99881734751359952</v>
      </c>
      <c r="E1932" s="883">
        <v>1.0460498375349534</v>
      </c>
      <c r="F1932" s="883">
        <v>1.00023973643802</v>
      </c>
      <c r="G1932" s="883">
        <v>1.0018529462340051</v>
      </c>
      <c r="H1932" s="883">
        <v>0.99241475441128879</v>
      </c>
      <c r="I1932" s="883">
        <v>0.97652982576254588</v>
      </c>
      <c r="K1932">
        <v>1.6064744208170163</v>
      </c>
      <c r="L1932">
        <v>0</v>
      </c>
      <c r="M1932">
        <v>6.0612237746703029E-3</v>
      </c>
      <c r="N1932">
        <v>0.12096881632272455</v>
      </c>
      <c r="O1932">
        <v>3.0557030175511698E-2</v>
      </c>
      <c r="P1932">
        <v>1.8881286863846689E-2</v>
      </c>
      <c r="Q1932">
        <v>0</v>
      </c>
      <c r="R1932">
        <v>6.0612237746703029E-3</v>
      </c>
      <c r="S1932">
        <v>0.16296984829583189</v>
      </c>
      <c r="T1932">
        <v>1.1853874456402604</v>
      </c>
      <c r="U1932">
        <v>0</v>
      </c>
      <c r="V1932">
        <v>1.5807397103776766E-2</v>
      </c>
      <c r="W1932">
        <v>6.2243294974352124E-2</v>
      </c>
      <c r="X1932">
        <v>-1.5299739205766267E-2</v>
      </c>
      <c r="Y1932">
        <v>2.4959040646478522E-2</v>
      </c>
    </row>
    <row r="1933" spans="1:25" x14ac:dyDescent="0.25">
      <c r="A1933" s="879"/>
      <c r="B1933" s="1133">
        <v>1683</v>
      </c>
      <c r="C1933" s="883">
        <v>0.99399462768696767</v>
      </c>
      <c r="D1933" s="883">
        <v>0.9919426971229458</v>
      </c>
      <c r="E1933" s="883">
        <v>1.019198014461923</v>
      </c>
      <c r="F1933" s="883">
        <v>1.0067957917699597</v>
      </c>
      <c r="G1933" s="883">
        <v>0.96772743405067241</v>
      </c>
      <c r="H1933" s="883">
        <v>0.99642912316214993</v>
      </c>
      <c r="I1933" s="883">
        <v>1.0361133066447257</v>
      </c>
      <c r="K1933">
        <v>1.6307878079660592</v>
      </c>
      <c r="L1933">
        <v>0</v>
      </c>
      <c r="M1933">
        <v>6.3417937670069008E-3</v>
      </c>
      <c r="N1933">
        <v>0.12164392624944372</v>
      </c>
      <c r="O1933">
        <v>3.1117595948104811E-2</v>
      </c>
      <c r="P1933">
        <v>1.8798327689881416E-2</v>
      </c>
      <c r="Q1933">
        <v>0</v>
      </c>
      <c r="R1933">
        <v>6.3417937670069008E-3</v>
      </c>
      <c r="S1933">
        <v>0.17574099358627496</v>
      </c>
      <c r="T1933">
        <v>1.1936555885879487</v>
      </c>
      <c r="U1933">
        <v>0</v>
      </c>
      <c r="V1933">
        <v>1.5886848470076147E-2</v>
      </c>
      <c r="W1933">
        <v>6.3419746195590598E-2</v>
      </c>
      <c r="X1933">
        <v>-1.5589596696585823E-2</v>
      </c>
      <c r="Y1933">
        <v>2.611437793532367E-2</v>
      </c>
    </row>
    <row r="1934" spans="1:25" x14ac:dyDescent="0.25">
      <c r="A1934" s="879"/>
      <c r="B1934" s="1133">
        <v>1684</v>
      </c>
      <c r="C1934" s="883">
        <v>1.0047718680071149</v>
      </c>
      <c r="D1934" s="883">
        <v>0.98536347877443931</v>
      </c>
      <c r="E1934" s="883">
        <v>0.99475336081312149</v>
      </c>
      <c r="F1934" s="883">
        <v>1.0234475871242845</v>
      </c>
      <c r="G1934" s="883">
        <v>0.96746421549835571</v>
      </c>
      <c r="H1934" s="883">
        <v>0.96700189820427396</v>
      </c>
      <c r="I1934" s="883">
        <v>1.0209881991386862</v>
      </c>
      <c r="K1934">
        <v>1.6362846358015029</v>
      </c>
      <c r="L1934">
        <v>0</v>
      </c>
      <c r="M1934">
        <v>6.2385045594489288E-3</v>
      </c>
      <c r="N1934">
        <v>0.11540888843838894</v>
      </c>
      <c r="O1934">
        <v>3.0887206729118596E-2</v>
      </c>
      <c r="P1934">
        <v>1.8641982950615702E-2</v>
      </c>
      <c r="Q1934">
        <v>0</v>
      </c>
      <c r="R1934">
        <v>6.2385045594489288E-3</v>
      </c>
      <c r="S1934">
        <v>0.16961586185208685</v>
      </c>
      <c r="T1934">
        <v>1.2138621265750236</v>
      </c>
      <c r="U1934">
        <v>0</v>
      </c>
      <c r="V1934">
        <v>1.5828020738235717E-2</v>
      </c>
      <c r="W1934">
        <v>6.0901880229403349E-2</v>
      </c>
      <c r="X1934">
        <v>-1.45503830747639E-2</v>
      </c>
      <c r="Y1934">
        <v>2.5689051363393535E-2</v>
      </c>
    </row>
    <row r="1935" spans="1:25" x14ac:dyDescent="0.25">
      <c r="A1935" s="879"/>
      <c r="B1935" s="1133">
        <v>1685</v>
      </c>
      <c r="C1935" s="883">
        <v>0.9997706760082008</v>
      </c>
      <c r="D1935" s="883">
        <v>0.98908633011510372</v>
      </c>
      <c r="E1935" s="883">
        <v>1.0232201938898793</v>
      </c>
      <c r="F1935" s="883">
        <v>0.99356372999274767</v>
      </c>
      <c r="G1935" s="883">
        <v>1.0361755783902977</v>
      </c>
      <c r="H1935" s="883">
        <v>1.0029383917001484</v>
      </c>
      <c r="I1935" s="883">
        <v>0.98102754342134191</v>
      </c>
      <c r="K1935">
        <v>1.6051140151577885</v>
      </c>
      <c r="L1935">
        <v>0</v>
      </c>
      <c r="M1935">
        <v>6.3321772583288891E-3</v>
      </c>
      <c r="N1935">
        <v>0.12218423836683126</v>
      </c>
      <c r="O1935">
        <v>3.0969837173765426E-2</v>
      </c>
      <c r="P1935">
        <v>1.8504796115835342E-2</v>
      </c>
      <c r="Q1935">
        <v>0</v>
      </c>
      <c r="R1935">
        <v>6.3321772583288891E-3</v>
      </c>
      <c r="S1935">
        <v>0.16584169037661695</v>
      </c>
      <c r="T1935">
        <v>1.1778937774510456</v>
      </c>
      <c r="U1935">
        <v>0</v>
      </c>
      <c r="V1935">
        <v>1.5855162104593968E-2</v>
      </c>
      <c r="W1935">
        <v>6.3575416505511156E-2</v>
      </c>
      <c r="X1935">
        <v>-1.5785681800673006E-2</v>
      </c>
      <c r="Y1935">
        <v>2.6074778864262353E-2</v>
      </c>
    </row>
    <row r="1936" spans="1:25" x14ac:dyDescent="0.25">
      <c r="A1936" s="879"/>
      <c r="B1936" s="1133">
        <v>1686</v>
      </c>
      <c r="C1936" s="883">
        <v>0.99890904863434882</v>
      </c>
      <c r="D1936" s="883">
        <v>1.0220456071732482</v>
      </c>
      <c r="E1936" s="883">
        <v>1.0196763265540458</v>
      </c>
      <c r="F1936" s="883">
        <v>1.0218761289634664</v>
      </c>
      <c r="G1936" s="883">
        <v>0.99081712058689586</v>
      </c>
      <c r="H1936" s="883">
        <v>1.0277006211853275</v>
      </c>
      <c r="I1936" s="883">
        <v>0.99368861467045844</v>
      </c>
      <c r="K1936">
        <v>1.6441529168172642</v>
      </c>
      <c r="L1936">
        <v>0</v>
      </c>
      <c r="M1936">
        <v>6.4197717532626652E-3</v>
      </c>
      <c r="N1936">
        <v>0.12322680977870087</v>
      </c>
      <c r="O1936">
        <v>3.0595991030839695E-2</v>
      </c>
      <c r="P1936">
        <v>1.8958340380025921E-2</v>
      </c>
      <c r="Q1936">
        <v>0</v>
      </c>
      <c r="R1936">
        <v>6.4197717532626652E-3</v>
      </c>
      <c r="S1936">
        <v>0.16920702111572777</v>
      </c>
      <c r="T1936">
        <v>1.2115257717102095</v>
      </c>
      <c r="U1936">
        <v>0</v>
      </c>
      <c r="V1936">
        <v>1.5859865583356059E-2</v>
      </c>
      <c r="W1936">
        <v>6.42298527703411E-2</v>
      </c>
      <c r="X1936">
        <v>-1.5886212955097317E-2</v>
      </c>
      <c r="Y1936">
        <v>2.6435477403160761E-2</v>
      </c>
    </row>
    <row r="1937" spans="1:25" x14ac:dyDescent="0.25">
      <c r="A1937" s="879"/>
      <c r="B1937" s="1133">
        <v>1687</v>
      </c>
      <c r="C1937" s="883">
        <v>0.98962913665593233</v>
      </c>
      <c r="D1937" s="883">
        <v>1.008804873392291</v>
      </c>
      <c r="E1937" s="883">
        <v>0.9589372532034367</v>
      </c>
      <c r="F1937" s="883">
        <v>1.0010584412821013</v>
      </c>
      <c r="G1937" s="883">
        <v>1.0077758014456679</v>
      </c>
      <c r="H1937" s="883">
        <v>0.97570035463536409</v>
      </c>
      <c r="I1937" s="883">
        <v>0.99241903871927029</v>
      </c>
      <c r="K1937">
        <v>1.6083762689927461</v>
      </c>
      <c r="L1937">
        <v>0</v>
      </c>
      <c r="M1937">
        <v>6.524736602874049E-3</v>
      </c>
      <c r="N1937">
        <v>0.11445587338067287</v>
      </c>
      <c r="O1937">
        <v>3.1094531743555552E-2</v>
      </c>
      <c r="P1937">
        <v>1.7772572474023852E-2</v>
      </c>
      <c r="Q1937">
        <v>0</v>
      </c>
      <c r="R1937">
        <v>6.524736602874049E-3</v>
      </c>
      <c r="S1937">
        <v>0.16763730138078992</v>
      </c>
      <c r="T1937">
        <v>1.1879774070580029</v>
      </c>
      <c r="U1937">
        <v>0</v>
      </c>
      <c r="V1937">
        <v>1.5911042189000826E-2</v>
      </c>
      <c r="W1937">
        <v>6.1493337254432567E-2</v>
      </c>
      <c r="X1937">
        <v>-1.4833500458547326E-2</v>
      </c>
      <c r="Y1937">
        <v>2.6867703970813686E-2</v>
      </c>
    </row>
    <row r="1938" spans="1:25" x14ac:dyDescent="0.25">
      <c r="A1938" s="879"/>
      <c r="B1938" s="1133">
        <v>1688</v>
      </c>
      <c r="C1938" s="883">
        <v>0.96190489039450489</v>
      </c>
      <c r="D1938" s="883">
        <v>1.0054693543003972</v>
      </c>
      <c r="E1938" s="883">
        <v>1.0146821573143729</v>
      </c>
      <c r="F1938" s="883">
        <v>1.0045240450568977</v>
      </c>
      <c r="G1938" s="883">
        <v>1.010160411666394</v>
      </c>
      <c r="H1938" s="883">
        <v>0.95517885418230053</v>
      </c>
      <c r="I1938" s="883">
        <v>1.0110224495650471</v>
      </c>
      <c r="K1938">
        <v>1.6248584446593313</v>
      </c>
      <c r="L1938">
        <v>0</v>
      </c>
      <c r="M1938">
        <v>6.2689496654858472E-3</v>
      </c>
      <c r="N1938">
        <v>0.1194458979102293</v>
      </c>
      <c r="O1938">
        <v>3.1986174721825328E-2</v>
      </c>
      <c r="P1938">
        <v>1.8686104098976516E-2</v>
      </c>
      <c r="Q1938">
        <v>0</v>
      </c>
      <c r="R1938">
        <v>6.2689496654858472E-3</v>
      </c>
      <c r="S1938">
        <v>0.17454938263893863</v>
      </c>
      <c r="T1938">
        <v>1.1910461786608932</v>
      </c>
      <c r="U1938">
        <v>0</v>
      </c>
      <c r="V1938">
        <v>1.6069816845847604E-2</v>
      </c>
      <c r="W1938">
        <v>6.241264638342553E-2</v>
      </c>
      <c r="X1938">
        <v>-1.5152175491833E-2</v>
      </c>
      <c r="Y1938">
        <v>2.5814418891026699E-2</v>
      </c>
    </row>
    <row r="1939" spans="1:25" x14ac:dyDescent="0.25">
      <c r="A1939" s="879"/>
      <c r="B1939" s="1133">
        <v>1689</v>
      </c>
      <c r="C1939" s="883">
        <v>0.97287181894941865</v>
      </c>
      <c r="D1939" s="883">
        <v>1.0078801311366896</v>
      </c>
      <c r="E1939" s="883">
        <v>1.0006686334563677</v>
      </c>
      <c r="F1939" s="883">
        <v>1.0135925381798312</v>
      </c>
      <c r="G1939" s="883">
        <v>0.97675158713751942</v>
      </c>
      <c r="H1939" s="883">
        <v>0.99816400644630965</v>
      </c>
      <c r="I1939" s="883">
        <v>0.98922205220874238</v>
      </c>
      <c r="K1939">
        <v>1.6372911971993809</v>
      </c>
      <c r="L1939">
        <v>0</v>
      </c>
      <c r="M1939">
        <v>6.5500666857476906E-3</v>
      </c>
      <c r="N1939">
        <v>0.12223934389120641</v>
      </c>
      <c r="O1939">
        <v>3.1607865828398328E-2</v>
      </c>
      <c r="P1939">
        <v>1.8593651174573973E-2</v>
      </c>
      <c r="Q1939">
        <v>0</v>
      </c>
      <c r="R1939">
        <v>6.5500666857476906E-3</v>
      </c>
      <c r="S1939">
        <v>0.17134888659740224</v>
      </c>
      <c r="T1939">
        <v>1.2020620341544628</v>
      </c>
      <c r="U1939">
        <v>0</v>
      </c>
      <c r="V1939">
        <v>1.6005928256499376E-2</v>
      </c>
      <c r="W1939">
        <v>6.4316947032068486E-2</v>
      </c>
      <c r="X1939">
        <v>-1.5855468478731989E-2</v>
      </c>
      <c r="Y1939">
        <v>2.6972008743500652E-2</v>
      </c>
    </row>
    <row r="1940" spans="1:25" x14ac:dyDescent="0.25">
      <c r="A1940" s="879"/>
      <c r="B1940" s="1133">
        <v>1690</v>
      </c>
      <c r="C1940" s="883">
        <v>1.0001888723046801</v>
      </c>
      <c r="D1940" s="883">
        <v>0.99051229654322615</v>
      </c>
      <c r="E1940" s="883">
        <v>0.99084962345829031</v>
      </c>
      <c r="F1940" s="883">
        <v>1.0156325673709883</v>
      </c>
      <c r="G1940" s="883">
        <v>1.018211662448584</v>
      </c>
      <c r="H1940" s="883">
        <v>0.98187240264230502</v>
      </c>
      <c r="I1940" s="883">
        <v>0.96171034747873396</v>
      </c>
      <c r="K1940">
        <v>1.6214522188706082</v>
      </c>
      <c r="L1940">
        <v>0</v>
      </c>
      <c r="M1940">
        <v>6.3703494120985749E-3</v>
      </c>
      <c r="N1940">
        <v>0.11716799914335616</v>
      </c>
      <c r="O1940">
        <v>3.0967370889617648E-2</v>
      </c>
      <c r="P1940">
        <v>1.835389040509821E-2</v>
      </c>
      <c r="Q1940">
        <v>0</v>
      </c>
      <c r="R1940">
        <v>6.3703494120985749E-3</v>
      </c>
      <c r="S1940">
        <v>0.16128088208819277</v>
      </c>
      <c r="T1940">
        <v>1.2046669172936737</v>
      </c>
      <c r="U1940">
        <v>0</v>
      </c>
      <c r="V1940">
        <v>1.5852882162533603E-2</v>
      </c>
      <c r="W1940">
        <v>6.1950514215518712E-2</v>
      </c>
      <c r="X1940">
        <v>-1.5020202326479245E-2</v>
      </c>
      <c r="Y1940">
        <v>2.6231964999095827E-2</v>
      </c>
    </row>
    <row r="1941" spans="1:25" x14ac:dyDescent="0.25">
      <c r="A1941" s="879"/>
      <c r="B1941" s="1133">
        <v>1691</v>
      </c>
      <c r="C1941" s="883">
        <v>0.98820658394761418</v>
      </c>
      <c r="D1941" s="883">
        <v>1.0168804089893548</v>
      </c>
      <c r="E1941" s="883">
        <v>1.0232987482777056</v>
      </c>
      <c r="F1941" s="883">
        <v>1.0063903400536831</v>
      </c>
      <c r="G1941" s="883">
        <v>0.98371041821376581</v>
      </c>
      <c r="H1941" s="883">
        <v>1.0372129885413359</v>
      </c>
      <c r="I1941" s="883">
        <v>1.0041521697607556</v>
      </c>
      <c r="K1941">
        <v>1.6347022100263375</v>
      </c>
      <c r="L1941">
        <v>0</v>
      </c>
      <c r="M1941">
        <v>6.5433781494020002E-3</v>
      </c>
      <c r="N1941">
        <v>0.12627419153216984</v>
      </c>
      <c r="O1941">
        <v>3.0986767568538801E-2</v>
      </c>
      <c r="P1941">
        <v>1.881745011952193E-2</v>
      </c>
      <c r="Q1941">
        <v>0</v>
      </c>
      <c r="R1941">
        <v>6.5433781494020002E-3</v>
      </c>
      <c r="S1941">
        <v>0.17345506062278931</v>
      </c>
      <c r="T1941">
        <v>1.1930985720225493</v>
      </c>
      <c r="U1941">
        <v>0</v>
      </c>
      <c r="V1941">
        <v>1.5918972207335663E-2</v>
      </c>
      <c r="W1941">
        <v>6.5700979137664386E-2</v>
      </c>
      <c r="X1941">
        <v>-1.649424972557717E-2</v>
      </c>
      <c r="Y1941">
        <v>2.6944466541344195E-2</v>
      </c>
    </row>
    <row r="1942" spans="1:25" x14ac:dyDescent="0.25">
      <c r="A1942" s="879"/>
      <c r="B1942" s="1133">
        <v>1692</v>
      </c>
      <c r="C1942" s="883">
        <v>0.99754034060714658</v>
      </c>
      <c r="D1942" s="883">
        <v>0.97878276713897305</v>
      </c>
      <c r="E1942" s="883">
        <v>0.9888819979442055</v>
      </c>
      <c r="F1942" s="883">
        <v>0.98890556812792607</v>
      </c>
      <c r="G1942" s="883">
        <v>0.95654307698692276</v>
      </c>
      <c r="H1942" s="883">
        <v>0.99454439861125632</v>
      </c>
      <c r="I1942" s="883">
        <v>1.0244878815088008</v>
      </c>
      <c r="K1942">
        <v>1.6052512630265048</v>
      </c>
      <c r="L1942">
        <v>0</v>
      </c>
      <c r="M1942">
        <v>6.5153724945046744E-3</v>
      </c>
      <c r="N1942">
        <v>0.11948629365752456</v>
      </c>
      <c r="O1942">
        <v>3.119953108155998E-2</v>
      </c>
      <c r="P1942">
        <v>1.8064263390216943E-2</v>
      </c>
      <c r="Q1942">
        <v>0</v>
      </c>
      <c r="R1942">
        <v>6.5153724945046744E-3</v>
      </c>
      <c r="S1942">
        <v>0.17314666008981866</v>
      </c>
      <c r="T1942">
        <v>1.1730016115814306</v>
      </c>
      <c r="U1942">
        <v>0</v>
      </c>
      <c r="V1942">
        <v>1.5867353835171898E-2</v>
      </c>
      <c r="W1942">
        <v>6.3238293368808776E-2</v>
      </c>
      <c r="X1942">
        <v>-1.5581888217325937E-2</v>
      </c>
      <c r="Y1942">
        <v>2.6829144239297754E-2</v>
      </c>
    </row>
    <row r="1943" spans="1:25" x14ac:dyDescent="0.25">
      <c r="A1943" s="879"/>
      <c r="B1943" s="1133">
        <v>1693</v>
      </c>
      <c r="C1943" s="883">
        <v>1.0167405770984064</v>
      </c>
      <c r="D1943" s="883">
        <v>1.0015282776683514</v>
      </c>
      <c r="E1943" s="883">
        <v>0.99938249366268428</v>
      </c>
      <c r="F1943" s="883">
        <v>1.0064816203552753</v>
      </c>
      <c r="G1943" s="883">
        <v>0.99519177954678906</v>
      </c>
      <c r="H1943" s="883">
        <v>1.0171749908256373</v>
      </c>
      <c r="I1943" s="883">
        <v>0.99149022177651358</v>
      </c>
      <c r="K1943">
        <v>1.6168426147362578</v>
      </c>
      <c r="L1943">
        <v>0</v>
      </c>
      <c r="M1943">
        <v>6.412055144958911E-3</v>
      </c>
      <c r="N1943">
        <v>0.11943594155383069</v>
      </c>
      <c r="O1943">
        <v>3.0321754305193484E-2</v>
      </c>
      <c r="P1943">
        <v>1.8381128675573087E-2</v>
      </c>
      <c r="Q1943">
        <v>0</v>
      </c>
      <c r="R1943">
        <v>6.412055144958911E-3</v>
      </c>
      <c r="S1943">
        <v>0.16546629077047978</v>
      </c>
      <c r="T1943">
        <v>1.1936529555467996</v>
      </c>
      <c r="U1943">
        <v>0</v>
      </c>
      <c r="V1943">
        <v>1.5764150912817347E-2</v>
      </c>
      <c r="W1943">
        <v>6.2882072547588319E-2</v>
      </c>
      <c r="X1943">
        <v>-1.5465381359695543E-2</v>
      </c>
      <c r="Y1943">
        <v>2.640370178367098E-2</v>
      </c>
    </row>
    <row r="1944" spans="1:25" x14ac:dyDescent="0.25">
      <c r="A1944" s="879"/>
      <c r="B1944" s="1133">
        <v>1694</v>
      </c>
      <c r="C1944" s="883">
        <v>0.99287362829400716</v>
      </c>
      <c r="D1944" s="883">
        <v>0.96522503779652369</v>
      </c>
      <c r="E1944" s="883">
        <v>0.98388528727336455</v>
      </c>
      <c r="F1944" s="883">
        <v>0.99609342767450815</v>
      </c>
      <c r="G1944" s="883">
        <v>0.99092065509791127</v>
      </c>
      <c r="H1944" s="883">
        <v>1.0120633815339777</v>
      </c>
      <c r="I1944" s="883">
        <v>1.0080998515836592</v>
      </c>
      <c r="K1944">
        <v>1.6186115764029863</v>
      </c>
      <c r="L1944">
        <v>0</v>
      </c>
      <c r="M1944">
        <v>6.7322237590804268E-3</v>
      </c>
      <c r="N1944">
        <v>0.12255167639283633</v>
      </c>
      <c r="O1944">
        <v>3.1525698295976949E-2</v>
      </c>
      <c r="P1944">
        <v>1.8099057598322626E-2</v>
      </c>
      <c r="Q1944">
        <v>0</v>
      </c>
      <c r="R1944">
        <v>6.7322237590804268E-3</v>
      </c>
      <c r="S1944">
        <v>0.17236939159999604</v>
      </c>
      <c r="T1944">
        <v>1.181620371724458</v>
      </c>
      <c r="U1944">
        <v>0</v>
      </c>
      <c r="V1944">
        <v>1.5893040790282292E-2</v>
      </c>
      <c r="W1944">
        <v>6.5022705864845903E-2</v>
      </c>
      <c r="X1944">
        <v>-1.6192465012467697E-2</v>
      </c>
      <c r="Y1944">
        <v>2.772209914873448E-2</v>
      </c>
    </row>
    <row r="1945" spans="1:25" x14ac:dyDescent="0.25">
      <c r="A1945" s="879"/>
      <c r="B1945" s="1133">
        <v>1695</v>
      </c>
      <c r="C1945" s="883">
        <v>1.0117284278005063</v>
      </c>
      <c r="D1945" s="883">
        <v>1.003614229166065</v>
      </c>
      <c r="E1945" s="883">
        <v>1.0458669050033311</v>
      </c>
      <c r="F1945" s="883">
        <v>1.0243393727272299</v>
      </c>
      <c r="G1945" s="883">
        <v>1.0180504994071975</v>
      </c>
      <c r="H1945" s="883">
        <v>0.9829914089708468</v>
      </c>
      <c r="I1945" s="883">
        <v>1.0028568148245669</v>
      </c>
      <c r="K1945">
        <v>1.6360292494509563</v>
      </c>
      <c r="L1945">
        <v>0</v>
      </c>
      <c r="M1945">
        <v>5.9733229164988418E-3</v>
      </c>
      <c r="N1945">
        <v>0.11918231227208913</v>
      </c>
      <c r="O1945">
        <v>3.0404567503793865E-2</v>
      </c>
      <c r="P1945">
        <v>1.931933191106696E-2</v>
      </c>
      <c r="Q1945">
        <v>0</v>
      </c>
      <c r="R1945">
        <v>5.9733229164988418E-3</v>
      </c>
      <c r="S1945">
        <v>0.16625862286603146</v>
      </c>
      <c r="T1945">
        <v>1.2139514493614112</v>
      </c>
      <c r="U1945">
        <v>0</v>
      </c>
      <c r="V1945">
        <v>1.5790713839935626E-2</v>
      </c>
      <c r="W1945">
        <v>6.1329535174290933E-2</v>
      </c>
      <c r="X1945">
        <v>-1.4804364035961316E-2</v>
      </c>
      <c r="Y1945">
        <v>2.459708055829795E-2</v>
      </c>
    </row>
    <row r="1946" spans="1:25" x14ac:dyDescent="0.25">
      <c r="A1946" s="879"/>
      <c r="B1946" s="1133">
        <v>1696</v>
      </c>
      <c r="C1946" s="883">
        <v>1.0156234946829588</v>
      </c>
      <c r="D1946" s="883">
        <v>1.0243648795877045</v>
      </c>
      <c r="E1946" s="883">
        <v>1.0190873451757196</v>
      </c>
      <c r="F1946" s="883">
        <v>1.0210652350185507</v>
      </c>
      <c r="G1946" s="883">
        <v>1.0070104555558839</v>
      </c>
      <c r="H1946" s="883">
        <v>1.0410571992441644</v>
      </c>
      <c r="I1946" s="883">
        <v>0.98448672846202134</v>
      </c>
      <c r="K1946">
        <v>1.6379264993414657</v>
      </c>
      <c r="L1946">
        <v>0</v>
      </c>
      <c r="M1946">
        <v>6.3930216840006647E-3</v>
      </c>
      <c r="N1946">
        <v>0.12260646985751783</v>
      </c>
      <c r="O1946">
        <v>3.0065712418503216E-2</v>
      </c>
      <c r="P1946">
        <v>1.8886892679758072E-2</v>
      </c>
      <c r="Q1946">
        <v>0</v>
      </c>
      <c r="R1946">
        <v>6.3930216840006647E-3</v>
      </c>
      <c r="S1946">
        <v>0.16560034828508399</v>
      </c>
      <c r="T1946">
        <v>1.2105755098258493</v>
      </c>
      <c r="U1946">
        <v>0</v>
      </c>
      <c r="V1946">
        <v>1.5770048418408435E-2</v>
      </c>
      <c r="W1946">
        <v>6.3925059723925717E-2</v>
      </c>
      <c r="X1946">
        <v>-1.5828867246855546E-2</v>
      </c>
      <c r="Y1946">
        <v>2.6325325379274678E-2</v>
      </c>
    </row>
    <row r="1947" spans="1:25" x14ac:dyDescent="0.25">
      <c r="A1947" s="879"/>
      <c r="B1947" s="1133">
        <v>1697</v>
      </c>
      <c r="C1947" s="883">
        <v>1.0036386134354607</v>
      </c>
      <c r="D1947" s="883">
        <v>1.0037697134666588</v>
      </c>
      <c r="E1947" s="883">
        <v>1.0080325904004213</v>
      </c>
      <c r="F1947" s="883">
        <v>1.0096454572745652</v>
      </c>
      <c r="G1947" s="883">
        <v>0.97505645855558865</v>
      </c>
      <c r="H1947" s="883">
        <v>0.99915295755378652</v>
      </c>
      <c r="I1947" s="883">
        <v>0.99170152088358321</v>
      </c>
      <c r="K1947">
        <v>1.6216147106723049</v>
      </c>
      <c r="L1947">
        <v>0</v>
      </c>
      <c r="M1947">
        <v>6.3263079431723811E-3</v>
      </c>
      <c r="N1947">
        <v>0.11935814337650931</v>
      </c>
      <c r="O1947">
        <v>3.0682714651403944E-2</v>
      </c>
      <c r="P1947">
        <v>1.8566380615350077E-2</v>
      </c>
      <c r="Q1947">
        <v>0</v>
      </c>
      <c r="R1947">
        <v>6.3263079431723811E-3</v>
      </c>
      <c r="S1947">
        <v>0.16661724629632296</v>
      </c>
      <c r="T1947">
        <v>1.1972429859081055</v>
      </c>
      <c r="U1947">
        <v>0</v>
      </c>
      <c r="V1947">
        <v>1.583414718539302E-2</v>
      </c>
      <c r="W1947">
        <v>6.2572137137056588E-2</v>
      </c>
      <c r="X1947">
        <v>-1.5309654566984555E-2</v>
      </c>
      <c r="Y1947">
        <v>2.6050610069147002E-2</v>
      </c>
    </row>
    <row r="1948" spans="1:25" x14ac:dyDescent="0.25">
      <c r="A1948" s="879"/>
      <c r="B1948" s="1133">
        <v>1698</v>
      </c>
      <c r="C1948" s="883">
        <v>0.98184976140330049</v>
      </c>
      <c r="D1948" s="883">
        <v>1.0070938451040445</v>
      </c>
      <c r="E1948" s="883">
        <v>0.98608640216262822</v>
      </c>
      <c r="F1948" s="883">
        <v>1.0266473437102726</v>
      </c>
      <c r="G1948" s="883">
        <v>0.9666547851523688</v>
      </c>
      <c r="H1948" s="883">
        <v>1.028635898928699</v>
      </c>
      <c r="I1948" s="883">
        <v>0.96306090469063577</v>
      </c>
      <c r="K1948">
        <v>1.6516372691019685</v>
      </c>
      <c r="L1948">
        <v>0</v>
      </c>
      <c r="M1948">
        <v>6.7763443749572373E-3</v>
      </c>
      <c r="N1948">
        <v>0.12375819180805935</v>
      </c>
      <c r="O1948">
        <v>3.1340944822424006E-2</v>
      </c>
      <c r="P1948">
        <v>1.8538464986434074E-2</v>
      </c>
      <c r="Q1948">
        <v>0</v>
      </c>
      <c r="R1948">
        <v>6.7763443749572373E-3</v>
      </c>
      <c r="S1948">
        <v>0.16701156617202773</v>
      </c>
      <c r="T1948">
        <v>1.217822947325901</v>
      </c>
      <c r="U1948">
        <v>0</v>
      </c>
      <c r="V1948">
        <v>1.5954689073541969E-2</v>
      </c>
      <c r="W1948">
        <v>6.5590670011948182E-2</v>
      </c>
      <c r="X1948">
        <v>-1.6283985090106323E-2</v>
      </c>
      <c r="Y1948">
        <v>2.790377999173832E-2</v>
      </c>
    </row>
    <row r="1949" spans="1:25" x14ac:dyDescent="0.25">
      <c r="A1949" s="879"/>
      <c r="B1949" s="1133">
        <v>1699</v>
      </c>
      <c r="C1949" s="883">
        <v>1.0317650322317036</v>
      </c>
      <c r="D1949" s="883">
        <v>0.98364651082617738</v>
      </c>
      <c r="E1949" s="883">
        <v>0.98282644822934784</v>
      </c>
      <c r="F1949" s="883">
        <v>0.98319695003132146</v>
      </c>
      <c r="G1949" s="883">
        <v>1.0043727024948959</v>
      </c>
      <c r="H1949" s="883">
        <v>1.0214654519895259</v>
      </c>
      <c r="I1949" s="883">
        <v>0.99883464643902098</v>
      </c>
      <c r="K1949">
        <v>1.5863983351566759</v>
      </c>
      <c r="L1949">
        <v>0</v>
      </c>
      <c r="M1949">
        <v>6.4896457857629344E-3</v>
      </c>
      <c r="N1949">
        <v>0.11795045214205305</v>
      </c>
      <c r="O1949">
        <v>3.0109645687863864E-2</v>
      </c>
      <c r="P1949">
        <v>1.7778220866893849E-2</v>
      </c>
      <c r="Q1949">
        <v>0</v>
      </c>
      <c r="R1949">
        <v>6.4896457857629344E-3</v>
      </c>
      <c r="S1949">
        <v>0.16467734095209899</v>
      </c>
      <c r="T1949">
        <v>1.1663412901251555</v>
      </c>
      <c r="U1949">
        <v>0</v>
      </c>
      <c r="V1949">
        <v>1.5686071990394946E-2</v>
      </c>
      <c r="W1949">
        <v>6.2614559084397836E-2</v>
      </c>
      <c r="X1949">
        <v>-1.5482451924064168E-2</v>
      </c>
      <c r="Y1949">
        <v>2.6723206231882728E-2</v>
      </c>
    </row>
    <row r="1950" spans="1:25" x14ac:dyDescent="0.25">
      <c r="A1950" s="879"/>
      <c r="B1950" s="1133">
        <v>1700</v>
      </c>
      <c r="C1950" s="883">
        <v>1.0080222203401594</v>
      </c>
      <c r="D1950" s="883">
        <v>0.99268889577804431</v>
      </c>
      <c r="E1950" s="883">
        <v>0.96769380745221867</v>
      </c>
      <c r="F1950" s="883">
        <v>0.99900206160447358</v>
      </c>
      <c r="G1950" s="883">
        <v>0.99765981713739205</v>
      </c>
      <c r="H1950" s="883">
        <v>0.97941440744183617</v>
      </c>
      <c r="I1950" s="883">
        <v>1.0398233109583681</v>
      </c>
      <c r="K1950">
        <v>1.6097307226347046</v>
      </c>
      <c r="L1950">
        <v>0</v>
      </c>
      <c r="M1950">
        <v>6.4272645724430125E-3</v>
      </c>
      <c r="N1950">
        <v>0.11422221788331605</v>
      </c>
      <c r="O1950">
        <v>3.0717966712963778E-2</v>
      </c>
      <c r="P1950">
        <v>1.7927448423995348E-2</v>
      </c>
      <c r="Q1950">
        <v>0</v>
      </c>
      <c r="R1950">
        <v>6.4272645724430125E-3</v>
      </c>
      <c r="S1950">
        <v>0.17283029558316687</v>
      </c>
      <c r="T1950">
        <v>1.1853730818567301</v>
      </c>
      <c r="U1950">
        <v>0</v>
      </c>
      <c r="V1950">
        <v>1.5810525538349343E-2</v>
      </c>
      <c r="W1950">
        <v>6.1097490219310782E-2</v>
      </c>
      <c r="X1950">
        <v>-1.4714635082001205E-2</v>
      </c>
      <c r="Y1950">
        <v>2.6466331498873327E-2</v>
      </c>
    </row>
    <row r="1951" spans="1:25" x14ac:dyDescent="0.25">
      <c r="A1951" s="879"/>
      <c r="B1951" s="1133">
        <v>1701</v>
      </c>
      <c r="C1951" s="883">
        <v>1.0014325781049378</v>
      </c>
      <c r="D1951" s="883">
        <v>1.0399268676846665</v>
      </c>
      <c r="E1951" s="883">
        <v>0.9711356611782862</v>
      </c>
      <c r="F1951" s="883">
        <v>0.96509199606975204</v>
      </c>
      <c r="G1951" s="883">
        <v>1.0314342567066728</v>
      </c>
      <c r="H1951" s="883">
        <v>1.0169971946575287</v>
      </c>
      <c r="I1951" s="883">
        <v>0.98134886694834833</v>
      </c>
      <c r="K1951">
        <v>1.5657415792975933</v>
      </c>
      <c r="L1951">
        <v>0</v>
      </c>
      <c r="M1951">
        <v>6.5603830783070175E-3</v>
      </c>
      <c r="N1951">
        <v>0.11718529708619434</v>
      </c>
      <c r="O1951">
        <v>3.0347863670510112E-2</v>
      </c>
      <c r="P1951">
        <v>1.7357633935998096E-2</v>
      </c>
      <c r="Q1951">
        <v>0</v>
      </c>
      <c r="R1951">
        <v>6.5603830783070175E-3</v>
      </c>
      <c r="S1951">
        <v>0.16586068388881181</v>
      </c>
      <c r="T1951">
        <v>1.1450746725782439</v>
      </c>
      <c r="U1951">
        <v>0</v>
      </c>
      <c r="V1951">
        <v>1.5846112921681321E-2</v>
      </c>
      <c r="W1951">
        <v>6.2574042192741916E-2</v>
      </c>
      <c r="X1951">
        <v>-1.5519216788399999E-2</v>
      </c>
      <c r="Y1951">
        <v>2.7014489811810545E-2</v>
      </c>
    </row>
    <row r="1952" spans="1:25" x14ac:dyDescent="0.25">
      <c r="A1952" s="879"/>
      <c r="B1952" s="1133">
        <v>1702</v>
      </c>
      <c r="C1952" s="883">
        <v>0.95967700977136805</v>
      </c>
      <c r="D1952" s="883">
        <v>1.0474730377783339</v>
      </c>
      <c r="E1952" s="883">
        <v>1.0404858198498317</v>
      </c>
      <c r="F1952" s="883">
        <v>1.0155652016972132</v>
      </c>
      <c r="G1952" s="883">
        <v>0.98544665274407273</v>
      </c>
      <c r="H1952" s="883">
        <v>0.98144410381239511</v>
      </c>
      <c r="I1952" s="883">
        <v>1.0054127783429228</v>
      </c>
      <c r="K1952">
        <v>1.6417100416440009</v>
      </c>
      <c r="L1952">
        <v>0</v>
      </c>
      <c r="M1952">
        <v>6.1979458674015324E-3</v>
      </c>
      <c r="N1952">
        <v>0.12268527594619537</v>
      </c>
      <c r="O1952">
        <v>3.1515286438790827E-2</v>
      </c>
      <c r="P1952">
        <v>1.9229299516876661E-2</v>
      </c>
      <c r="Q1952">
        <v>0</v>
      </c>
      <c r="R1952">
        <v>6.1979458674015324E-3</v>
      </c>
      <c r="S1952">
        <v>0.17520961716982483</v>
      </c>
      <c r="T1952">
        <v>1.2036536407960374</v>
      </c>
      <c r="U1952">
        <v>0</v>
      </c>
      <c r="V1952">
        <v>1.6082973962755751E-2</v>
      </c>
      <c r="W1952">
        <v>6.3298096479239452E-2</v>
      </c>
      <c r="X1952">
        <v>-1.5486186554440661E-2</v>
      </c>
      <c r="Y1952">
        <v>2.5522037888720425E-2</v>
      </c>
    </row>
    <row r="1953" spans="1:25" x14ac:dyDescent="0.25">
      <c r="A1953" s="879"/>
      <c r="B1953" s="1133">
        <v>1703</v>
      </c>
      <c r="C1953" s="883">
        <v>1.0371506719789974</v>
      </c>
      <c r="D1953" s="883">
        <v>1.0208747922841752</v>
      </c>
      <c r="E1953" s="883">
        <v>1.0107601988643209</v>
      </c>
      <c r="F1953" s="883">
        <v>1.0127658547572047</v>
      </c>
      <c r="G1953" s="883">
        <v>0.99543009705703089</v>
      </c>
      <c r="H1953" s="883">
        <v>1.0194139852648003</v>
      </c>
      <c r="I1953" s="883">
        <v>1.0029934341276552</v>
      </c>
      <c r="K1953">
        <v>1.6177241688431125</v>
      </c>
      <c r="L1953">
        <v>0</v>
      </c>
      <c r="M1953">
        <v>6.1844009975614402E-3</v>
      </c>
      <c r="N1953">
        <v>0.11715291218028534</v>
      </c>
      <c r="O1953">
        <v>2.9489009212040201E-2</v>
      </c>
      <c r="P1953">
        <v>1.8616439054220529E-2</v>
      </c>
      <c r="Q1953">
        <v>0</v>
      </c>
      <c r="R1953">
        <v>6.1844009975614402E-3</v>
      </c>
      <c r="S1953">
        <v>0.16403593611610631</v>
      </c>
      <c r="T1953">
        <v>1.2008919436438827</v>
      </c>
      <c r="U1953">
        <v>0</v>
      </c>
      <c r="V1953">
        <v>1.5658634733953049E-2</v>
      </c>
      <c r="W1953">
        <v>6.1333249028774454E-2</v>
      </c>
      <c r="X1953">
        <v>-1.4920217651765193E-2</v>
      </c>
      <c r="Y1953">
        <v>2.5466262525615874E-2</v>
      </c>
    </row>
    <row r="1954" spans="1:25" x14ac:dyDescent="0.25">
      <c r="A1954" s="879"/>
      <c r="B1954" s="1133">
        <v>1704</v>
      </c>
      <c r="C1954" s="883">
        <v>1.0113434112550372</v>
      </c>
      <c r="D1954" s="883">
        <v>1.0103265406472131</v>
      </c>
      <c r="E1954" s="883">
        <v>0.99317810953593755</v>
      </c>
      <c r="F1954" s="883">
        <v>0.97355576072767058</v>
      </c>
      <c r="G1954" s="883">
        <v>1.0119672381954912</v>
      </c>
      <c r="H1954" s="883">
        <v>0.95255545026738353</v>
      </c>
      <c r="I1954" s="883">
        <v>1.00694832985573</v>
      </c>
      <c r="K1954">
        <v>1.565080621982657</v>
      </c>
      <c r="L1954">
        <v>0</v>
      </c>
      <c r="M1954">
        <v>6.0459215981472515E-3</v>
      </c>
      <c r="N1954">
        <v>0.11158538178417388</v>
      </c>
      <c r="O1954">
        <v>3.0382241210524002E-2</v>
      </c>
      <c r="P1954">
        <v>1.7772572625755833E-2</v>
      </c>
      <c r="Q1954">
        <v>0</v>
      </c>
      <c r="R1954">
        <v>6.0459215981472515E-3</v>
      </c>
      <c r="S1954">
        <v>0.16513180254034804</v>
      </c>
      <c r="T1954">
        <v>1.1547163655009285</v>
      </c>
      <c r="U1954">
        <v>0</v>
      </c>
      <c r="V1954">
        <v>1.5792765204416481E-2</v>
      </c>
      <c r="W1954">
        <v>5.8930393866601809E-2</v>
      </c>
      <c r="X1954">
        <v>-1.4126929757334957E-2</v>
      </c>
      <c r="Y1954">
        <v>2.4896029007242488E-2</v>
      </c>
    </row>
    <row r="1955" spans="1:25" x14ac:dyDescent="0.25">
      <c r="A1955" s="879"/>
      <c r="B1955" s="1133">
        <v>1705</v>
      </c>
      <c r="C1955" s="883">
        <v>0.99966243566135404</v>
      </c>
      <c r="D1955" s="883">
        <v>1.0333690129581687</v>
      </c>
      <c r="E1955" s="883">
        <v>0.97800302373339232</v>
      </c>
      <c r="F1955" s="883">
        <v>0.97777483414478317</v>
      </c>
      <c r="G1955" s="883">
        <v>1.0093292296790579</v>
      </c>
      <c r="H1955" s="883">
        <v>0.99098511819681157</v>
      </c>
      <c r="I1955" s="883">
        <v>1.0064042535356217</v>
      </c>
      <c r="K1955">
        <v>1.5808109712924456</v>
      </c>
      <c r="L1955">
        <v>0</v>
      </c>
      <c r="M1955">
        <v>6.3836601169557578E-3</v>
      </c>
      <c r="N1955">
        <v>0.11519681626102114</v>
      </c>
      <c r="O1955">
        <v>3.0473363029749005E-2</v>
      </c>
      <c r="P1955">
        <v>1.7687603900317636E-2</v>
      </c>
      <c r="Q1955">
        <v>0</v>
      </c>
      <c r="R1955">
        <v>6.3836601169557578E-3</v>
      </c>
      <c r="S1955">
        <v>0.16897116351489422</v>
      </c>
      <c r="T1955">
        <v>1.1599972287493763</v>
      </c>
      <c r="U1955">
        <v>0</v>
      </c>
      <c r="V1955">
        <v>1.5855752525122072E-2</v>
      </c>
      <c r="W1955">
        <v>6.1300624079951051E-2</v>
      </c>
      <c r="X1955">
        <v>-1.4958356880467118E-2</v>
      </c>
      <c r="Y1955">
        <v>2.6286776112480564E-2</v>
      </c>
    </row>
    <row r="1956" spans="1:25" x14ac:dyDescent="0.25">
      <c r="A1956" s="879"/>
      <c r="B1956" s="1133">
        <v>1706</v>
      </c>
      <c r="C1956" s="883">
        <v>0.98377006732350269</v>
      </c>
      <c r="D1956" s="883">
        <v>1.0465263470679702</v>
      </c>
      <c r="E1956" s="883">
        <v>0.9671026852397222</v>
      </c>
      <c r="F1956" s="883">
        <v>0.98348341797265837</v>
      </c>
      <c r="G1956" s="883">
        <v>0.99205207552282304</v>
      </c>
      <c r="H1956" s="883">
        <v>1.0275980410523249</v>
      </c>
      <c r="I1956" s="883">
        <v>0.97440497018479311</v>
      </c>
      <c r="K1956">
        <v>1.5954158808108256</v>
      </c>
      <c r="L1956">
        <v>0</v>
      </c>
      <c r="M1956">
        <v>6.7524779709620189E-3</v>
      </c>
      <c r="N1956">
        <v>0.11989645401964358</v>
      </c>
      <c r="O1956">
        <v>3.0817714483429858E-2</v>
      </c>
      <c r="P1956">
        <v>1.7620165870463514E-2</v>
      </c>
      <c r="Q1956">
        <v>0</v>
      </c>
      <c r="R1956">
        <v>6.7524779709620189E-3</v>
      </c>
      <c r="S1956">
        <v>0.16817455336961304</v>
      </c>
      <c r="T1956">
        <v>1.1669702108224769</v>
      </c>
      <c r="U1956">
        <v>0</v>
      </c>
      <c r="V1956">
        <v>1.594385085713006E-2</v>
      </c>
      <c r="W1956">
        <v>6.4151723337194072E-2</v>
      </c>
      <c r="X1956">
        <v>-1.5964294337274289E-2</v>
      </c>
      <c r="Y1956">
        <v>2.7805502388147559E-2</v>
      </c>
    </row>
    <row r="1957" spans="1:25" x14ac:dyDescent="0.25">
      <c r="A1957" s="879"/>
      <c r="B1957" s="1133">
        <v>1707</v>
      </c>
      <c r="C1957" s="883">
        <v>1.0209858335408346</v>
      </c>
      <c r="D1957" s="883">
        <v>1.0069039199010283</v>
      </c>
      <c r="E1957" s="883">
        <v>0.99027164830620173</v>
      </c>
      <c r="F1957" s="883">
        <v>0.9908239342173164</v>
      </c>
      <c r="G1957" s="883">
        <v>0.97765054058738576</v>
      </c>
      <c r="H1957" s="883">
        <v>0.99616512644332511</v>
      </c>
      <c r="I1957" s="883">
        <v>1.006016380643493</v>
      </c>
      <c r="K1957">
        <v>1.5927773697828285</v>
      </c>
      <c r="L1957">
        <v>0</v>
      </c>
      <c r="M1957">
        <v>6.2884151121956004E-3</v>
      </c>
      <c r="N1957">
        <v>0.11556194251923239</v>
      </c>
      <c r="O1957">
        <v>3.0138530154782402E-2</v>
      </c>
      <c r="P1957">
        <v>1.801570267246036E-2</v>
      </c>
      <c r="Q1957">
        <v>0</v>
      </c>
      <c r="R1957">
        <v>6.2884151121956004E-3</v>
      </c>
      <c r="S1957">
        <v>0.16593072174016218</v>
      </c>
      <c r="T1957">
        <v>1.1752514505864762</v>
      </c>
      <c r="U1957">
        <v>0</v>
      </c>
      <c r="V1957">
        <v>1.5741856291587881E-2</v>
      </c>
      <c r="W1957">
        <v>6.1118949054681494E-2</v>
      </c>
      <c r="X1957">
        <v>-1.4876357372412401E-2</v>
      </c>
      <c r="Y1957">
        <v>2.58945741358571E-2</v>
      </c>
    </row>
    <row r="1958" spans="1:25" x14ac:dyDescent="0.25">
      <c r="A1958" s="879"/>
      <c r="B1958" s="1133">
        <v>1708</v>
      </c>
      <c r="C1958" s="883">
        <v>1.0320361121005028</v>
      </c>
      <c r="D1958" s="883">
        <v>1.0019038060357162</v>
      </c>
      <c r="E1958" s="883">
        <v>0.99907388823484911</v>
      </c>
      <c r="F1958" s="883">
        <v>0.97677118911292482</v>
      </c>
      <c r="G1958" s="883">
        <v>0.97592076308223075</v>
      </c>
      <c r="H1958" s="883">
        <v>0.99782566052331634</v>
      </c>
      <c r="I1958" s="883">
        <v>0.99214863011882704</v>
      </c>
      <c r="K1958">
        <v>1.5706751944725714</v>
      </c>
      <c r="L1958">
        <v>0</v>
      </c>
      <c r="M1958">
        <v>6.1974918311550149E-3</v>
      </c>
      <c r="N1958">
        <v>0.11538654885005671</v>
      </c>
      <c r="O1958">
        <v>2.9868138098370304E-2</v>
      </c>
      <c r="P1958">
        <v>1.7859128940044235E-2</v>
      </c>
      <c r="Q1958">
        <v>0</v>
      </c>
      <c r="R1958">
        <v>6.1974918311550149E-3</v>
      </c>
      <c r="S1958">
        <v>0.16204053491332121</v>
      </c>
      <c r="T1958">
        <v>1.1584229983081757</v>
      </c>
      <c r="U1958">
        <v>0</v>
      </c>
      <c r="V1958">
        <v>1.5684684124164214E-2</v>
      </c>
      <c r="W1958">
        <v>6.0759413967962361E-2</v>
      </c>
      <c r="X1958">
        <v>-1.4866420977798245E-2</v>
      </c>
      <c r="Y1958">
        <v>2.5520168248272693E-2</v>
      </c>
    </row>
    <row r="1959" spans="1:25" x14ac:dyDescent="0.25">
      <c r="A1959" s="879"/>
      <c r="B1959" s="1133">
        <v>1709</v>
      </c>
      <c r="C1959" s="883">
        <v>1.012057477699648</v>
      </c>
      <c r="D1959" s="883">
        <v>0.99780317408416574</v>
      </c>
      <c r="E1959" s="883">
        <v>1.0371939204254772</v>
      </c>
      <c r="F1959" s="883">
        <v>1.0164754666273201</v>
      </c>
      <c r="G1959" s="883">
        <v>1.0098503084435582</v>
      </c>
      <c r="H1959" s="883">
        <v>0.95908652522500526</v>
      </c>
      <c r="I1959" s="883">
        <v>1.0086441849936123</v>
      </c>
      <c r="K1959">
        <v>1.6217512727139249</v>
      </c>
      <c r="L1959">
        <v>0</v>
      </c>
      <c r="M1959">
        <v>5.8858984000142436E-3</v>
      </c>
      <c r="N1959">
        <v>0.11594325723119413</v>
      </c>
      <c r="O1959">
        <v>3.0473691583159102E-2</v>
      </c>
      <c r="P1959">
        <v>1.9065380388164136E-2</v>
      </c>
      <c r="Q1959">
        <v>0</v>
      </c>
      <c r="R1959">
        <v>5.8858984000142436E-3</v>
      </c>
      <c r="S1959">
        <v>0.16582768152779773</v>
      </c>
      <c r="T1959">
        <v>1.2047941055608169</v>
      </c>
      <c r="U1959">
        <v>0</v>
      </c>
      <c r="V1959">
        <v>1.5788961902180973E-2</v>
      </c>
      <c r="W1959">
        <v>5.9915963219167076E-2</v>
      </c>
      <c r="X1959">
        <v>-1.4294850658954718E-2</v>
      </c>
      <c r="Y1959">
        <v>2.4237081960398223E-2</v>
      </c>
    </row>
    <row r="1960" spans="1:25" x14ac:dyDescent="0.25">
      <c r="A1960" s="879"/>
      <c r="B1960" s="1133">
        <v>1710</v>
      </c>
      <c r="C1960" s="883">
        <v>1.0444152203913022</v>
      </c>
      <c r="D1960" s="883">
        <v>0.99247714347520888</v>
      </c>
      <c r="E1960" s="883">
        <v>0.98400816863945451</v>
      </c>
      <c r="F1960" s="883">
        <v>0.98191923458537977</v>
      </c>
      <c r="G1960" s="883">
        <v>1.0064024595880041</v>
      </c>
      <c r="H1960" s="883">
        <v>1.0002414047378969</v>
      </c>
      <c r="I1960" s="883">
        <v>0.97009132546389465</v>
      </c>
      <c r="K1960">
        <v>1.5695886338087732</v>
      </c>
      <c r="L1960">
        <v>0</v>
      </c>
      <c r="M1960">
        <v>6.2463995682802463E-3</v>
      </c>
      <c r="N1960">
        <v>0.11372858394754372</v>
      </c>
      <c r="O1960">
        <v>2.9637892840034895E-2</v>
      </c>
      <c r="P1960">
        <v>1.7668504495299556E-2</v>
      </c>
      <c r="Q1960">
        <v>0</v>
      </c>
      <c r="R1960">
        <v>6.2463995682802463E-3</v>
      </c>
      <c r="S1960">
        <v>0.15676487083604171</v>
      </c>
      <c r="T1960">
        <v>1.1648039195725359</v>
      </c>
      <c r="U1960">
        <v>0</v>
      </c>
      <c r="V1960">
        <v>1.5622073603282636E-2</v>
      </c>
      <c r="W1960">
        <v>6.0337697796432256E-2</v>
      </c>
      <c r="X1960">
        <v>-1.4696470886898393E-2</v>
      </c>
      <c r="Y1960">
        <v>2.5721561604501699E-2</v>
      </c>
    </row>
    <row r="1961" spans="1:25" x14ac:dyDescent="0.25">
      <c r="A1961" s="879"/>
      <c r="B1961" s="1133">
        <v>1711</v>
      </c>
      <c r="C1961" s="883">
        <v>1.0124125508163588</v>
      </c>
      <c r="D1961" s="883">
        <v>0.98336340357476193</v>
      </c>
      <c r="E1961" s="883">
        <v>0.97445485588824809</v>
      </c>
      <c r="F1961" s="883">
        <v>0.97936136450799782</v>
      </c>
      <c r="G1961" s="883">
        <v>1.0169260187176949</v>
      </c>
      <c r="H1961" s="883">
        <v>0.98909042986823204</v>
      </c>
      <c r="I1961" s="883">
        <v>1.0267689625504981</v>
      </c>
      <c r="K1961">
        <v>1.5857416790521184</v>
      </c>
      <c r="L1961">
        <v>0</v>
      </c>
      <c r="M1961">
        <v>6.4518019114783625E-3</v>
      </c>
      <c r="N1961">
        <v>0.11581500494499952</v>
      </c>
      <c r="O1961">
        <v>3.0695295958518387E-2</v>
      </c>
      <c r="P1961">
        <v>1.768506091151217E-2</v>
      </c>
      <c r="Q1961">
        <v>0</v>
      </c>
      <c r="R1961">
        <v>6.4518019114783625E-3</v>
      </c>
      <c r="S1961">
        <v>0.1705951627739325</v>
      </c>
      <c r="T1961">
        <v>1.1619443747221283</v>
      </c>
      <c r="U1961">
        <v>0</v>
      </c>
      <c r="V1961">
        <v>1.5787072688270155E-2</v>
      </c>
      <c r="W1961">
        <v>6.173934373445257E-2</v>
      </c>
      <c r="X1961">
        <v>-1.5087008575232744E-2</v>
      </c>
      <c r="Y1961">
        <v>2.6567371893537365E-2</v>
      </c>
    </row>
    <row r="1962" spans="1:25" x14ac:dyDescent="0.25">
      <c r="A1962" s="879"/>
      <c r="B1962" s="1133">
        <v>1712</v>
      </c>
      <c r="C1962" s="883">
        <v>0.98329769258381894</v>
      </c>
      <c r="D1962" s="883">
        <v>0.98296266037850921</v>
      </c>
      <c r="E1962" s="883">
        <v>1.0258377831699839</v>
      </c>
      <c r="F1962" s="883">
        <v>0.99674782273223939</v>
      </c>
      <c r="G1962" s="883">
        <v>0.98726437804560174</v>
      </c>
      <c r="H1962" s="883">
        <v>0.98996621093130543</v>
      </c>
      <c r="I1962" s="883">
        <v>0.99882026083029807</v>
      </c>
      <c r="K1962">
        <v>1.6162458971191589</v>
      </c>
      <c r="L1962">
        <v>0</v>
      </c>
      <c r="M1962">
        <v>6.358034309948273E-3</v>
      </c>
      <c r="N1962">
        <v>0.12315898184709481</v>
      </c>
      <c r="O1962">
        <v>3.1564517896687565E-2</v>
      </c>
      <c r="P1962">
        <v>1.8662965804873227E-2</v>
      </c>
      <c r="Q1962">
        <v>0</v>
      </c>
      <c r="R1962">
        <v>6.358034309948273E-3</v>
      </c>
      <c r="S1962">
        <v>0.17097740556413643</v>
      </c>
      <c r="T1962">
        <v>1.1816203882223377</v>
      </c>
      <c r="U1962">
        <v>0</v>
      </c>
      <c r="V1962">
        <v>1.5946513016691616E-2</v>
      </c>
      <c r="W1962">
        <v>6.4000176294902622E-2</v>
      </c>
      <c r="X1962">
        <v>-1.5866305128012723E-2</v>
      </c>
      <c r="Y1962">
        <v>2.6181253600447343E-2</v>
      </c>
    </row>
    <row r="1963" spans="1:25" x14ac:dyDescent="0.25">
      <c r="A1963" s="879"/>
      <c r="B1963" s="1133">
        <v>1713</v>
      </c>
      <c r="C1963" s="883">
        <v>1.0033037269072109</v>
      </c>
      <c r="D1963" s="883">
        <v>1.0043794258805647</v>
      </c>
      <c r="E1963" s="883">
        <v>0.99635891483095451</v>
      </c>
      <c r="F1963" s="883">
        <v>1.0158328950030402</v>
      </c>
      <c r="G1963" s="883">
        <v>1.0053574050405587</v>
      </c>
      <c r="H1963" s="883">
        <v>1.0379677520945125</v>
      </c>
      <c r="I1963" s="883">
        <v>0.99959824217639859</v>
      </c>
      <c r="K1963">
        <v>1.6393549487154695</v>
      </c>
      <c r="L1963">
        <v>0</v>
      </c>
      <c r="M1963">
        <v>6.6398675479036936E-3</v>
      </c>
      <c r="N1963">
        <v>0.1231264987135308</v>
      </c>
      <c r="O1963">
        <v>3.0695462780083886E-2</v>
      </c>
      <c r="P1963">
        <v>1.8552093951637681E-2</v>
      </c>
      <c r="Q1963">
        <v>0</v>
      </c>
      <c r="R1963">
        <v>6.6398675479036936E-3</v>
      </c>
      <c r="S1963">
        <v>0.17021910911984633</v>
      </c>
      <c r="T1963">
        <v>1.2048003614249401</v>
      </c>
      <c r="U1963">
        <v>0</v>
      </c>
      <c r="V1963">
        <v>1.5835960252717045E-2</v>
      </c>
      <c r="W1963">
        <v>6.4922621640075312E-2</v>
      </c>
      <c r="X1963">
        <v>-1.613895187726385E-2</v>
      </c>
      <c r="Y1963">
        <v>2.7341792709901478E-2</v>
      </c>
    </row>
    <row r="1964" spans="1:25" x14ac:dyDescent="0.25">
      <c r="A1964" s="879"/>
      <c r="B1964" s="1133">
        <v>1714</v>
      </c>
      <c r="C1964" s="883">
        <v>1.0033207810401248</v>
      </c>
      <c r="D1964" s="883">
        <v>0.98813140953976708</v>
      </c>
      <c r="E1964" s="883">
        <v>1.0108498643975483</v>
      </c>
      <c r="F1964" s="883">
        <v>1.0350686587800186</v>
      </c>
      <c r="G1964" s="883">
        <v>0.99036596578429437</v>
      </c>
      <c r="H1964" s="883">
        <v>0.97967830998828742</v>
      </c>
      <c r="I1964" s="883">
        <v>0.99592152859274874</v>
      </c>
      <c r="K1964">
        <v>1.6501902645893116</v>
      </c>
      <c r="L1964">
        <v>0</v>
      </c>
      <c r="M1964">
        <v>6.2332119806068013E-3</v>
      </c>
      <c r="N1964">
        <v>0.11809322653279125</v>
      </c>
      <c r="O1964">
        <v>3.0883337977545125E-2</v>
      </c>
      <c r="P1964">
        <v>1.9008735722262738E-2</v>
      </c>
      <c r="Q1964">
        <v>0</v>
      </c>
      <c r="R1964">
        <v>6.2332119806068013E-3</v>
      </c>
      <c r="S1964">
        <v>0.16641470747488082</v>
      </c>
      <c r="T1964">
        <v>1.227335879422577</v>
      </c>
      <c r="U1964">
        <v>0</v>
      </c>
      <c r="V1964">
        <v>1.5835867892817612E-2</v>
      </c>
      <c r="W1964">
        <v>6.1822792323654251E-2</v>
      </c>
      <c r="X1964">
        <v>-1.487154022298318E-2</v>
      </c>
      <c r="Y1964">
        <v>2.5667257465765564E-2</v>
      </c>
    </row>
    <row r="1965" spans="1:25" x14ac:dyDescent="0.25">
      <c r="A1965" s="879"/>
      <c r="B1965" s="1133">
        <v>1715</v>
      </c>
      <c r="C1965" s="883">
        <v>0.98598170420314246</v>
      </c>
      <c r="D1965" s="883">
        <v>1.0111134950530805</v>
      </c>
      <c r="E1965" s="883">
        <v>0.97482995212369461</v>
      </c>
      <c r="F1965" s="883">
        <v>0.99336851284799743</v>
      </c>
      <c r="G1965" s="883">
        <v>0.98123972072511689</v>
      </c>
      <c r="H1965" s="883">
        <v>1.0429340889732308</v>
      </c>
      <c r="I1965" s="883">
        <v>0.99519133769323054</v>
      </c>
      <c r="K1965">
        <v>1.6179373156424888</v>
      </c>
      <c r="L1965">
        <v>0</v>
      </c>
      <c r="M1965">
        <v>6.8969484853488947E-3</v>
      </c>
      <c r="N1965">
        <v>0.12387468928803995</v>
      </c>
      <c r="O1965">
        <v>3.1168940065192594E-2</v>
      </c>
      <c r="P1965">
        <v>1.7936826290205796E-2</v>
      </c>
      <c r="Q1965">
        <v>0</v>
      </c>
      <c r="R1965">
        <v>6.8969484853488947E-3</v>
      </c>
      <c r="S1965">
        <v>0.17263734943483819</v>
      </c>
      <c r="T1965">
        <v>1.1785559191028154</v>
      </c>
      <c r="U1965">
        <v>0</v>
      </c>
      <c r="V1965">
        <v>1.5931420677530898E-2</v>
      </c>
      <c r="W1965">
        <v>6.6023419139550912E-2</v>
      </c>
      <c r="X1965">
        <v>-1.6591654607285972E-2</v>
      </c>
      <c r="Y1965">
        <v>2.8400406251599758E-2</v>
      </c>
    </row>
    <row r="1966" spans="1:25" x14ac:dyDescent="0.25">
      <c r="A1966" s="879"/>
      <c r="B1966" s="1133">
        <v>1716</v>
      </c>
      <c r="C1966" s="883">
        <v>0.9837375345221141</v>
      </c>
      <c r="D1966" s="883">
        <v>1.0115927311924373</v>
      </c>
      <c r="E1966" s="883">
        <v>1.0418361196344141</v>
      </c>
      <c r="F1966" s="883">
        <v>1.0002337793529024</v>
      </c>
      <c r="G1966" s="883">
        <v>0.96605616151885099</v>
      </c>
      <c r="H1966" s="883">
        <v>1.0052149939948249</v>
      </c>
      <c r="I1966" s="883">
        <v>0.99954132700647613</v>
      </c>
      <c r="K1966">
        <v>1.6219003594269703</v>
      </c>
      <c r="L1966">
        <v>0</v>
      </c>
      <c r="M1966">
        <v>6.2822200633817554E-3</v>
      </c>
      <c r="N1966">
        <v>0.12460169543828913</v>
      </c>
      <c r="O1966">
        <v>3.1174788973457108E-2</v>
      </c>
      <c r="P1966">
        <v>1.8946100461564804E-2</v>
      </c>
      <c r="Q1966">
        <v>0</v>
      </c>
      <c r="R1966">
        <v>6.2822200633817554E-3</v>
      </c>
      <c r="S1966">
        <v>0.17164526005220368</v>
      </c>
      <c r="T1966">
        <v>1.1854578966439493</v>
      </c>
      <c r="U1966">
        <v>0</v>
      </c>
      <c r="V1966">
        <v>1.594403412007293E-2</v>
      </c>
      <c r="W1966">
        <v>6.4244473118814191E-2</v>
      </c>
      <c r="X1966">
        <v>-1.5982953408901573E-2</v>
      </c>
      <c r="Y1966">
        <v>2.5869064027519283E-2</v>
      </c>
    </row>
    <row r="1967" spans="1:25" x14ac:dyDescent="0.25">
      <c r="A1967" s="879"/>
      <c r="B1967" s="1133">
        <v>1717</v>
      </c>
      <c r="C1967" s="883">
        <v>1.0010180907721185</v>
      </c>
      <c r="D1967" s="883">
        <v>1.0388469620453682</v>
      </c>
      <c r="E1967" s="883">
        <v>1.0136046009013531</v>
      </c>
      <c r="F1967" s="883">
        <v>0.97582256600783956</v>
      </c>
      <c r="G1967" s="883">
        <v>0.99170384104550613</v>
      </c>
      <c r="H1967" s="883">
        <v>0.97179563386772672</v>
      </c>
      <c r="I1967" s="883">
        <v>1.0068535281147104</v>
      </c>
      <c r="K1967">
        <v>1.5744959538144256</v>
      </c>
      <c r="L1967">
        <v>0</v>
      </c>
      <c r="M1967">
        <v>6.0459762546449742E-3</v>
      </c>
      <c r="N1967">
        <v>0.11501389743177237</v>
      </c>
      <c r="O1967">
        <v>3.0338419169924816E-2</v>
      </c>
      <c r="P1967">
        <v>1.8115926084055385E-2</v>
      </c>
      <c r="Q1967">
        <v>0</v>
      </c>
      <c r="R1967">
        <v>6.0459762546449742E-3</v>
      </c>
      <c r="S1967">
        <v>0.16770629642599355</v>
      </c>
      <c r="T1967">
        <v>1.1570348257306127</v>
      </c>
      <c r="U1967">
        <v>0</v>
      </c>
      <c r="V1967">
        <v>1.584836702418687E-2</v>
      </c>
      <c r="W1967">
        <v>6.0128829929539752E-2</v>
      </c>
      <c r="X1967">
        <v>-1.4586862054631836E-2</v>
      </c>
      <c r="Y1967">
        <v>2.4896254072971611E-2</v>
      </c>
    </row>
    <row r="1968" spans="1:25" x14ac:dyDescent="0.25">
      <c r="A1968" s="879"/>
      <c r="B1968" s="1133">
        <v>1718</v>
      </c>
      <c r="C1968" s="883">
        <v>0.97699830040624691</v>
      </c>
      <c r="D1968" s="883">
        <v>0.98575140695044372</v>
      </c>
      <c r="E1968" s="883">
        <v>0.9833729883361999</v>
      </c>
      <c r="F1968" s="883">
        <v>1.0043571398627713</v>
      </c>
      <c r="G1968" s="883">
        <v>0.96926837026517765</v>
      </c>
      <c r="H1968" s="883">
        <v>1.0005841534533317</v>
      </c>
      <c r="I1968" s="883">
        <v>1.0108347585637762</v>
      </c>
      <c r="K1968">
        <v>1.6304110807174244</v>
      </c>
      <c r="L1968">
        <v>0</v>
      </c>
      <c r="M1968">
        <v>6.7037300177048972E-3</v>
      </c>
      <c r="N1968">
        <v>0.12194028807552421</v>
      </c>
      <c r="O1968">
        <v>3.1769847855793142E-2</v>
      </c>
      <c r="P1968">
        <v>1.8253680054753762E-2</v>
      </c>
      <c r="Q1968">
        <v>0</v>
      </c>
      <c r="R1968">
        <v>6.7037300177048972E-3</v>
      </c>
      <c r="S1968">
        <v>0.17471364653505869</v>
      </c>
      <c r="T1968">
        <v>1.1914328374899512</v>
      </c>
      <c r="U1968">
        <v>0</v>
      </c>
      <c r="V1968">
        <v>1.5982260531895422E-2</v>
      </c>
      <c r="W1968">
        <v>6.4714892744512795E-2</v>
      </c>
      <c r="X1968">
        <v>-1.6001139563513608E-2</v>
      </c>
      <c r="Y1968">
        <v>2.7604766993446949E-2</v>
      </c>
    </row>
    <row r="1969" spans="1:25" x14ac:dyDescent="0.25">
      <c r="A1969" s="879"/>
      <c r="B1969" s="1133">
        <v>1719</v>
      </c>
      <c r="C1969" s="883">
        <v>1.0310850099126276</v>
      </c>
      <c r="D1969" s="883">
        <v>1.0244270092355809</v>
      </c>
      <c r="E1969" s="883">
        <v>1.024296886188317</v>
      </c>
      <c r="F1969" s="883">
        <v>0.97677081767572804</v>
      </c>
      <c r="G1969" s="883">
        <v>0.98946074946265983</v>
      </c>
      <c r="H1969" s="883">
        <v>0.97098979293214638</v>
      </c>
      <c r="I1969" s="883">
        <v>0.967250862059578</v>
      </c>
      <c r="K1969">
        <v>1.5595335003018678</v>
      </c>
      <c r="L1969">
        <v>0</v>
      </c>
      <c r="M1969">
        <v>5.8464430645762842E-3</v>
      </c>
      <c r="N1969">
        <v>0.1129913956448252</v>
      </c>
      <c r="O1969">
        <v>2.9609573184957983E-2</v>
      </c>
      <c r="P1969">
        <v>1.8118435003063541E-2</v>
      </c>
      <c r="Q1969">
        <v>0</v>
      </c>
      <c r="R1969">
        <v>5.8464430645762842E-3</v>
      </c>
      <c r="S1969">
        <v>0.15649543068186861</v>
      </c>
      <c r="T1969">
        <v>1.157965939115936</v>
      </c>
      <c r="U1969">
        <v>0</v>
      </c>
      <c r="V1969">
        <v>1.568955675887504E-2</v>
      </c>
      <c r="W1969">
        <v>5.8761032320291624E-2</v>
      </c>
      <c r="X1969">
        <v>-1.417247431980247E-2</v>
      </c>
      <c r="Y1969">
        <v>2.4074611911852617E-2</v>
      </c>
    </row>
    <row r="1970" spans="1:25" x14ac:dyDescent="0.25">
      <c r="A1970" s="879"/>
      <c r="B1970" s="1133">
        <v>1720</v>
      </c>
      <c r="C1970" s="883">
        <v>1.0240929876508524</v>
      </c>
      <c r="D1970" s="883">
        <v>1.0043854073831056</v>
      </c>
      <c r="E1970" s="883">
        <v>0.98206397194175399</v>
      </c>
      <c r="F1970" s="883">
        <v>0.9887407097785833</v>
      </c>
      <c r="G1970" s="883">
        <v>1.0268960606707427</v>
      </c>
      <c r="H1970" s="883">
        <v>1.0186946045491809</v>
      </c>
      <c r="I1970" s="883">
        <v>0.96521001976278464</v>
      </c>
      <c r="K1970">
        <v>1.5874332921697576</v>
      </c>
      <c r="L1970">
        <v>0</v>
      </c>
      <c r="M1970">
        <v>6.464401563848597E-3</v>
      </c>
      <c r="N1970">
        <v>0.11735881839135262</v>
      </c>
      <c r="O1970">
        <v>3.0083689402103889E-2</v>
      </c>
      <c r="P1970">
        <v>1.7792911483585548E-2</v>
      </c>
      <c r="Q1970">
        <v>0</v>
      </c>
      <c r="R1970">
        <v>6.464401563848597E-3</v>
      </c>
      <c r="S1970">
        <v>0.15996094355999013</v>
      </c>
      <c r="T1970">
        <v>1.1729317789976563</v>
      </c>
      <c r="U1970">
        <v>0</v>
      </c>
      <c r="V1970">
        <v>1.5725655742792367E-2</v>
      </c>
      <c r="W1970">
        <v>6.2324253302828328E-2</v>
      </c>
      <c r="X1970">
        <v>-1.5364013729895308E-2</v>
      </c>
      <c r="Y1970">
        <v>2.6619255019343466E-2</v>
      </c>
    </row>
    <row r="1971" spans="1:25" x14ac:dyDescent="0.25">
      <c r="A1971" s="879"/>
      <c r="B1971" s="1133">
        <v>1721</v>
      </c>
      <c r="C1971" s="883">
        <v>0.99585621096458654</v>
      </c>
      <c r="D1971" s="883">
        <v>0.99006029634875248</v>
      </c>
      <c r="E1971" s="883">
        <v>0.98591877680509055</v>
      </c>
      <c r="F1971" s="883">
        <v>1.0008407790764253</v>
      </c>
      <c r="G1971" s="883">
        <v>1.0181994673398436</v>
      </c>
      <c r="H1971" s="883">
        <v>1.0091461332950915</v>
      </c>
      <c r="I1971" s="883">
        <v>1.0453470972188104</v>
      </c>
      <c r="K1971">
        <v>1.6261862179517332</v>
      </c>
      <c r="L1971">
        <v>0</v>
      </c>
      <c r="M1971">
        <v>6.6054806070890339E-3</v>
      </c>
      <c r="N1971">
        <v>0.12060767528001431</v>
      </c>
      <c r="O1971">
        <v>3.1111841948783185E-2</v>
      </c>
      <c r="P1971">
        <v>1.8272262133796714E-2</v>
      </c>
      <c r="Q1971">
        <v>0</v>
      </c>
      <c r="R1971">
        <v>6.6054806070890339E-3</v>
      </c>
      <c r="S1971">
        <v>0.17773596726172933</v>
      </c>
      <c r="T1971">
        <v>1.1872139799996564</v>
      </c>
      <c r="U1971">
        <v>0</v>
      </c>
      <c r="V1971">
        <v>1.5876596015905964E-2</v>
      </c>
      <c r="W1971">
        <v>6.3926278144965237E-2</v>
      </c>
      <c r="X1971">
        <v>-1.5758576241392812E-2</v>
      </c>
      <c r="Y1971">
        <v>2.7200193408273995E-2</v>
      </c>
    </row>
    <row r="1972" spans="1:25" x14ac:dyDescent="0.25">
      <c r="A1972" s="879"/>
      <c r="B1972" s="1133">
        <v>1722</v>
      </c>
      <c r="C1972" s="883">
        <v>1.0374292389513398</v>
      </c>
      <c r="D1972" s="883">
        <v>0.9673463103868869</v>
      </c>
      <c r="E1972" s="883">
        <v>1.0113302408803726</v>
      </c>
      <c r="F1972" s="883">
        <v>1.0176595386945912</v>
      </c>
      <c r="G1972" s="883">
        <v>0.99529229876043757</v>
      </c>
      <c r="H1972" s="883">
        <v>0.99760414852145507</v>
      </c>
      <c r="I1972" s="883">
        <v>1.0140121698026192</v>
      </c>
      <c r="K1972">
        <v>1.6258138095543104</v>
      </c>
      <c r="L1972">
        <v>0</v>
      </c>
      <c r="M1972">
        <v>6.1945393129043801E-3</v>
      </c>
      <c r="N1972">
        <v>0.11744402462899044</v>
      </c>
      <c r="O1972">
        <v>3.0122615541719182E-2</v>
      </c>
      <c r="P1972">
        <v>1.8716980055331959E-2</v>
      </c>
      <c r="Q1972">
        <v>0</v>
      </c>
      <c r="R1972">
        <v>6.1945393129043801E-3</v>
      </c>
      <c r="S1972">
        <v>0.16510738746662074</v>
      </c>
      <c r="T1972">
        <v>1.2066838994354405</v>
      </c>
      <c r="U1972">
        <v>0</v>
      </c>
      <c r="V1972">
        <v>1.5657223317005437E-2</v>
      </c>
      <c r="W1972">
        <v>6.146832967454198E-2</v>
      </c>
      <c r="X1972">
        <v>-1.4894660868984479E-2</v>
      </c>
      <c r="Y1972">
        <v>2.5508010303645239E-2</v>
      </c>
    </row>
    <row r="1973" spans="1:25" x14ac:dyDescent="0.25">
      <c r="A1973" s="879"/>
      <c r="B1973" s="1133">
        <v>1723</v>
      </c>
      <c r="C1973" s="883">
        <v>1.0017283368183272</v>
      </c>
      <c r="D1973" s="883">
        <v>0.99353344697330881</v>
      </c>
      <c r="E1973" s="883">
        <v>0.97790811542167155</v>
      </c>
      <c r="F1973" s="883">
        <v>1.0001092056579144</v>
      </c>
      <c r="G1973" s="883">
        <v>1.0135168265418331</v>
      </c>
      <c r="H1973" s="883">
        <v>1.0002157038047863</v>
      </c>
      <c r="I1973" s="883">
        <v>0.95825242066951855</v>
      </c>
      <c r="K1973">
        <v>1.6050323064534771</v>
      </c>
      <c r="L1973">
        <v>0</v>
      </c>
      <c r="M1973">
        <v>6.5440277225321036E-3</v>
      </c>
      <c r="N1973">
        <v>0.11807411176182765</v>
      </c>
      <c r="O1973">
        <v>3.0892570083834513E-2</v>
      </c>
      <c r="P1973">
        <v>1.7935244751539254E-2</v>
      </c>
      <c r="Q1973">
        <v>0</v>
      </c>
      <c r="R1973">
        <v>6.5440277225321036E-3</v>
      </c>
      <c r="S1973">
        <v>0.1614322971121811</v>
      </c>
      <c r="T1973">
        <v>1.1864957046392395</v>
      </c>
      <c r="U1973">
        <v>0</v>
      </c>
      <c r="V1973">
        <v>1.5844505640297671E-2</v>
      </c>
      <c r="W1973">
        <v>6.2834731297619989E-2</v>
      </c>
      <c r="X1973">
        <v>-1.5424000200936941E-2</v>
      </c>
      <c r="Y1973">
        <v>2.6947141367874253E-2</v>
      </c>
    </row>
    <row r="1974" spans="1:25" x14ac:dyDescent="0.25">
      <c r="A1974" s="879"/>
      <c r="B1974" s="1133">
        <v>1724</v>
      </c>
      <c r="C1974" s="883">
        <v>1.0351939909999399</v>
      </c>
      <c r="D1974" s="883">
        <v>0.97046312460033168</v>
      </c>
      <c r="E1974" s="883">
        <v>0.96007143005445683</v>
      </c>
      <c r="F1974" s="883">
        <v>1.0088409025523708</v>
      </c>
      <c r="G1974" s="883">
        <v>1.008393053212405</v>
      </c>
      <c r="H1974" s="883">
        <v>1.0062856214338016</v>
      </c>
      <c r="I1974" s="883">
        <v>0.97535974848229767</v>
      </c>
      <c r="K1974">
        <v>1.6089486016370531</v>
      </c>
      <c r="L1974">
        <v>0</v>
      </c>
      <c r="M1974">
        <v>6.5388404705800946E-3</v>
      </c>
      <c r="N1974">
        <v>0.11489675556921859</v>
      </c>
      <c r="O1974">
        <v>3.0189390578144144E-2</v>
      </c>
      <c r="P1974">
        <v>1.7799713113013697E-2</v>
      </c>
      <c r="Q1974">
        <v>0</v>
      </c>
      <c r="R1974">
        <v>6.5388404705800946E-3</v>
      </c>
      <c r="S1974">
        <v>0.1595529611389673</v>
      </c>
      <c r="T1974">
        <v>1.1971915532733179</v>
      </c>
      <c r="U1974">
        <v>0</v>
      </c>
      <c r="V1974">
        <v>1.5668570067890162E-2</v>
      </c>
      <c r="W1974">
        <v>6.1694867492800516E-2</v>
      </c>
      <c r="X1974">
        <v>-1.4970990783932348E-2</v>
      </c>
      <c r="Y1974">
        <v>2.6925781187632305E-2</v>
      </c>
    </row>
    <row r="1975" spans="1:25" x14ac:dyDescent="0.25">
      <c r="A1975" s="879"/>
      <c r="B1975" s="1133">
        <v>1725</v>
      </c>
      <c r="C1975" s="883">
        <v>1.0100856443724988</v>
      </c>
      <c r="D1975" s="883">
        <v>0.96420190306845166</v>
      </c>
      <c r="E1975" s="883">
        <v>0.97877918351063886</v>
      </c>
      <c r="F1975" s="883">
        <v>0.97417928013017796</v>
      </c>
      <c r="G1975" s="883">
        <v>0.99501179029565046</v>
      </c>
      <c r="H1975" s="883">
        <v>0.99376730015374815</v>
      </c>
      <c r="I1975" s="883">
        <v>1.0182987834764017</v>
      </c>
      <c r="K1975">
        <v>1.582371640551437</v>
      </c>
      <c r="L1975">
        <v>0</v>
      </c>
      <c r="M1975">
        <v>6.5299581021674704E-3</v>
      </c>
      <c r="N1975">
        <v>0.11797263953636143</v>
      </c>
      <c r="O1975">
        <v>3.1005729985247046E-2</v>
      </c>
      <c r="P1975">
        <v>1.7655594801500817E-2</v>
      </c>
      <c r="Q1975">
        <v>0</v>
      </c>
      <c r="R1975">
        <v>6.5299581021674704E-3</v>
      </c>
      <c r="S1975">
        <v>0.17006592858171196</v>
      </c>
      <c r="T1975">
        <v>1.1557174676071214</v>
      </c>
      <c r="U1975">
        <v>0</v>
      </c>
      <c r="V1975">
        <v>1.5799477473342694E-2</v>
      </c>
      <c r="W1975">
        <v>6.2753336948011093E-2</v>
      </c>
      <c r="X1975">
        <v>-1.54877395573729E-2</v>
      </c>
      <c r="Y1975">
        <v>2.6889205175511768E-2</v>
      </c>
    </row>
    <row r="1976" spans="1:25" x14ac:dyDescent="0.25">
      <c r="A1976" s="879"/>
      <c r="B1976" s="1133">
        <v>1726</v>
      </c>
      <c r="C1976" s="883">
        <v>0.97850403454377144</v>
      </c>
      <c r="D1976" s="883">
        <v>0.98234043415866346</v>
      </c>
      <c r="E1976" s="883">
        <v>0.97823399405284905</v>
      </c>
      <c r="F1976" s="883">
        <v>1.0037091452030722</v>
      </c>
      <c r="G1976" s="883">
        <v>0.98394400161373197</v>
      </c>
      <c r="H1976" s="883">
        <v>1.0046810839028106</v>
      </c>
      <c r="I1976" s="883">
        <v>0.98751607903028049</v>
      </c>
      <c r="K1976">
        <v>1.6260580789373835</v>
      </c>
      <c r="L1976">
        <v>0</v>
      </c>
      <c r="M1976">
        <v>6.7614516065532954E-3</v>
      </c>
      <c r="N1976">
        <v>0.12205610643438304</v>
      </c>
      <c r="O1976">
        <v>3.1769176963419896E-2</v>
      </c>
      <c r="P1976">
        <v>1.8119580180603646E-2</v>
      </c>
      <c r="Q1976">
        <v>0</v>
      </c>
      <c r="R1976">
        <v>6.7614516065532954E-3</v>
      </c>
      <c r="S1976">
        <v>0.17069326701069903</v>
      </c>
      <c r="T1976">
        <v>1.1907604407479924</v>
      </c>
      <c r="U1976">
        <v>0</v>
      </c>
      <c r="V1976">
        <v>1.5973673997601336E-2</v>
      </c>
      <c r="W1976">
        <v>6.4943197426906851E-2</v>
      </c>
      <c r="X1976">
        <v>-1.6099818046489182E-2</v>
      </c>
      <c r="Y1976">
        <v>2.7842454222264838E-2</v>
      </c>
    </row>
    <row r="1977" spans="1:25" x14ac:dyDescent="0.25">
      <c r="A1977" s="879"/>
      <c r="B1977" s="1133">
        <v>1727</v>
      </c>
      <c r="C1977" s="883">
        <v>0.99882028244900611</v>
      </c>
      <c r="D1977" s="883">
        <v>1.0062511200857043</v>
      </c>
      <c r="E1977" s="883">
        <v>1.0196822929678349</v>
      </c>
      <c r="F1977" s="883">
        <v>1.020143750174068</v>
      </c>
      <c r="G1977" s="883">
        <v>0.98842559715859746</v>
      </c>
      <c r="H1977" s="883">
        <v>1.0048758314244166</v>
      </c>
      <c r="I1977" s="883">
        <v>1.0115407099133924</v>
      </c>
      <c r="K1977">
        <v>1.641293777122383</v>
      </c>
      <c r="L1977">
        <v>0</v>
      </c>
      <c r="M1977">
        <v>6.3214433808932574E-3</v>
      </c>
      <c r="N1977">
        <v>0.12134047850937107</v>
      </c>
      <c r="O1977">
        <v>3.0789923391424865E-2</v>
      </c>
      <c r="P1977">
        <v>1.8956199547066368E-2</v>
      </c>
      <c r="Q1977">
        <v>0</v>
      </c>
      <c r="R1977">
        <v>6.3214433808932574E-3</v>
      </c>
      <c r="S1977">
        <v>0.17109300474359607</v>
      </c>
      <c r="T1977">
        <v>1.2094717687381644</v>
      </c>
      <c r="U1977">
        <v>0</v>
      </c>
      <c r="V1977">
        <v>1.5860350604082644E-2</v>
      </c>
      <c r="W1977">
        <v>6.3246449169817295E-2</v>
      </c>
      <c r="X1977">
        <v>-1.5494976248682098E-2</v>
      </c>
      <c r="Y1977">
        <v>2.6030578667541375E-2</v>
      </c>
    </row>
    <row r="1978" spans="1:25" x14ac:dyDescent="0.25">
      <c r="A1978" s="879"/>
      <c r="B1978" s="1133">
        <v>1728</v>
      </c>
      <c r="C1978" s="883">
        <v>0.97053785655562796</v>
      </c>
      <c r="D1978" s="883">
        <v>1.0061568491517807</v>
      </c>
      <c r="E1978" s="883">
        <v>1.0243945055785928</v>
      </c>
      <c r="F1978" s="883">
        <v>1.0028334141059101</v>
      </c>
      <c r="G1978" s="883">
        <v>1.004390475842343</v>
      </c>
      <c r="H1978" s="883">
        <v>1.0417838611848003</v>
      </c>
      <c r="I1978" s="883">
        <v>0.99318335158107496</v>
      </c>
      <c r="K1978">
        <v>1.6382962443659006</v>
      </c>
      <c r="L1978">
        <v>0</v>
      </c>
      <c r="M1978">
        <v>6.7171104264917309E-3</v>
      </c>
      <c r="N1978">
        <v>0.12983710741520346</v>
      </c>
      <c r="O1978">
        <v>3.1683927581806527E-2</v>
      </c>
      <c r="P1978">
        <v>1.879850975595965E-2</v>
      </c>
      <c r="Q1978">
        <v>0</v>
      </c>
      <c r="R1978">
        <v>6.7171104264917309E-3</v>
      </c>
      <c r="S1978">
        <v>0.17507364941186224</v>
      </c>
      <c r="T1978">
        <v>1.1888614486017186</v>
      </c>
      <c r="U1978">
        <v>0</v>
      </c>
      <c r="V1978">
        <v>1.6019403970700095E-2</v>
      </c>
      <c r="W1978">
        <v>6.7518382354145937E-2</v>
      </c>
      <c r="X1978">
        <v>-1.7156049860703834E-2</v>
      </c>
      <c r="Y1978">
        <v>2.7659865135207157E-2</v>
      </c>
    </row>
    <row r="1979" spans="1:25" x14ac:dyDescent="0.25">
      <c r="A1979" s="879"/>
      <c r="B1979" s="1133">
        <v>1729</v>
      </c>
      <c r="C1979" s="883">
        <v>1.0324815702912544</v>
      </c>
      <c r="D1979" s="883">
        <v>0.98982763469291191</v>
      </c>
      <c r="E1979" s="883">
        <v>1.0433593715998337</v>
      </c>
      <c r="F1979" s="883">
        <v>0.9759784403316214</v>
      </c>
      <c r="G1979" s="883">
        <v>0.99292332412229811</v>
      </c>
      <c r="H1979" s="883">
        <v>1.0074767480145552</v>
      </c>
      <c r="I1979" s="883">
        <v>1.021760911723385</v>
      </c>
      <c r="K1979">
        <v>1.5801438884449353</v>
      </c>
      <c r="L1979">
        <v>0</v>
      </c>
      <c r="M1979">
        <v>6.0494904912742264E-3</v>
      </c>
      <c r="N1979">
        <v>0.1202559521043932</v>
      </c>
      <c r="O1979">
        <v>2.9961117155772207E-2</v>
      </c>
      <c r="P1979">
        <v>1.8509254165232011E-2</v>
      </c>
      <c r="Q1979">
        <v>0</v>
      </c>
      <c r="R1979">
        <v>6.0494904912742264E-3</v>
      </c>
      <c r="S1979">
        <v>0.16753077001041466</v>
      </c>
      <c r="T1979">
        <v>1.1566835844318304</v>
      </c>
      <c r="U1979">
        <v>0</v>
      </c>
      <c r="V1979">
        <v>1.5682405064013652E-2</v>
      </c>
      <c r="W1979">
        <v>6.1957733601809548E-2</v>
      </c>
      <c r="X1979">
        <v>-1.5347653162430317E-2</v>
      </c>
      <c r="Y1979">
        <v>2.4910725073900072E-2</v>
      </c>
    </row>
    <row r="1980" spans="1:25" x14ac:dyDescent="0.25">
      <c r="A1980" s="879"/>
      <c r="B1980" s="1133">
        <v>1730</v>
      </c>
      <c r="C1980" s="883">
        <v>1.0025930506104519</v>
      </c>
      <c r="D1980" s="883">
        <v>0.98507277917743308</v>
      </c>
      <c r="E1980" s="883">
        <v>1.0035599898846954</v>
      </c>
      <c r="F1980" s="883">
        <v>1.0026076893112075</v>
      </c>
      <c r="G1980" s="883">
        <v>0.97025562229428375</v>
      </c>
      <c r="H1980" s="883">
        <v>0.96296717471185966</v>
      </c>
      <c r="I1980" s="883">
        <v>1.0248924732811102</v>
      </c>
      <c r="K1980">
        <v>1.6120776857072996</v>
      </c>
      <c r="L1980">
        <v>0</v>
      </c>
      <c r="M1980">
        <v>6.1790803600116507E-3</v>
      </c>
      <c r="N1980">
        <v>0.11581082014629898</v>
      </c>
      <c r="O1980">
        <v>3.0950483527850316E-2</v>
      </c>
      <c r="P1980">
        <v>1.8444070692462247E-2</v>
      </c>
      <c r="Q1980">
        <v>0</v>
      </c>
      <c r="R1980">
        <v>6.1790803600116507E-3</v>
      </c>
      <c r="S1980">
        <v>0.17040620944584581</v>
      </c>
      <c r="T1980">
        <v>1.1889807899478975</v>
      </c>
      <c r="U1980">
        <v>0</v>
      </c>
      <c r="V1980">
        <v>1.5839811848975181E-2</v>
      </c>
      <c r="W1980">
        <v>6.0847181158236702E-2</v>
      </c>
      <c r="X1980">
        <v>-1.4646034147491063E-2</v>
      </c>
      <c r="Y1980">
        <v>2.5444353087224023E-2</v>
      </c>
    </row>
    <row r="1981" spans="1:25" x14ac:dyDescent="0.25">
      <c r="A1981" s="879"/>
      <c r="B1981" s="1133">
        <v>1731</v>
      </c>
      <c r="C1981" s="883">
        <v>1.0092673767377749</v>
      </c>
      <c r="D1981" s="883">
        <v>0.99975673932543319</v>
      </c>
      <c r="E1981" s="883">
        <v>0.9803493215329695</v>
      </c>
      <c r="F1981" s="883">
        <v>0.99711025456398372</v>
      </c>
      <c r="G1981" s="883">
        <v>0.97332101251767822</v>
      </c>
      <c r="H1981" s="883">
        <v>1.0133419518647595</v>
      </c>
      <c r="I1981" s="883">
        <v>1.010080715987449</v>
      </c>
      <c r="K1981">
        <v>1.6099655701653484</v>
      </c>
      <c r="L1981">
        <v>0</v>
      </c>
      <c r="M1981">
        <v>6.5481308085886467E-3</v>
      </c>
      <c r="N1981">
        <v>0.11857687629244337</v>
      </c>
      <c r="O1981">
        <v>3.0583408503005574E-2</v>
      </c>
      <c r="P1981">
        <v>1.8028781787830458E-2</v>
      </c>
      <c r="Q1981">
        <v>0</v>
      </c>
      <c r="R1981">
        <v>6.5481308085886467E-3</v>
      </c>
      <c r="S1981">
        <v>0.16959278877158229</v>
      </c>
      <c r="T1981">
        <v>1.1828923895349981</v>
      </c>
      <c r="U1981">
        <v>0</v>
      </c>
      <c r="V1981">
        <v>1.5803853268470395E-2</v>
      </c>
      <c r="W1981">
        <v>6.302517170258666E-2</v>
      </c>
      <c r="X1981">
        <v>-1.5501736841502769E-2</v>
      </c>
      <c r="Y1981">
        <v>2.6964037145933012E-2</v>
      </c>
    </row>
    <row r="1982" spans="1:25" x14ac:dyDescent="0.25">
      <c r="A1982" s="879"/>
      <c r="B1982" s="1133">
        <v>1732</v>
      </c>
      <c r="C1982" s="883">
        <v>1.018874023074984</v>
      </c>
      <c r="D1982" s="883">
        <v>0.96937260461762376</v>
      </c>
      <c r="E1982" s="883">
        <v>0.98537740325318501</v>
      </c>
      <c r="F1982" s="883">
        <v>1.0127167690513967</v>
      </c>
      <c r="G1982" s="883">
        <v>1.0299885125380523</v>
      </c>
      <c r="H1982" s="883">
        <v>0.99849271245654814</v>
      </c>
      <c r="I1982" s="883">
        <v>0.98374731986998731</v>
      </c>
      <c r="K1982">
        <v>1.6205479910142053</v>
      </c>
      <c r="L1982">
        <v>0</v>
      </c>
      <c r="M1982">
        <v>6.4516662285564004E-3</v>
      </c>
      <c r="N1982">
        <v>0.1177046786687502</v>
      </c>
      <c r="O1982">
        <v>3.0667360936164824E-2</v>
      </c>
      <c r="P1982">
        <v>1.8255519704899959E-2</v>
      </c>
      <c r="Q1982">
        <v>0</v>
      </c>
      <c r="R1982">
        <v>6.4516662285564004E-3</v>
      </c>
      <c r="S1982">
        <v>0.1630984521721201</v>
      </c>
      <c r="T1982">
        <v>1.2013117007598795</v>
      </c>
      <c r="U1982">
        <v>0</v>
      </c>
      <c r="V1982">
        <v>1.5752923568409891E-2</v>
      </c>
      <c r="W1982">
        <v>6.2404463354078683E-2</v>
      </c>
      <c r="X1982">
        <v>-1.5213921325513488E-2</v>
      </c>
      <c r="Y1982">
        <v>2.6566813175415389E-2</v>
      </c>
    </row>
    <row r="1983" spans="1:25" x14ac:dyDescent="0.25">
      <c r="A1983" s="879"/>
      <c r="B1983" s="1133">
        <v>1733</v>
      </c>
      <c r="C1983" s="883">
        <v>1.01136700851082</v>
      </c>
      <c r="D1983" s="883">
        <v>1.0212592716219653</v>
      </c>
      <c r="E1983" s="883">
        <v>1.0373417105955989</v>
      </c>
      <c r="F1983" s="883">
        <v>0.95876918308700088</v>
      </c>
      <c r="G1983" s="883">
        <v>1.0202671584483245</v>
      </c>
      <c r="H1983" s="883">
        <v>1.0015835232668497</v>
      </c>
      <c r="I1983" s="883">
        <v>1.0148901844386988</v>
      </c>
      <c r="K1983">
        <v>1.5613245547151204</v>
      </c>
      <c r="L1983">
        <v>0</v>
      </c>
      <c r="M1983">
        <v>6.0867241134381998E-3</v>
      </c>
      <c r="N1983">
        <v>0.11992540104187623</v>
      </c>
      <c r="O1983">
        <v>3.0212245535648677E-2</v>
      </c>
      <c r="P1983">
        <v>1.8173612227547837E-2</v>
      </c>
      <c r="Q1983">
        <v>0</v>
      </c>
      <c r="R1983">
        <v>6.0867241134381998E-3</v>
      </c>
      <c r="S1983">
        <v>0.16921023401790322</v>
      </c>
      <c r="T1983">
        <v>1.1363941828329027</v>
      </c>
      <c r="U1983">
        <v>0</v>
      </c>
      <c r="V1983">
        <v>1.5792639433533727E-2</v>
      </c>
      <c r="W1983">
        <v>6.1969334647061829E-2</v>
      </c>
      <c r="X1983">
        <v>-1.5417141523987625E-2</v>
      </c>
      <c r="Y1983">
        <v>2.5064046502633618E-2</v>
      </c>
    </row>
    <row r="1984" spans="1:25" x14ac:dyDescent="0.25">
      <c r="A1984" s="879"/>
      <c r="B1984" s="1133">
        <v>1734</v>
      </c>
      <c r="C1984" s="883">
        <v>1.0153642615857781</v>
      </c>
      <c r="D1984" s="883">
        <v>1.0288712217270157</v>
      </c>
      <c r="E1984" s="883">
        <v>0.99282635742470371</v>
      </c>
      <c r="F1984" s="883">
        <v>0.98088730659396928</v>
      </c>
      <c r="G1984" s="883">
        <v>0.95957984512407546</v>
      </c>
      <c r="H1984" s="883">
        <v>0.98983550303117429</v>
      </c>
      <c r="I1984" s="883">
        <v>0.99124051410133052</v>
      </c>
      <c r="K1984">
        <v>1.5768308335749344</v>
      </c>
      <c r="L1984">
        <v>0</v>
      </c>
      <c r="M1984">
        <v>6.2090605656176957E-3</v>
      </c>
      <c r="N1984">
        <v>0.11453659138756705</v>
      </c>
      <c r="O1984">
        <v>3.0042840167167708E-2</v>
      </c>
      <c r="P1984">
        <v>1.7866078327006932E-2</v>
      </c>
      <c r="Q1984">
        <v>0</v>
      </c>
      <c r="R1984">
        <v>6.2090605656176957E-3</v>
      </c>
      <c r="S1984">
        <v>0.16384265198101591</v>
      </c>
      <c r="T1984">
        <v>1.1634185986040759</v>
      </c>
      <c r="U1984">
        <v>0</v>
      </c>
      <c r="V1984">
        <v>1.5771418864250122E-2</v>
      </c>
      <c r="W1984">
        <v>6.049958274826206E-2</v>
      </c>
      <c r="X1984">
        <v>-1.4714734742044275E-2</v>
      </c>
      <c r="Y1984">
        <v>2.5567806237632041E-2</v>
      </c>
    </row>
    <row r="1985" spans="1:25" x14ac:dyDescent="0.25">
      <c r="A1985" s="879"/>
      <c r="B1985" s="1133">
        <v>1735</v>
      </c>
      <c r="C1985" s="883">
        <v>1.0103189655299558</v>
      </c>
      <c r="D1985" s="883">
        <v>0.99081773458598899</v>
      </c>
      <c r="E1985" s="883">
        <v>0.99660058837357213</v>
      </c>
      <c r="F1985" s="883">
        <v>1.0112904468239279</v>
      </c>
      <c r="G1985" s="883">
        <v>1.0092290927490233</v>
      </c>
      <c r="H1985" s="883">
        <v>1.0299071287526602</v>
      </c>
      <c r="I1985" s="883">
        <v>1.015805939388144</v>
      </c>
      <c r="K1985">
        <v>1.6334050698135216</v>
      </c>
      <c r="L1985">
        <v>0</v>
      </c>
      <c r="M1985">
        <v>6.5809666007775047E-3</v>
      </c>
      <c r="N1985">
        <v>0.12207797972896192</v>
      </c>
      <c r="O1985">
        <v>3.0648333434946141E-2</v>
      </c>
      <c r="P1985">
        <v>1.8499656533916518E-2</v>
      </c>
      <c r="Q1985">
        <v>0</v>
      </c>
      <c r="R1985">
        <v>6.5809666007775047E-3</v>
      </c>
      <c r="S1985">
        <v>0.17145941019137187</v>
      </c>
      <c r="T1985">
        <v>1.1994083710140562</v>
      </c>
      <c r="U1985">
        <v>0</v>
      </c>
      <c r="V1985">
        <v>1.5798231056069909E-2</v>
      </c>
      <c r="W1985">
        <v>6.4362017927702408E-2</v>
      </c>
      <c r="X1985">
        <v>-1.5948179167118007E-2</v>
      </c>
      <c r="Y1985">
        <v>2.7099249093613598E-2</v>
      </c>
    </row>
    <row r="1986" spans="1:25" x14ac:dyDescent="0.25">
      <c r="A1986" s="879"/>
      <c r="B1986" s="1133">
        <v>1736</v>
      </c>
      <c r="C1986" s="883">
        <v>0.96892976286650301</v>
      </c>
      <c r="D1986" s="883">
        <v>1.0109127527149759</v>
      </c>
      <c r="E1986" s="883">
        <v>0.97017849902500131</v>
      </c>
      <c r="F1986" s="883">
        <v>0.96635723726914557</v>
      </c>
      <c r="G1986" s="883">
        <v>1.0007405809976662</v>
      </c>
      <c r="H1986" s="883">
        <v>1.0004946582584815</v>
      </c>
      <c r="I1986" s="883">
        <v>0.9583250383160884</v>
      </c>
      <c r="K1986">
        <v>1.5752136259830072</v>
      </c>
      <c r="L1986">
        <v>0</v>
      </c>
      <c r="M1986">
        <v>6.7606624375657776E-3</v>
      </c>
      <c r="N1986">
        <v>0.1205913060528666</v>
      </c>
      <c r="O1986">
        <v>3.1723675853047209E-2</v>
      </c>
      <c r="P1986">
        <v>1.7378511897204341E-2</v>
      </c>
      <c r="Q1986">
        <v>0</v>
      </c>
      <c r="R1986">
        <v>6.7606624375657776E-3</v>
      </c>
      <c r="S1986">
        <v>0.16674354550723838</v>
      </c>
      <c r="T1986">
        <v>1.146593180951154</v>
      </c>
      <c r="U1986">
        <v>0</v>
      </c>
      <c r="V1986">
        <v>1.6028726475423673E-2</v>
      </c>
      <c r="W1986">
        <v>6.4423752982936636E-2</v>
      </c>
      <c r="X1986">
        <v>-1.6108278301703857E-2</v>
      </c>
      <c r="Y1986">
        <v>2.7839204564841093E-2</v>
      </c>
    </row>
    <row r="1987" spans="1:25" x14ac:dyDescent="0.25">
      <c r="A1987" s="879"/>
      <c r="B1987" s="1133">
        <v>1737</v>
      </c>
      <c r="C1987" s="883">
        <v>0.98017356962760471</v>
      </c>
      <c r="D1987" s="883">
        <v>0.99520852346166744</v>
      </c>
      <c r="E1987" s="883">
        <v>1.0017980242787246</v>
      </c>
      <c r="F1987" s="883">
        <v>0.96369188902844338</v>
      </c>
      <c r="G1987" s="883">
        <v>1.0173786938299825</v>
      </c>
      <c r="H1987" s="883">
        <v>1.0108682564034486</v>
      </c>
      <c r="I1987" s="883">
        <v>0.97905489976417737</v>
      </c>
      <c r="K1987">
        <v>1.5768328811538306</v>
      </c>
      <c r="L1987">
        <v>0</v>
      </c>
      <c r="M1987">
        <v>6.6147458579804575E-3</v>
      </c>
      <c r="N1987">
        <v>0.12365310735780055</v>
      </c>
      <c r="O1987">
        <v>3.1530593102801679E-2</v>
      </c>
      <c r="P1987">
        <v>1.7787334002264135E-2</v>
      </c>
      <c r="Q1987">
        <v>0</v>
      </c>
      <c r="R1987">
        <v>6.6147458579804575E-3</v>
      </c>
      <c r="S1987">
        <v>0.16919042971144019</v>
      </c>
      <c r="T1987">
        <v>1.1428625329374151</v>
      </c>
      <c r="U1987">
        <v>0</v>
      </c>
      <c r="V1987">
        <v>1.5964184221137309E-2</v>
      </c>
      <c r="W1987">
        <v>6.5024343376260924E-2</v>
      </c>
      <c r="X1987">
        <v>-1.6417989617581591E-2</v>
      </c>
      <c r="Y1987">
        <v>2.7238346062291707E-2</v>
      </c>
    </row>
    <row r="1988" spans="1:25" x14ac:dyDescent="0.25">
      <c r="A1988" s="879"/>
      <c r="B1988" s="1133">
        <v>1738</v>
      </c>
      <c r="C1988" s="883">
        <v>1.0137141710560669</v>
      </c>
      <c r="D1988" s="883">
        <v>1.01613079955556</v>
      </c>
      <c r="E1988" s="883">
        <v>0.97824212383958853</v>
      </c>
      <c r="F1988" s="883">
        <v>0.98154485261054125</v>
      </c>
      <c r="G1988" s="883">
        <v>0.98772083072180361</v>
      </c>
      <c r="H1988" s="883">
        <v>1.0367389519869146</v>
      </c>
      <c r="I1988" s="883">
        <v>0.98227781941377823</v>
      </c>
      <c r="K1988">
        <v>1.5884458458728676</v>
      </c>
      <c r="L1988">
        <v>0</v>
      </c>
      <c r="M1988">
        <v>6.6339709436870993E-3</v>
      </c>
      <c r="N1988">
        <v>0.1197563006939288</v>
      </c>
      <c r="O1988">
        <v>3.0253660324490207E-2</v>
      </c>
      <c r="P1988">
        <v>1.7700803345835302E-2</v>
      </c>
      <c r="Q1988">
        <v>0</v>
      </c>
      <c r="R1988">
        <v>6.6339709436870993E-3</v>
      </c>
      <c r="S1988">
        <v>0.16534087425603081</v>
      </c>
      <c r="T1988">
        <v>1.1644654602162314</v>
      </c>
      <c r="U1988">
        <v>0</v>
      </c>
      <c r="V1988">
        <v>1.5780158562169983E-2</v>
      </c>
      <c r="W1988">
        <v>6.3719265053756788E-2</v>
      </c>
      <c r="X1988">
        <v>-1.5888188122869757E-2</v>
      </c>
      <c r="Y1988">
        <v>2.7317511543293961E-2</v>
      </c>
    </row>
    <row r="1989" spans="1:25" x14ac:dyDescent="0.25">
      <c r="A1989" s="879"/>
      <c r="B1989" s="1133">
        <v>1739</v>
      </c>
      <c r="C1989" s="883">
        <v>0.95705086884116242</v>
      </c>
      <c r="D1989" s="883">
        <v>1.0316783478555867</v>
      </c>
      <c r="E1989" s="883">
        <v>0.96769689016204674</v>
      </c>
      <c r="F1989" s="883">
        <v>0.99858275260213503</v>
      </c>
      <c r="G1989" s="883">
        <v>0.95980114538029304</v>
      </c>
      <c r="H1989" s="883">
        <v>1.0206049583477823</v>
      </c>
      <c r="I1989" s="883">
        <v>1.0036157112530442</v>
      </c>
      <c r="K1989">
        <v>1.6298752021939042</v>
      </c>
      <c r="L1989">
        <v>0</v>
      </c>
      <c r="M1989">
        <v>6.9341556762346828E-3</v>
      </c>
      <c r="N1989">
        <v>0.12323100402195805</v>
      </c>
      <c r="O1989">
        <v>3.1859212869015441E-2</v>
      </c>
      <c r="P1989">
        <v>1.7989527275557592E-2</v>
      </c>
      <c r="Q1989">
        <v>0</v>
      </c>
      <c r="R1989">
        <v>6.9341556762346828E-3</v>
      </c>
      <c r="S1989">
        <v>0.17778551546736121</v>
      </c>
      <c r="T1989">
        <v>1.184875490099409</v>
      </c>
      <c r="U1989">
        <v>0</v>
      </c>
      <c r="V1989">
        <v>1.6098561731596083E-2</v>
      </c>
      <c r="W1989">
        <v>6.5916189707788675E-2</v>
      </c>
      <c r="X1989">
        <v>-1.6433917819816651E-2</v>
      </c>
      <c r="Y1989">
        <v>2.8553618841034328E-2</v>
      </c>
    </row>
    <row r="1990" spans="1:25" x14ac:dyDescent="0.25">
      <c r="A1990" s="879"/>
      <c r="B1990" s="1133">
        <v>1740</v>
      </c>
      <c r="C1990" s="883">
        <v>1.0320282156498251</v>
      </c>
      <c r="D1990" s="883">
        <v>0.99435931301278735</v>
      </c>
      <c r="E1990" s="883">
        <v>0.99213400398976059</v>
      </c>
      <c r="F1990" s="883">
        <v>1.0136360981027168</v>
      </c>
      <c r="G1990" s="883">
        <v>1.0275118107400105</v>
      </c>
      <c r="H1990" s="883">
        <v>0.99104128390783786</v>
      </c>
      <c r="I1990" s="883">
        <v>1.0281246187782562</v>
      </c>
      <c r="K1990">
        <v>1.6200102978028041</v>
      </c>
      <c r="L1990">
        <v>0</v>
      </c>
      <c r="M1990">
        <v>6.2137295932468053E-3</v>
      </c>
      <c r="N1990">
        <v>0.1145051447606663</v>
      </c>
      <c r="O1990">
        <v>2.9964459811845208E-2</v>
      </c>
      <c r="P1990">
        <v>1.8421934345326688E-2</v>
      </c>
      <c r="Q1990">
        <v>0</v>
      </c>
      <c r="R1990">
        <v>6.2137295932468053E-3</v>
      </c>
      <c r="S1990">
        <v>0.16759364464963769</v>
      </c>
      <c r="T1990">
        <v>1.2022746111817086</v>
      </c>
      <c r="U1990">
        <v>0</v>
      </c>
      <c r="V1990">
        <v>1.5684724541855551E-2</v>
      </c>
      <c r="W1990">
        <v>6.0503836703061108E-2</v>
      </c>
      <c r="X1990">
        <v>-1.4525090653651297E-2</v>
      </c>
      <c r="Y1990">
        <v>2.5587032462352777E-2</v>
      </c>
    </row>
    <row r="1991" spans="1:25" x14ac:dyDescent="0.25">
      <c r="A1991" s="879"/>
      <c r="B1991" s="1133">
        <v>1741</v>
      </c>
      <c r="C1991" s="883">
        <v>1.0007104964017934</v>
      </c>
      <c r="D1991" s="883">
        <v>1.0476516654333141</v>
      </c>
      <c r="E1991" s="883">
        <v>1.0174421576917465</v>
      </c>
      <c r="F1991" s="883">
        <v>0.98081508082475855</v>
      </c>
      <c r="G1991" s="883">
        <v>0.98549843994318298</v>
      </c>
      <c r="H1991" s="883">
        <v>0.98868293806588081</v>
      </c>
      <c r="I1991" s="883">
        <v>1.0171612587862833</v>
      </c>
      <c r="K1991">
        <v>1.5857795930415026</v>
      </c>
      <c r="L1991">
        <v>0</v>
      </c>
      <c r="M1991">
        <v>6.1093172092148394E-3</v>
      </c>
      <c r="N1991">
        <v>0.11688069995663905</v>
      </c>
      <c r="O1991">
        <v>3.0242092512546628E-2</v>
      </c>
      <c r="P1991">
        <v>1.82835494245224E-2</v>
      </c>
      <c r="Q1991">
        <v>0</v>
      </c>
      <c r="R1991">
        <v>6.1093172092148394E-3</v>
      </c>
      <c r="S1991">
        <v>0.17037996933722913</v>
      </c>
      <c r="T1991">
        <v>1.1628847644348339</v>
      </c>
      <c r="U1991">
        <v>0</v>
      </c>
      <c r="V1991">
        <v>1.5850041018746538E-2</v>
      </c>
      <c r="W1991">
        <v>6.098917564913886E-2</v>
      </c>
      <c r="X1991">
        <v>-1.4887780141776212E-2</v>
      </c>
      <c r="Y1991">
        <v>2.5157080849620685E-2</v>
      </c>
    </row>
    <row r="1992" spans="1:25" x14ac:dyDescent="0.25">
      <c r="A1992" s="879"/>
      <c r="B1992" s="1133">
        <v>1742</v>
      </c>
      <c r="C1992" s="883">
        <v>1.0437682355018609</v>
      </c>
      <c r="D1992" s="883">
        <v>1.0375625093187599</v>
      </c>
      <c r="E1992" s="883">
        <v>1.0242604288802533</v>
      </c>
      <c r="F1992" s="883">
        <v>0.98666267144564379</v>
      </c>
      <c r="G1992" s="883">
        <v>1.0069824904750126</v>
      </c>
      <c r="H1992" s="883">
        <v>1.0256805892551508</v>
      </c>
      <c r="I1992" s="883">
        <v>0.97754390750349562</v>
      </c>
      <c r="K1992">
        <v>1.5799796312581973</v>
      </c>
      <c r="L1992">
        <v>0</v>
      </c>
      <c r="M1992">
        <v>6.0663810238897808E-3</v>
      </c>
      <c r="N1992">
        <v>0.11723571009407138</v>
      </c>
      <c r="O1992">
        <v>2.9101120599772882E-2</v>
      </c>
      <c r="P1992">
        <v>1.8311689724032108E-2</v>
      </c>
      <c r="Q1992">
        <v>0</v>
      </c>
      <c r="R1992">
        <v>6.0663810238897808E-3</v>
      </c>
      <c r="S1992">
        <v>0.15905488802094195</v>
      </c>
      <c r="T1992">
        <v>1.1696934383120268</v>
      </c>
      <c r="U1992">
        <v>0</v>
      </c>
      <c r="V1992">
        <v>1.5625309114504285E-2</v>
      </c>
      <c r="W1992">
        <v>6.0969375683767313E-2</v>
      </c>
      <c r="X1992">
        <v>-1.4992177571727699E-2</v>
      </c>
      <c r="Y1992">
        <v>2.4980277280808198E-2</v>
      </c>
    </row>
    <row r="1993" spans="1:25" x14ac:dyDescent="0.25">
      <c r="A1993" s="879"/>
      <c r="B1993" s="1133">
        <v>1743</v>
      </c>
      <c r="C1993" s="883">
        <v>1.0101498692389024</v>
      </c>
      <c r="D1993" s="883">
        <v>1.0192800568945577</v>
      </c>
      <c r="E1993" s="883">
        <v>1.0299316592567711</v>
      </c>
      <c r="F1993" s="883">
        <v>0.96722370181037987</v>
      </c>
      <c r="G1993" s="883">
        <v>1.0331019337342386</v>
      </c>
      <c r="H1993" s="883">
        <v>0.9962323624947268</v>
      </c>
      <c r="I1993" s="883">
        <v>1.006407364512677</v>
      </c>
      <c r="K1993">
        <v>1.569114734410952</v>
      </c>
      <c r="L1993">
        <v>0</v>
      </c>
      <c r="M1993">
        <v>6.1062821562644304E-3</v>
      </c>
      <c r="N1993">
        <v>0.11900046494652154</v>
      </c>
      <c r="O1993">
        <v>3.0279032973017955E-2</v>
      </c>
      <c r="P1993">
        <v>1.8193048876174955E-2</v>
      </c>
      <c r="Q1993">
        <v>0</v>
      </c>
      <c r="R1993">
        <v>6.1062821562644304E-3</v>
      </c>
      <c r="S1993">
        <v>0.16770258994315337</v>
      </c>
      <c r="T1993">
        <v>1.1465471539348637</v>
      </c>
      <c r="U1993">
        <v>0</v>
      </c>
      <c r="V1993">
        <v>1.5799134322365658E-2</v>
      </c>
      <c r="W1993">
        <v>6.1715002119153282E-2</v>
      </c>
      <c r="X1993">
        <v>-1.5266275746088132E-2</v>
      </c>
      <c r="Y1993">
        <v>2.5144583041790194E-2</v>
      </c>
    </row>
    <row r="1994" spans="1:25" x14ac:dyDescent="0.25">
      <c r="A1994" s="879"/>
      <c r="B1994" s="1133">
        <v>1744</v>
      </c>
      <c r="C1994" s="883">
        <v>1.0164988782952058</v>
      </c>
      <c r="D1994" s="883">
        <v>1.0099600237761044</v>
      </c>
      <c r="E1994" s="883">
        <v>0.9921743937037022</v>
      </c>
      <c r="F1994" s="883">
        <v>1.0306604012446889</v>
      </c>
      <c r="G1994" s="883">
        <v>1.0058235048122841</v>
      </c>
      <c r="H1994" s="883">
        <v>0.95584046463752259</v>
      </c>
      <c r="I1994" s="883">
        <v>1.0042460636169925</v>
      </c>
      <c r="K1994">
        <v>1.6324287948945857</v>
      </c>
      <c r="L1994">
        <v>0</v>
      </c>
      <c r="M1994">
        <v>6.042270141159981E-3</v>
      </c>
      <c r="N1994">
        <v>0.11135219699310439</v>
      </c>
      <c r="O1994">
        <v>3.0233352544325888E-2</v>
      </c>
      <c r="P1994">
        <v>1.8644689694031397E-2</v>
      </c>
      <c r="Q1994">
        <v>0</v>
      </c>
      <c r="R1994">
        <v>6.042270141159981E-3</v>
      </c>
      <c r="S1994">
        <v>0.16404279846993414</v>
      </c>
      <c r="T1994">
        <v>1.2224663760682315</v>
      </c>
      <c r="U1994">
        <v>0</v>
      </c>
      <c r="V1994">
        <v>1.5765425834423107E-2</v>
      </c>
      <c r="W1994">
        <v>5.8836653875949399E-2</v>
      </c>
      <c r="X1994">
        <v>-1.3793691542717902E-2</v>
      </c>
      <c r="Y1994">
        <v>2.4880992957304022E-2</v>
      </c>
    </row>
    <row r="1995" spans="1:25" x14ac:dyDescent="0.25">
      <c r="A1995" s="879"/>
      <c r="B1995" s="1133">
        <v>1745</v>
      </c>
      <c r="C1995" s="883">
        <v>0.98460472801745513</v>
      </c>
      <c r="D1995" s="883">
        <v>1.0171342738212246</v>
      </c>
      <c r="E1995" s="883">
        <v>1.0210762409813041</v>
      </c>
      <c r="F1995" s="883">
        <v>1.0076250906267732</v>
      </c>
      <c r="G1995" s="883">
        <v>1.0178390822410466</v>
      </c>
      <c r="H1995" s="883">
        <v>1.0234840728756944</v>
      </c>
      <c r="I1995" s="883">
        <v>0.96772616413133483</v>
      </c>
      <c r="K1995">
        <v>1.6277560567516776</v>
      </c>
      <c r="L1995">
        <v>0</v>
      </c>
      <c r="M1995">
        <v>6.4922896726225783E-3</v>
      </c>
      <c r="N1995">
        <v>0.12487711389796749</v>
      </c>
      <c r="O1995">
        <v>3.109906993271145E-2</v>
      </c>
      <c r="P1995">
        <v>1.8719156331303548E-2</v>
      </c>
      <c r="Q1995">
        <v>0</v>
      </c>
      <c r="R1995">
        <v>6.4922896726225783E-3</v>
      </c>
      <c r="S1995">
        <v>0.1669928679249518</v>
      </c>
      <c r="T1995">
        <v>1.1946037985572571</v>
      </c>
      <c r="U1995">
        <v>0</v>
      </c>
      <c r="V1995">
        <v>1.593915320901846E-2</v>
      </c>
      <c r="W1995">
        <v>6.5045182400313747E-2</v>
      </c>
      <c r="X1995">
        <v>-1.6254378789222947E-2</v>
      </c>
      <c r="Y1995">
        <v>2.6734093287376411E-2</v>
      </c>
    </row>
    <row r="1996" spans="1:25" x14ac:dyDescent="0.25">
      <c r="A1996" s="879"/>
      <c r="B1996" s="1133">
        <v>1746</v>
      </c>
      <c r="C1996" s="883">
        <v>0.99415642413252647</v>
      </c>
      <c r="D1996" s="883">
        <v>0.9859275556736713</v>
      </c>
      <c r="E1996" s="883">
        <v>1.0214037645147243</v>
      </c>
      <c r="F1996" s="883">
        <v>0.98037760928817907</v>
      </c>
      <c r="G1996" s="883">
        <v>0.96163826035627253</v>
      </c>
      <c r="H1996" s="883">
        <v>1.0348154341318281</v>
      </c>
      <c r="I1996" s="883">
        <v>1.0364700276733736</v>
      </c>
      <c r="K1996">
        <v>1.6092514628220445</v>
      </c>
      <c r="L1996">
        <v>0</v>
      </c>
      <c r="M1996">
        <v>6.5901947339979221E-3</v>
      </c>
      <c r="N1996">
        <v>0.12682171130923944</v>
      </c>
      <c r="O1996">
        <v>3.118628964286527E-2</v>
      </c>
      <c r="P1996">
        <v>1.843619665136945E-2</v>
      </c>
      <c r="Q1996">
        <v>0</v>
      </c>
      <c r="R1996">
        <v>6.5901947339979221E-3</v>
      </c>
      <c r="S1996">
        <v>0.17817585094028085</v>
      </c>
      <c r="T1996">
        <v>1.1622942343316895</v>
      </c>
      <c r="U1996">
        <v>0</v>
      </c>
      <c r="V1996">
        <v>1.5885955871361383E-2</v>
      </c>
      <c r="W1996">
        <v>6.6047420423528402E-2</v>
      </c>
      <c r="X1996">
        <v>-1.6733445251959377E-2</v>
      </c>
      <c r="Y1996">
        <v>2.7137248903668792E-2</v>
      </c>
    </row>
    <row r="1997" spans="1:25" x14ac:dyDescent="0.25">
      <c r="A1997" s="879"/>
      <c r="B1997" s="1133">
        <v>1747</v>
      </c>
      <c r="C1997" s="883">
        <v>0.99605574150157894</v>
      </c>
      <c r="D1997" s="883">
        <v>0.98322613314544371</v>
      </c>
      <c r="E1997" s="883">
        <v>1.0021758283666111</v>
      </c>
      <c r="F1997" s="883">
        <v>0.998188555275481</v>
      </c>
      <c r="G1997" s="883">
        <v>0.99832176655201899</v>
      </c>
      <c r="H1997" s="883">
        <v>0.98469329614938328</v>
      </c>
      <c r="I1997" s="883">
        <v>0.9573185201264458</v>
      </c>
      <c r="K1997">
        <v>1.6032294407332199</v>
      </c>
      <c r="L1997">
        <v>0</v>
      </c>
      <c r="M1997">
        <v>6.3729937855428664E-3</v>
      </c>
      <c r="N1997">
        <v>0.11920059124710632</v>
      </c>
      <c r="O1997">
        <v>3.117821156683645E-2</v>
      </c>
      <c r="P1997">
        <v>1.8235234366286542E-2</v>
      </c>
      <c r="Q1997">
        <v>0</v>
      </c>
      <c r="R1997">
        <v>6.3729937855428664E-3</v>
      </c>
      <c r="S1997">
        <v>0.16145107311801313</v>
      </c>
      <c r="T1997">
        <v>1.1837658513112572</v>
      </c>
      <c r="U1997">
        <v>0</v>
      </c>
      <c r="V1997">
        <v>1.5875499398505199E-2</v>
      </c>
      <c r="W1997">
        <v>6.2671188349277887E-2</v>
      </c>
      <c r="X1997">
        <v>-1.5391062682321918E-2</v>
      </c>
      <c r="Y1997">
        <v>2.6242854058258491E-2</v>
      </c>
    </row>
    <row r="1998" spans="1:25" x14ac:dyDescent="0.25">
      <c r="A1998" s="879"/>
      <c r="B1998" s="1133">
        <v>1748</v>
      </c>
      <c r="C1998" s="883">
        <v>0.98433241943632854</v>
      </c>
      <c r="D1998" s="883">
        <v>1.0240464903284676</v>
      </c>
      <c r="E1998" s="883">
        <v>0.99800121054548774</v>
      </c>
      <c r="F1998" s="883">
        <v>1.0038284886645905</v>
      </c>
      <c r="G1998" s="883">
        <v>1.0186803871875232</v>
      </c>
      <c r="H1998" s="883">
        <v>1.0308000220762097</v>
      </c>
      <c r="I1998" s="883">
        <v>0.97483688578073202</v>
      </c>
      <c r="K1998">
        <v>1.6244332908264367</v>
      </c>
      <c r="L1998">
        <v>0</v>
      </c>
      <c r="M1998">
        <v>6.6537160785317415E-3</v>
      </c>
      <c r="N1998">
        <v>0.12368392289502508</v>
      </c>
      <c r="O1998">
        <v>3.104392167682677E-2</v>
      </c>
      <c r="P1998">
        <v>1.8364325007617657E-2</v>
      </c>
      <c r="Q1998">
        <v>0</v>
      </c>
      <c r="R1998">
        <v>6.6537160785317415E-3</v>
      </c>
      <c r="S1998">
        <v>0.16858767448717815</v>
      </c>
      <c r="T1998">
        <v>1.1905322093542647</v>
      </c>
      <c r="U1998">
        <v>0</v>
      </c>
      <c r="V1998">
        <v>1.5940684944111116E-2</v>
      </c>
      <c r="W1998">
        <v>6.5163310966609309E-2</v>
      </c>
      <c r="X1998">
        <v>-1.6281576999278312E-2</v>
      </c>
      <c r="Y1998">
        <v>2.7398818494081212E-2</v>
      </c>
    </row>
    <row r="1999" spans="1:25" x14ac:dyDescent="0.25">
      <c r="A1999" s="879"/>
      <c r="B1999" s="1133">
        <v>1749</v>
      </c>
      <c r="C1999" s="883">
        <v>1.0419641861492472</v>
      </c>
      <c r="D1999" s="883">
        <v>1.0108919109079186</v>
      </c>
      <c r="E1999" s="883">
        <v>0.97970980304447253</v>
      </c>
      <c r="F1999" s="883">
        <v>1.0350421752773176</v>
      </c>
      <c r="G1999" s="883">
        <v>0.97616982255842599</v>
      </c>
      <c r="H1999" s="883">
        <v>1.0041411216738594</v>
      </c>
      <c r="I1999" s="883">
        <v>0.99618452768021903</v>
      </c>
      <c r="K1999">
        <v>1.6377577384360116</v>
      </c>
      <c r="L1999">
        <v>0</v>
      </c>
      <c r="M1999">
        <v>6.2575833280637963E-3</v>
      </c>
      <c r="N1999">
        <v>0.11320802794173694</v>
      </c>
      <c r="O1999">
        <v>2.9493227850248466E-2</v>
      </c>
      <c r="P1999">
        <v>1.850211513410439E-2</v>
      </c>
      <c r="Q1999">
        <v>0</v>
      </c>
      <c r="R1999">
        <v>6.2575833280637963E-3</v>
      </c>
      <c r="S1999">
        <v>0.16139267682390557</v>
      </c>
      <c r="T1999">
        <v>1.2279041665433552</v>
      </c>
      <c r="U1999">
        <v>0</v>
      </c>
      <c r="V1999">
        <v>1.5634352219790867E-2</v>
      </c>
      <c r="W1999">
        <v>6.0190828664082152E-2</v>
      </c>
      <c r="X1999">
        <v>-1.4335271077866698E-2</v>
      </c>
      <c r="Y1999">
        <v>2.5767614336655333E-2</v>
      </c>
    </row>
    <row r="2000" spans="1:25" x14ac:dyDescent="0.25">
      <c r="A2000" s="879"/>
      <c r="B2000" s="1133">
        <v>1750</v>
      </c>
      <c r="C2000" s="883">
        <v>1.0186675474351488</v>
      </c>
      <c r="D2000" s="883">
        <v>0.95776129049199821</v>
      </c>
      <c r="E2000" s="883">
        <v>1.0078532194090544</v>
      </c>
      <c r="F2000" s="883">
        <v>1.0395560696016741</v>
      </c>
      <c r="G2000" s="883">
        <v>1.0161295927595928</v>
      </c>
      <c r="H2000" s="883">
        <v>0.99981167724703834</v>
      </c>
      <c r="I2000" s="883">
        <v>0.99932244585412899</v>
      </c>
      <c r="K2000">
        <v>1.6583229031761915</v>
      </c>
      <c r="L2000">
        <v>0</v>
      </c>
      <c r="M2000">
        <v>6.3701363257011529E-3</v>
      </c>
      <c r="N2000">
        <v>0.1201531369987635</v>
      </c>
      <c r="O2000">
        <v>3.0802901053404167E-2</v>
      </c>
      <c r="P2000">
        <v>1.9030853818626507E-2</v>
      </c>
      <c r="Q2000">
        <v>0</v>
      </c>
      <c r="R2000">
        <v>6.3701363257011529E-3</v>
      </c>
      <c r="S2000">
        <v>0.16594243373464776</v>
      </c>
      <c r="T2000">
        <v>1.2327146090697849</v>
      </c>
      <c r="U2000">
        <v>0</v>
      </c>
      <c r="V2000">
        <v>1.5754008099237243E-2</v>
      </c>
      <c r="W2000">
        <v>6.299449664995041E-2</v>
      </c>
      <c r="X2000">
        <v>-1.5300623795462331E-2</v>
      </c>
      <c r="Y2000">
        <v>2.6231087547239212E-2</v>
      </c>
    </row>
    <row r="2001" spans="1:25" x14ac:dyDescent="0.25">
      <c r="A2001" s="879"/>
      <c r="B2001" s="1133">
        <v>1751</v>
      </c>
      <c r="C2001" s="883">
        <v>1.0129963533991717</v>
      </c>
      <c r="D2001" s="883">
        <v>0.9725494574819783</v>
      </c>
      <c r="E2001" s="883">
        <v>1.0072564160041768</v>
      </c>
      <c r="F2001" s="883">
        <v>1.0106203123030357</v>
      </c>
      <c r="G2001" s="883">
        <v>1.0219910085731858</v>
      </c>
      <c r="H2001" s="883">
        <v>1.0086184239825708</v>
      </c>
      <c r="I2001" s="883">
        <v>1.037007206023431</v>
      </c>
      <c r="K2001">
        <v>1.6324868493368205</v>
      </c>
      <c r="L2001">
        <v>0</v>
      </c>
      <c r="M2001">
        <v>6.4214691477027918E-3</v>
      </c>
      <c r="N2001">
        <v>0.12101439099201669</v>
      </c>
      <c r="O2001">
        <v>3.0786603317395477E-2</v>
      </c>
      <c r="P2001">
        <v>1.8663628536349702E-2</v>
      </c>
      <c r="Q2001">
        <v>0</v>
      </c>
      <c r="R2001">
        <v>6.4214691477027918E-3</v>
      </c>
      <c r="S2001">
        <v>0.17352297642948772</v>
      </c>
      <c r="T2001">
        <v>1.1984135264582207</v>
      </c>
      <c r="U2001">
        <v>0</v>
      </c>
      <c r="V2001">
        <v>1.5783969367625144E-2</v>
      </c>
      <c r="W2001">
        <v>6.3464789030818758E-2</v>
      </c>
      <c r="X2001">
        <v>-1.5605501766434153E-2</v>
      </c>
      <c r="Y2001">
        <v>2.6442466971340249E-2</v>
      </c>
    </row>
    <row r="2002" spans="1:25" x14ac:dyDescent="0.25">
      <c r="A2002" s="879"/>
      <c r="B2002" s="1133">
        <v>1752</v>
      </c>
      <c r="C2002" s="883">
        <v>0.98548050386092467</v>
      </c>
      <c r="D2002" s="883">
        <v>0.96423649893988816</v>
      </c>
      <c r="E2002" s="883">
        <v>1.0119487463558661</v>
      </c>
      <c r="F2002" s="883">
        <v>1.0051745643914036</v>
      </c>
      <c r="G2002" s="883">
        <v>0.97104439347297478</v>
      </c>
      <c r="H2002" s="883">
        <v>0.98549002477151038</v>
      </c>
      <c r="I2002" s="883">
        <v>1.0119768408693839</v>
      </c>
      <c r="K2002">
        <v>1.6280891018751957</v>
      </c>
      <c r="L2002">
        <v>0</v>
      </c>
      <c r="M2002">
        <v>6.4476803472286372E-3</v>
      </c>
      <c r="N2002">
        <v>0.12235536408554691</v>
      </c>
      <c r="O2002">
        <v>3.1750808101637537E-2</v>
      </c>
      <c r="P2002">
        <v>1.8633026259726678E-2</v>
      </c>
      <c r="Q2002">
        <v>0</v>
      </c>
      <c r="R2002">
        <v>6.4476803472286372E-3</v>
      </c>
      <c r="S2002">
        <v>0.17276514980650537</v>
      </c>
      <c r="T2002">
        <v>1.1918683907928851</v>
      </c>
      <c r="U2002">
        <v>0</v>
      </c>
      <c r="V2002">
        <v>1.5934232711137815E-2</v>
      </c>
      <c r="W2002">
        <v>6.4019271871327027E-2</v>
      </c>
      <c r="X2002">
        <v>-1.5787541779138218E-2</v>
      </c>
      <c r="Y2002">
        <v>2.6550400025568095E-2</v>
      </c>
    </row>
    <row r="2003" spans="1:25" x14ac:dyDescent="0.25">
      <c r="A2003" s="879"/>
      <c r="B2003" s="1133">
        <v>1753</v>
      </c>
      <c r="C2003" s="883">
        <v>0.9892929176067109</v>
      </c>
      <c r="D2003" s="883">
        <v>0.98924977996755437</v>
      </c>
      <c r="E2003" s="883">
        <v>0.98253227675023747</v>
      </c>
      <c r="F2003" s="883">
        <v>1.0051882460936352</v>
      </c>
      <c r="G2003" s="883">
        <v>0.99704083779216668</v>
      </c>
      <c r="H2003" s="883">
        <v>1.0122541064543871</v>
      </c>
      <c r="I2003" s="883">
        <v>0.99149908469480263</v>
      </c>
      <c r="K2003">
        <v>1.6254476751611941</v>
      </c>
      <c r="L2003">
        <v>0</v>
      </c>
      <c r="M2003">
        <v>6.6919541387228682E-3</v>
      </c>
      <c r="N2003">
        <v>0.12157437907158951</v>
      </c>
      <c r="O2003">
        <v>3.1331277207502645E-2</v>
      </c>
      <c r="P2003">
        <v>1.8190344494569594E-2</v>
      </c>
      <c r="Q2003">
        <v>0</v>
      </c>
      <c r="R2003">
        <v>6.6919541387228682E-3</v>
      </c>
      <c r="S2003">
        <v>0.16988532589191141</v>
      </c>
      <c r="T2003">
        <v>1.1924345178241131</v>
      </c>
      <c r="U2003">
        <v>0</v>
      </c>
      <c r="V2003">
        <v>1.5912914383579981E-2</v>
      </c>
      <c r="W2003">
        <v>6.4547834387126163E-2</v>
      </c>
      <c r="X2003">
        <v>-1.5985194119025017E-2</v>
      </c>
      <c r="Y2003">
        <v>2.7556276019827276E-2</v>
      </c>
    </row>
    <row r="2004" spans="1:25" x14ac:dyDescent="0.25">
      <c r="A2004" s="879"/>
      <c r="B2004" s="1133">
        <v>1754</v>
      </c>
      <c r="C2004" s="883">
        <v>1.0043931498118641</v>
      </c>
      <c r="D2004" s="883">
        <v>0.99496534071613574</v>
      </c>
      <c r="E2004" s="883">
        <v>0.99470446237650556</v>
      </c>
      <c r="F2004" s="883">
        <v>1.0115820701299316</v>
      </c>
      <c r="G2004" s="883">
        <v>0.99407412444994603</v>
      </c>
      <c r="H2004" s="883">
        <v>1.0008212956859419</v>
      </c>
      <c r="I2004" s="883">
        <v>1.0135400058053747</v>
      </c>
      <c r="K2004">
        <v>1.628095149257752</v>
      </c>
      <c r="L2004">
        <v>0</v>
      </c>
      <c r="M2004">
        <v>6.4315021157000706E-3</v>
      </c>
      <c r="N2004">
        <v>0.11897061446121174</v>
      </c>
      <c r="O2004">
        <v>3.0779271411460501E-2</v>
      </c>
      <c r="P2004">
        <v>1.8463453530792148E-2</v>
      </c>
      <c r="Q2004">
        <v>0</v>
      </c>
      <c r="R2004">
        <v>6.4315021157000706E-3</v>
      </c>
      <c r="S2004">
        <v>0.1703320730243946</v>
      </c>
      <c r="T2004">
        <v>1.1997899260704625</v>
      </c>
      <c r="U2004">
        <v>0</v>
      </c>
      <c r="V2004">
        <v>1.5830066575113842E-2</v>
      </c>
      <c r="W2004">
        <v>6.2782949799806295E-2</v>
      </c>
      <c r="X2004">
        <v>-1.5336986563240835E-2</v>
      </c>
      <c r="Y2004">
        <v>2.648378094775131E-2</v>
      </c>
    </row>
    <row r="2005" spans="1:25" x14ac:dyDescent="0.25">
      <c r="A2005" s="879"/>
      <c r="B2005" s="1133">
        <v>1755</v>
      </c>
      <c r="C2005" s="883">
        <v>1.0085554958757925</v>
      </c>
      <c r="D2005" s="883">
        <v>1.0193207582661468</v>
      </c>
      <c r="E2005" s="883">
        <v>0.98782058726885091</v>
      </c>
      <c r="F2005" s="883">
        <v>1.0021540433745335</v>
      </c>
      <c r="G2005" s="883">
        <v>1.0169682600129308</v>
      </c>
      <c r="H2005" s="883">
        <v>0.97884135318704135</v>
      </c>
      <c r="I2005" s="883">
        <v>0.99738762653329094</v>
      </c>
      <c r="K2005">
        <v>1.6042238551670494</v>
      </c>
      <c r="L2005">
        <v>0</v>
      </c>
      <c r="M2005">
        <v>6.2344542125708563E-3</v>
      </c>
      <c r="N2005">
        <v>0.11415469525868374</v>
      </c>
      <c r="O2005">
        <v>3.0362750071203481E-2</v>
      </c>
      <c r="P2005">
        <v>1.8154807939850831E-2</v>
      </c>
      <c r="Q2005">
        <v>0</v>
      </c>
      <c r="R2005">
        <v>6.2344542125708563E-3</v>
      </c>
      <c r="S2005">
        <v>0.1654286731440115</v>
      </c>
      <c r="T2005">
        <v>1.1887362647764339</v>
      </c>
      <c r="U2005">
        <v>0</v>
      </c>
      <c r="V2005">
        <v>1.5807665921840058E-2</v>
      </c>
      <c r="W2005">
        <v>6.0448545174880429E-2</v>
      </c>
      <c r="X2005">
        <v>-1.4541919875739745E-2</v>
      </c>
      <c r="Y2005">
        <v>2.5672372755884496E-2</v>
      </c>
    </row>
    <row r="2006" spans="1:25" x14ac:dyDescent="0.25">
      <c r="A2006" s="879"/>
      <c r="B2006" s="1133">
        <v>1756</v>
      </c>
      <c r="C2006" s="883">
        <v>0.99331992280694437</v>
      </c>
      <c r="D2006" s="883">
        <v>1.02651053560821</v>
      </c>
      <c r="E2006" s="883">
        <v>1.0058645859873121</v>
      </c>
      <c r="F2006" s="883">
        <v>0.99018576816479353</v>
      </c>
      <c r="G2006" s="883">
        <v>1.021220771204626</v>
      </c>
      <c r="H2006" s="883">
        <v>0.97186190248384086</v>
      </c>
      <c r="I2006" s="883">
        <v>0.9966140499980678</v>
      </c>
      <c r="K2006">
        <v>1.5939474375883833</v>
      </c>
      <c r="L2006">
        <v>0</v>
      </c>
      <c r="M2006">
        <v>6.1673456170425398E-3</v>
      </c>
      <c r="N2006">
        <v>0.11598607144985962</v>
      </c>
      <c r="O2006">
        <v>3.072676670278271E-2</v>
      </c>
      <c r="P2006">
        <v>1.8237825805150019E-2</v>
      </c>
      <c r="Q2006">
        <v>0</v>
      </c>
      <c r="R2006">
        <v>6.1673456170425398E-3</v>
      </c>
      <c r="S2006">
        <v>0.16738885008808049</v>
      </c>
      <c r="T2006">
        <v>1.1742074143361707</v>
      </c>
      <c r="U2006">
        <v>0</v>
      </c>
      <c r="V2006">
        <v>1.5890573816882778E-2</v>
      </c>
      <c r="W2006">
        <v>6.0869684915836657E-2</v>
      </c>
      <c r="X2006">
        <v>-1.475578103076354E-2</v>
      </c>
      <c r="Y2006">
        <v>2.5396031504383604E-2</v>
      </c>
    </row>
    <row r="2007" spans="1:25" x14ac:dyDescent="0.25">
      <c r="A2007" s="879"/>
      <c r="B2007" s="1133">
        <v>1757</v>
      </c>
      <c r="C2007" s="883">
        <v>0.99768840239451473</v>
      </c>
      <c r="D2007" s="883">
        <v>1.0001783743713957</v>
      </c>
      <c r="E2007" s="883">
        <v>0.96956179087916072</v>
      </c>
      <c r="F2007" s="883">
        <v>1.0049209530020369</v>
      </c>
      <c r="G2007" s="883">
        <v>1.0094635934492031</v>
      </c>
      <c r="H2007" s="883">
        <v>1.0196261007932437</v>
      </c>
      <c r="I2007" s="883">
        <v>1.0354399420256366</v>
      </c>
      <c r="K2007">
        <v>1.6293546314648923</v>
      </c>
      <c r="L2007">
        <v>0</v>
      </c>
      <c r="M2007">
        <v>6.7268736882088445E-3</v>
      </c>
      <c r="N2007">
        <v>0.1198787877583031</v>
      </c>
      <c r="O2007">
        <v>3.0941544085496098E-2</v>
      </c>
      <c r="P2007">
        <v>1.8090076202260424E-2</v>
      </c>
      <c r="Q2007">
        <v>0</v>
      </c>
      <c r="R2007">
        <v>6.7268736882088445E-3</v>
      </c>
      <c r="S2007">
        <v>0.17622967382248067</v>
      </c>
      <c r="T2007">
        <v>1.1923610408532064</v>
      </c>
      <c r="U2007">
        <v>0</v>
      </c>
      <c r="V2007">
        <v>1.5866542792625608E-2</v>
      </c>
      <c r="W2007">
        <v>6.406296394578688E-2</v>
      </c>
      <c r="X2007">
        <v>-1.5776066504430749E-2</v>
      </c>
      <c r="Y2007">
        <v>2.7700068509162422E-2</v>
      </c>
    </row>
    <row r="2008" spans="1:25" x14ac:dyDescent="0.25">
      <c r="A2008" s="879"/>
      <c r="B2008" s="1133">
        <v>1758</v>
      </c>
      <c r="C2008" s="883">
        <v>1.0315337565418967</v>
      </c>
      <c r="D2008" s="883">
        <v>0.97657274848374576</v>
      </c>
      <c r="E2008" s="883">
        <v>1.0175976782521399</v>
      </c>
      <c r="F2008" s="883">
        <v>1.0371957422037461</v>
      </c>
      <c r="G2008" s="883">
        <v>1.0468856000930928</v>
      </c>
      <c r="H2008" s="883">
        <v>1.0034028611723671</v>
      </c>
      <c r="I2008" s="883">
        <v>0.97782430425785194</v>
      </c>
      <c r="K2008">
        <v>1.6462625114528424</v>
      </c>
      <c r="L2008">
        <v>0</v>
      </c>
      <c r="M2008">
        <v>6.2055142436251891E-3</v>
      </c>
      <c r="N2008">
        <v>0.11874841933939763</v>
      </c>
      <c r="O2008">
        <v>3.0174481765063682E-2</v>
      </c>
      <c r="P2008">
        <v>1.9053153995202521E-2</v>
      </c>
      <c r="Q2008">
        <v>0</v>
      </c>
      <c r="R2008">
        <v>6.2055142436251891E-3</v>
      </c>
      <c r="S2008">
        <v>0.16035782601661899</v>
      </c>
      <c r="T2008">
        <v>1.229728438877667</v>
      </c>
      <c r="U2008">
        <v>0</v>
      </c>
      <c r="V2008">
        <v>1.568725664507991E-2</v>
      </c>
      <c r="W2008">
        <v>6.1959013257814756E-2</v>
      </c>
      <c r="X2008">
        <v>-1.4999281558891122E-2</v>
      </c>
      <c r="Y2008">
        <v>2.5553203114888682E-2</v>
      </c>
    </row>
    <row r="2009" spans="1:25" x14ac:dyDescent="0.25">
      <c r="A2009" s="879"/>
      <c r="B2009" s="1133">
        <v>1759</v>
      </c>
      <c r="C2009" s="883">
        <v>1.0352785044989437</v>
      </c>
      <c r="D2009" s="883">
        <v>0.99596449979744206</v>
      </c>
      <c r="E2009" s="883">
        <v>0.99912208137552916</v>
      </c>
      <c r="F2009" s="883">
        <v>0.98089407439772214</v>
      </c>
      <c r="G2009" s="883">
        <v>0.95803141112670775</v>
      </c>
      <c r="H2009" s="883">
        <v>0.95561252736085778</v>
      </c>
      <c r="I2009" s="883">
        <v>0.97514562609525468</v>
      </c>
      <c r="K2009">
        <v>1.5623528715510822</v>
      </c>
      <c r="L2009">
        <v>0</v>
      </c>
      <c r="M2009">
        <v>5.9321805903268521E-3</v>
      </c>
      <c r="N2009">
        <v>0.11045480012050367</v>
      </c>
      <c r="O2009">
        <v>2.9845450680107442E-2</v>
      </c>
      <c r="P2009">
        <v>1.785087023724493E-2</v>
      </c>
      <c r="Q2009">
        <v>0</v>
      </c>
      <c r="R2009">
        <v>5.9321805903268521E-3</v>
      </c>
      <c r="S2009">
        <v>0.15651211988595021</v>
      </c>
      <c r="T2009">
        <v>1.1633117448678443</v>
      </c>
      <c r="U2009">
        <v>0</v>
      </c>
      <c r="V2009">
        <v>1.5668140162208931E-2</v>
      </c>
      <c r="W2009">
        <v>5.8161096830203249E-2</v>
      </c>
      <c r="X2009">
        <v>-1.3879015015163929E-2</v>
      </c>
      <c r="Y2009">
        <v>2.4427663782182769E-2</v>
      </c>
    </row>
    <row r="2010" spans="1:25" x14ac:dyDescent="0.25">
      <c r="A2010" s="879"/>
      <c r="B2010" s="1133">
        <v>1760</v>
      </c>
      <c r="C2010" s="883">
        <v>1.0285164844009371</v>
      </c>
      <c r="D2010" s="883">
        <v>0.99249807246019572</v>
      </c>
      <c r="E2010" s="883">
        <v>0.9741954314986927</v>
      </c>
      <c r="F2010" s="883">
        <v>0.98269184244281527</v>
      </c>
      <c r="G2010" s="883">
        <v>0.99804873877391742</v>
      </c>
      <c r="H2010" s="883">
        <v>0.97917513395539446</v>
      </c>
      <c r="I2010" s="883">
        <v>1.0230181004501775</v>
      </c>
      <c r="K2010">
        <v>1.5796718640126692</v>
      </c>
      <c r="L2010">
        <v>0</v>
      </c>
      <c r="M2010">
        <v>6.262639761171398E-3</v>
      </c>
      <c r="N2010">
        <v>0.11237611262764756</v>
      </c>
      <c r="O2010">
        <v>3.0103338709667381E-2</v>
      </c>
      <c r="P2010">
        <v>1.7680358546953805E-2</v>
      </c>
      <c r="Q2010">
        <v>0</v>
      </c>
      <c r="R2010">
        <v>6.262639761171398E-3</v>
      </c>
      <c r="S2010">
        <v>0.16664380860074732</v>
      </c>
      <c r="T2010">
        <v>1.1659005224916528</v>
      </c>
      <c r="U2010">
        <v>0</v>
      </c>
      <c r="V2010">
        <v>1.5702760718720794E-2</v>
      </c>
      <c r="W2010">
        <v>5.9913918969381807E-2</v>
      </c>
      <c r="X2010">
        <v>-1.4437392480283527E-2</v>
      </c>
      <c r="Y2010">
        <v>2.5788435828180894E-2</v>
      </c>
    </row>
    <row r="2011" spans="1:25" x14ac:dyDescent="0.25">
      <c r="A2011" s="879"/>
      <c r="B2011" s="1133">
        <v>1761</v>
      </c>
      <c r="C2011" s="883">
        <v>0.9921961249751694</v>
      </c>
      <c r="D2011" s="883">
        <v>1.02297030121994</v>
      </c>
      <c r="E2011" s="883">
        <v>0.99048258308558124</v>
      </c>
      <c r="F2011" s="883">
        <v>0.99340157525237482</v>
      </c>
      <c r="G2011" s="883">
        <v>1.0009211088522494</v>
      </c>
      <c r="H2011" s="883">
        <v>1.0244777629555668</v>
      </c>
      <c r="I2011" s="883">
        <v>0.98167470695806347</v>
      </c>
      <c r="K2011">
        <v>1.6080731062488349</v>
      </c>
      <c r="L2011">
        <v>0</v>
      </c>
      <c r="M2011">
        <v>6.6067932804133641E-3</v>
      </c>
      <c r="N2011">
        <v>0.12145073885262495</v>
      </c>
      <c r="O2011">
        <v>3.0817103061757403E-2</v>
      </c>
      <c r="P2011">
        <v>1.8089641333184348E-2</v>
      </c>
      <c r="Q2011">
        <v>0</v>
      </c>
      <c r="R2011">
        <v>6.6067932804133641E-3</v>
      </c>
      <c r="S2011">
        <v>0.16806857699690655</v>
      </c>
      <c r="T2011">
        <v>1.1783049789137261</v>
      </c>
      <c r="U2011">
        <v>0</v>
      </c>
      <c r="V2011">
        <v>1.5896790053799164E-2</v>
      </c>
      <c r="W2011">
        <v>6.4226688548615407E-2</v>
      </c>
      <c r="X2011">
        <v>-1.598701027515578E-2</v>
      </c>
      <c r="Y2011">
        <v>2.7205598763376446E-2</v>
      </c>
    </row>
    <row r="2012" spans="1:25" x14ac:dyDescent="0.25">
      <c r="A2012" s="879"/>
      <c r="B2012" s="1133">
        <v>1762</v>
      </c>
      <c r="C2012" s="883">
        <v>0.99920739031894434</v>
      </c>
      <c r="D2012" s="883">
        <v>1.0060545004406434</v>
      </c>
      <c r="E2012" s="883">
        <v>0.97852809492236148</v>
      </c>
      <c r="F2012" s="883">
        <v>0.96425551546686039</v>
      </c>
      <c r="G2012" s="883">
        <v>0.99493863402142158</v>
      </c>
      <c r="H2012" s="883">
        <v>0.99128926464737632</v>
      </c>
      <c r="I2012" s="883">
        <v>1.0364777515774937</v>
      </c>
      <c r="K2012">
        <v>1.572684351484158</v>
      </c>
      <c r="L2012">
        <v>0</v>
      </c>
      <c r="M2012">
        <v>6.4622758125713374E-3</v>
      </c>
      <c r="N2012">
        <v>0.1167063765925621</v>
      </c>
      <c r="O2012">
        <v>3.0815263314025468E-2</v>
      </c>
      <c r="P2012">
        <v>1.7555055309103659E-2</v>
      </c>
      <c r="Q2012">
        <v>0</v>
      </c>
      <c r="R2012">
        <v>6.4622758125713374E-3</v>
      </c>
      <c r="S2012">
        <v>0.17438432406389529</v>
      </c>
      <c r="T2012">
        <v>1.1439489329306105</v>
      </c>
      <c r="U2012">
        <v>0</v>
      </c>
      <c r="V2012">
        <v>1.5858236068238409E-2</v>
      </c>
      <c r="W2012">
        <v>6.2087581696396242E-2</v>
      </c>
      <c r="X2012">
        <v>-1.5281920044627615E-2</v>
      </c>
      <c r="Y2012">
        <v>2.6610501553953343E-2</v>
      </c>
    </row>
    <row r="2013" spans="1:25" x14ac:dyDescent="0.25">
      <c r="A2013" s="879"/>
      <c r="B2013" s="1133">
        <v>1763</v>
      </c>
      <c r="C2013" s="883">
        <v>0.97340640000656797</v>
      </c>
      <c r="D2013" s="883">
        <v>0.97586025925541053</v>
      </c>
      <c r="E2013" s="883">
        <v>0.9561923466481197</v>
      </c>
      <c r="F2013" s="883">
        <v>1.0370075852235736</v>
      </c>
      <c r="G2013" s="883">
        <v>1.0198660834694393</v>
      </c>
      <c r="H2013" s="883">
        <v>0.99516067004966435</v>
      </c>
      <c r="I2013" s="883">
        <v>0.99734786913972961</v>
      </c>
      <c r="K2013">
        <v>1.6673982707598187</v>
      </c>
      <c r="L2013">
        <v>0</v>
      </c>
      <c r="M2013">
        <v>6.8831792398826924E-3</v>
      </c>
      <c r="N2013">
        <v>0.12025206379080569</v>
      </c>
      <c r="O2013">
        <v>3.2037465545688183E-2</v>
      </c>
      <c r="P2013">
        <v>1.8354082140707315E-2</v>
      </c>
      <c r="Q2013">
        <v>0</v>
      </c>
      <c r="R2013">
        <v>6.8831792398826924E-3</v>
      </c>
      <c r="S2013">
        <v>0.17277214274293959</v>
      </c>
      <c r="T2013">
        <v>1.2306924502035292</v>
      </c>
      <c r="U2013">
        <v>0</v>
      </c>
      <c r="V2013">
        <v>1.6002850815143407E-2</v>
      </c>
      <c r="W2013">
        <v>6.4697114917127818E-2</v>
      </c>
      <c r="X2013">
        <v>-1.5753606345726867E-2</v>
      </c>
      <c r="Y2013">
        <v>2.8343706949604267E-2</v>
      </c>
    </row>
    <row r="2014" spans="1:25" x14ac:dyDescent="0.25">
      <c r="A2014" s="879"/>
      <c r="B2014" s="1133">
        <v>1764</v>
      </c>
      <c r="C2014" s="883">
        <v>1.0332316652129399</v>
      </c>
      <c r="D2014" s="883">
        <v>0.96576454454159011</v>
      </c>
      <c r="E2014" s="883">
        <v>0.97913531610210303</v>
      </c>
      <c r="F2014" s="883">
        <v>1.00601828320582</v>
      </c>
      <c r="G2014" s="883">
        <v>1.0147298287049438</v>
      </c>
      <c r="H2014" s="883">
        <v>1.0119051989230665</v>
      </c>
      <c r="I2014" s="883">
        <v>0.99583543468473001</v>
      </c>
      <c r="K2014">
        <v>1.612391875159084</v>
      </c>
      <c r="L2014">
        <v>0</v>
      </c>
      <c r="M2014">
        <v>6.4934706053645444E-3</v>
      </c>
      <c r="N2014">
        <v>0.11737545094920694</v>
      </c>
      <c r="O2014">
        <v>3.0291249342982236E-2</v>
      </c>
      <c r="P2014">
        <v>1.8070626828029991E-2</v>
      </c>
      <c r="Q2014">
        <v>0</v>
      </c>
      <c r="R2014">
        <v>6.4934706053645444E-3</v>
      </c>
      <c r="S2014">
        <v>0.16360161535528039</v>
      </c>
      <c r="T2014">
        <v>1.193482973388529</v>
      </c>
      <c r="U2014">
        <v>0</v>
      </c>
      <c r="V2014">
        <v>1.5678571857208494E-2</v>
      </c>
      <c r="W2014">
        <v>6.2424536432226722E-2</v>
      </c>
      <c r="X2014">
        <v>-1.5272105152589116E-2</v>
      </c>
      <c r="Y2014">
        <v>2.6738956158209634E-2</v>
      </c>
    </row>
    <row r="2015" spans="1:25" x14ac:dyDescent="0.25">
      <c r="A2015" s="879"/>
      <c r="B2015" s="1133">
        <v>1765</v>
      </c>
      <c r="C2015" s="883">
        <v>1.029703399964349</v>
      </c>
      <c r="D2015" s="883">
        <v>1.001368774496068</v>
      </c>
      <c r="E2015" s="883">
        <v>1.0132823403990936</v>
      </c>
      <c r="F2015" s="883">
        <v>1.0160862051613491</v>
      </c>
      <c r="G2015" s="883">
        <v>1.0057868155423961</v>
      </c>
      <c r="H2015" s="883">
        <v>1.0070276586097509</v>
      </c>
      <c r="I2015" s="883">
        <v>1.0247545652925398</v>
      </c>
      <c r="K2015">
        <v>1.6273482708217288</v>
      </c>
      <c r="L2015">
        <v>0</v>
      </c>
      <c r="M2015">
        <v>6.1929106824104756E-3</v>
      </c>
      <c r="N2015">
        <v>0.11775288702843156</v>
      </c>
      <c r="O2015">
        <v>2.9930211965630654E-2</v>
      </c>
      <c r="P2015">
        <v>1.8762383628108732E-2</v>
      </c>
      <c r="Q2015">
        <v>0</v>
      </c>
      <c r="R2015">
        <v>6.1929106824104756E-3</v>
      </c>
      <c r="S2015">
        <v>0.1682961966900281</v>
      </c>
      <c r="T2015">
        <v>1.2047815718425818</v>
      </c>
      <c r="U2015">
        <v>0</v>
      </c>
      <c r="V2015">
        <v>1.5696650982478341E-2</v>
      </c>
      <c r="W2015">
        <v>6.1570562657970666E-2</v>
      </c>
      <c r="X2015">
        <v>-1.4943497866658006E-2</v>
      </c>
      <c r="Y2015">
        <v>2.550130389315676E-2</v>
      </c>
    </row>
    <row r="2016" spans="1:25" x14ac:dyDescent="0.25">
      <c r="A2016" s="879"/>
      <c r="B2016" s="1133">
        <v>1766</v>
      </c>
      <c r="C2016" s="883">
        <v>0.98849512310062826</v>
      </c>
      <c r="D2016" s="883">
        <v>0.99834348787321414</v>
      </c>
      <c r="E2016" s="883">
        <v>0.97046329723834557</v>
      </c>
      <c r="F2016" s="883">
        <v>1.0311303337572779</v>
      </c>
      <c r="G2016" s="883">
        <v>1.0356871584506078</v>
      </c>
      <c r="H2016" s="883">
        <v>0.98709534720401315</v>
      </c>
      <c r="I2016" s="883">
        <v>1.0168132128507588</v>
      </c>
      <c r="K2016">
        <v>1.6537405627860275</v>
      </c>
      <c r="L2016">
        <v>0</v>
      </c>
      <c r="M2016">
        <v>6.5730457423770206E-3</v>
      </c>
      <c r="N2016">
        <v>0.11729433680299155</v>
      </c>
      <c r="O2016">
        <v>3.1251558992524166E-2</v>
      </c>
      <c r="P2016">
        <v>1.8464142837711698E-2</v>
      </c>
      <c r="Q2016">
        <v>0</v>
      </c>
      <c r="R2016">
        <v>6.5730457423770206E-3</v>
      </c>
      <c r="S2016">
        <v>0.1727489737591752</v>
      </c>
      <c r="T2016">
        <v>1.2234416558126588</v>
      </c>
      <c r="U2016">
        <v>0</v>
      </c>
      <c r="V2016">
        <v>1.5917361900933565E-2</v>
      </c>
      <c r="W2016">
        <v>6.2653435474818928E-2</v>
      </c>
      <c r="X2016">
        <v>-1.5097535203368153E-2</v>
      </c>
      <c r="Y2016">
        <v>2.7066632408580635E-2</v>
      </c>
    </row>
    <row r="2017" spans="1:25" x14ac:dyDescent="0.25">
      <c r="A2017" s="879"/>
      <c r="B2017" s="1133">
        <v>1767</v>
      </c>
      <c r="C2017" s="883">
        <v>0.99369087112846333</v>
      </c>
      <c r="D2017" s="883">
        <v>1.0136589394036526</v>
      </c>
      <c r="E2017" s="883">
        <v>0.97984822261444504</v>
      </c>
      <c r="F2017" s="883">
        <v>0.97595693053032284</v>
      </c>
      <c r="G2017" s="883">
        <v>0.96694084773498667</v>
      </c>
      <c r="H2017" s="883">
        <v>0.98282149691406462</v>
      </c>
      <c r="I2017" s="883">
        <v>1.0217596153757946</v>
      </c>
      <c r="K2017">
        <v>1.5836907509873777</v>
      </c>
      <c r="L2017">
        <v>0</v>
      </c>
      <c r="M2017">
        <v>6.4136682158531444E-3</v>
      </c>
      <c r="N2017">
        <v>0.11605564405094801</v>
      </c>
      <c r="O2017">
        <v>3.0892097793997115E-2</v>
      </c>
      <c r="P2017">
        <v>1.7728155338629762E-2</v>
      </c>
      <c r="Q2017">
        <v>0</v>
      </c>
      <c r="R2017">
        <v>6.4136682158531444E-3</v>
      </c>
      <c r="S2017">
        <v>0.17228662289302277</v>
      </c>
      <c r="T2017">
        <v>1.1578068980725362</v>
      </c>
      <c r="U2017">
        <v>0</v>
      </c>
      <c r="V2017">
        <v>1.5888525019526086E-2</v>
      </c>
      <c r="W2017">
        <v>6.1700581983999504E-2</v>
      </c>
      <c r="X2017">
        <v>-1.5078118287780313E-2</v>
      </c>
      <c r="Y2017">
        <v>2.6410344122497518E-2</v>
      </c>
    </row>
    <row r="2018" spans="1:25" x14ac:dyDescent="0.25">
      <c r="A2018" s="879"/>
      <c r="B2018" s="1133">
        <v>1768</v>
      </c>
      <c r="C2018" s="883">
        <v>1.0155408960466055</v>
      </c>
      <c r="D2018" s="883">
        <v>0.96515649714765361</v>
      </c>
      <c r="E2018" s="883">
        <v>1.0021562553564567</v>
      </c>
      <c r="F2018" s="883">
        <v>0.99590285300272152</v>
      </c>
      <c r="G2018" s="883">
        <v>1.0172471985095393</v>
      </c>
      <c r="H2018" s="883">
        <v>1.0100635256023831</v>
      </c>
      <c r="I2018" s="883">
        <v>0.97642849142978472</v>
      </c>
      <c r="K2018">
        <v>1.6043402630049333</v>
      </c>
      <c r="L2018">
        <v>0</v>
      </c>
      <c r="M2018">
        <v>6.4652217099062841E-3</v>
      </c>
      <c r="N2018">
        <v>0.12092211814234426</v>
      </c>
      <c r="O2018">
        <v>3.0807746968769419E-2</v>
      </c>
      <c r="P2018">
        <v>1.8219839338816299E-2</v>
      </c>
      <c r="Q2018">
        <v>0</v>
      </c>
      <c r="R2018">
        <v>6.4652217099062841E-3</v>
      </c>
      <c r="S2018">
        <v>0.16313407407529765</v>
      </c>
      <c r="T2018">
        <v>1.1810555669216456</v>
      </c>
      <c r="U2018">
        <v>0</v>
      </c>
      <c r="V2018">
        <v>1.5770485003360153E-2</v>
      </c>
      <c r="W2018">
        <v>6.357691991020345E-2</v>
      </c>
      <c r="X2018">
        <v>-1.5769119590332788E-2</v>
      </c>
      <c r="Y2018">
        <v>2.6622632234828473E-2</v>
      </c>
    </row>
    <row r="2019" spans="1:25" x14ac:dyDescent="0.25">
      <c r="A2019" s="879"/>
      <c r="B2019" s="1133">
        <v>1769</v>
      </c>
      <c r="C2019" s="883">
        <v>1.0079617645131513</v>
      </c>
      <c r="D2019" s="883">
        <v>1.0085884452507172</v>
      </c>
      <c r="E2019" s="883">
        <v>1.0166812932051421</v>
      </c>
      <c r="F2019" s="883">
        <v>0.9944571098170133</v>
      </c>
      <c r="G2019" s="883">
        <v>0.98793100508236809</v>
      </c>
      <c r="H2019" s="883">
        <v>1.0028285251481996</v>
      </c>
      <c r="I2019" s="883">
        <v>1.0077162325740234</v>
      </c>
      <c r="K2019">
        <v>1.6051248114757675</v>
      </c>
      <c r="L2019">
        <v>0</v>
      </c>
      <c r="M2019">
        <v>6.2613121521422604E-3</v>
      </c>
      <c r="N2019">
        <v>0.11965381842715521</v>
      </c>
      <c r="O2019">
        <v>3.0485061036910403E-2</v>
      </c>
      <c r="P2019">
        <v>1.8469801410103112E-2</v>
      </c>
      <c r="Q2019">
        <v>0</v>
      </c>
      <c r="R2019">
        <v>6.2613121521422604E-3</v>
      </c>
      <c r="S2019">
        <v>0.16875529421829114</v>
      </c>
      <c r="T2019">
        <v>1.1790731825197416</v>
      </c>
      <c r="U2019">
        <v>0</v>
      </c>
      <c r="V2019">
        <v>1.581084991534254E-2</v>
      </c>
      <c r="W2019">
        <v>6.2459641850311554E-2</v>
      </c>
      <c r="X2019">
        <v>-1.5365806872593625E-2</v>
      </c>
      <c r="Y2019">
        <v>2.57829689705045E-2</v>
      </c>
    </row>
    <row r="2020" spans="1:25" x14ac:dyDescent="0.25">
      <c r="A2020" s="879"/>
      <c r="B2020" s="1133">
        <v>1770</v>
      </c>
      <c r="C2020" s="883">
        <v>0.98150468264462953</v>
      </c>
      <c r="D2020" s="883">
        <v>1.0358310886070103</v>
      </c>
      <c r="E2020" s="883">
        <v>0.98747979142052689</v>
      </c>
      <c r="F2020" s="883">
        <v>0.99697508302944249</v>
      </c>
      <c r="G2020" s="883">
        <v>1.0093661366198861</v>
      </c>
      <c r="H2020" s="883">
        <v>0.99873098363412216</v>
      </c>
      <c r="I2020" s="883">
        <v>1.0029062669038398</v>
      </c>
      <c r="K2020">
        <v>1.6126774417946625</v>
      </c>
      <c r="L2020">
        <v>0</v>
      </c>
      <c r="M2020">
        <v>6.4917756468971322E-3</v>
      </c>
      <c r="N2020">
        <v>0.11880627327675548</v>
      </c>
      <c r="O2020">
        <v>3.0999965017898323E-2</v>
      </c>
      <c r="P2020">
        <v>1.8157149827334958E-2</v>
      </c>
      <c r="Q2020">
        <v>0</v>
      </c>
      <c r="R2020">
        <v>6.4917756468971322E-3</v>
      </c>
      <c r="S2020">
        <v>0.17193835982863004</v>
      </c>
      <c r="T2020">
        <v>1.182599412454816</v>
      </c>
      <c r="U2020">
        <v>0</v>
      </c>
      <c r="V2020">
        <v>1.5956641195080713E-2</v>
      </c>
      <c r="W2020">
        <v>6.2922406450782106E-2</v>
      </c>
      <c r="X2020">
        <v>-1.5434742877566989E-2</v>
      </c>
      <c r="Y2020">
        <v>2.6731976620932196E-2</v>
      </c>
    </row>
    <row r="2021" spans="1:25" x14ac:dyDescent="0.25">
      <c r="A2021" s="879"/>
      <c r="B2021" s="1133">
        <v>1771</v>
      </c>
      <c r="C2021" s="883">
        <v>1.0324854983972216</v>
      </c>
      <c r="D2021" s="883">
        <v>1.0068988105453038</v>
      </c>
      <c r="E2021" s="883">
        <v>0.97335495735890265</v>
      </c>
      <c r="F2021" s="883">
        <v>1.0044395969565441</v>
      </c>
      <c r="G2021" s="883">
        <v>1.0028392022753005</v>
      </c>
      <c r="H2021" s="883">
        <v>0.99081882070464533</v>
      </c>
      <c r="I2021" s="883">
        <v>0.96402752454088636</v>
      </c>
      <c r="K2021">
        <v>1.5959485891070431</v>
      </c>
      <c r="L2021">
        <v>0</v>
      </c>
      <c r="M2021">
        <v>6.2769113944399031E-3</v>
      </c>
      <c r="N2021">
        <v>0.11249177224861429</v>
      </c>
      <c r="O2021">
        <v>2.9815949789796046E-2</v>
      </c>
      <c r="P2021">
        <v>1.7879296234110199E-2</v>
      </c>
      <c r="Q2021">
        <v>0</v>
      </c>
      <c r="R2021">
        <v>6.2769113944399031E-3</v>
      </c>
      <c r="S2021">
        <v>0.15692885212899102</v>
      </c>
      <c r="T2021">
        <v>1.1917186175419536</v>
      </c>
      <c r="U2021">
        <v>0</v>
      </c>
      <c r="V2021">
        <v>1.5682384975723763E-2</v>
      </c>
      <c r="W2021">
        <v>6.0000892910375685E-2</v>
      </c>
      <c r="X2021">
        <v>-1.4416380596247452E-2</v>
      </c>
      <c r="Y2021">
        <v>2.5847203873724571E-2</v>
      </c>
    </row>
    <row r="2022" spans="1:25" x14ac:dyDescent="0.25">
      <c r="A2022" s="879"/>
      <c r="B2022" s="1133">
        <v>1772</v>
      </c>
      <c r="C2022" s="883">
        <v>1.0031745249312225</v>
      </c>
      <c r="D2022" s="883">
        <v>1.0075246951310091</v>
      </c>
      <c r="E2022" s="883">
        <v>0.99930301926167464</v>
      </c>
      <c r="F2022" s="883">
        <v>0.99633572618513511</v>
      </c>
      <c r="G2022" s="883">
        <v>0.9695228766835885</v>
      </c>
      <c r="H2022" s="883">
        <v>0.97930522226563044</v>
      </c>
      <c r="I2022" s="883">
        <v>1.0147470749129657</v>
      </c>
      <c r="K2022">
        <v>1.604037946138078</v>
      </c>
      <c r="L2022">
        <v>0</v>
      </c>
      <c r="M2022">
        <v>6.2406151888937814E-3</v>
      </c>
      <c r="N2022">
        <v>0.11622888093830246</v>
      </c>
      <c r="O2022">
        <v>3.0658573234291258E-2</v>
      </c>
      <c r="P2022">
        <v>1.8272340590474865E-2</v>
      </c>
      <c r="Q2022">
        <v>0</v>
      </c>
      <c r="R2022">
        <v>6.2406151888937814E-3</v>
      </c>
      <c r="S2022">
        <v>0.16936054262415939</v>
      </c>
      <c r="T2022">
        <v>1.1816217421486148</v>
      </c>
      <c r="U2022">
        <v>0</v>
      </c>
      <c r="V2022">
        <v>1.5836660072598339E-2</v>
      </c>
      <c r="W2022">
        <v>6.1195996647910124E-2</v>
      </c>
      <c r="X2022">
        <v>-1.4834532678042717E-2</v>
      </c>
      <c r="Y2022">
        <v>2.5697742559769393E-2</v>
      </c>
    </row>
    <row r="2023" spans="1:25" x14ac:dyDescent="0.25">
      <c r="A2023" s="879"/>
      <c r="B2023" s="1133">
        <v>1773</v>
      </c>
      <c r="C2023" s="883">
        <v>1.0098249965508639</v>
      </c>
      <c r="D2023" s="883">
        <v>0.97030112509237276</v>
      </c>
      <c r="E2023" s="883">
        <v>1.0249354576197018</v>
      </c>
      <c r="F2023" s="883">
        <v>1.0048255610510353</v>
      </c>
      <c r="G2023" s="883">
        <v>0.99400952783353691</v>
      </c>
      <c r="H2023" s="883">
        <v>1.0136362795838219</v>
      </c>
      <c r="I2023" s="883">
        <v>0.98856864289392887</v>
      </c>
      <c r="K2023">
        <v>1.6208214944786026</v>
      </c>
      <c r="L2023">
        <v>0</v>
      </c>
      <c r="M2023">
        <v>6.3808957743175269E-3</v>
      </c>
      <c r="N2023">
        <v>0.12343701411196606</v>
      </c>
      <c r="O2023">
        <v>3.0895983052140565E-2</v>
      </c>
      <c r="P2023">
        <v>1.8714931259982366E-2</v>
      </c>
      <c r="Q2023">
        <v>0</v>
      </c>
      <c r="R2023">
        <v>6.3808957743175269E-3</v>
      </c>
      <c r="S2023">
        <v>0.16626943190958482</v>
      </c>
      <c r="T2023">
        <v>1.1912131005479942</v>
      </c>
      <c r="U2023">
        <v>0</v>
      </c>
      <c r="V2023">
        <v>1.5800870552597986E-2</v>
      </c>
      <c r="W2023">
        <v>6.4173111797653337E-2</v>
      </c>
      <c r="X2023">
        <v>-1.5958341794847199E-2</v>
      </c>
      <c r="Y2023">
        <v>2.6275393041530974E-2</v>
      </c>
    </row>
    <row r="2024" spans="1:25" x14ac:dyDescent="0.25">
      <c r="A2024" s="879"/>
      <c r="B2024" s="1133">
        <v>1774</v>
      </c>
      <c r="C2024" s="883">
        <v>0.98626098396494266</v>
      </c>
      <c r="D2024" s="883">
        <v>0.98768661010805836</v>
      </c>
      <c r="E2024" s="883">
        <v>0.99740702471815335</v>
      </c>
      <c r="F2024" s="883">
        <v>0.98648908901819532</v>
      </c>
      <c r="G2024" s="883">
        <v>0.99863070276117449</v>
      </c>
      <c r="H2024" s="883">
        <v>1.0184207017227018</v>
      </c>
      <c r="I2024" s="883">
        <v>0.99138881577609494</v>
      </c>
      <c r="K2024">
        <v>1.6065115792872182</v>
      </c>
      <c r="L2024">
        <v>0</v>
      </c>
      <c r="M2024">
        <v>6.6710339704663156E-3</v>
      </c>
      <c r="N2024">
        <v>0.12389671017096678</v>
      </c>
      <c r="O2024">
        <v>3.1435023935190078E-2</v>
      </c>
      <c r="P2024">
        <v>1.8110948632914136E-2</v>
      </c>
      <c r="Q2024">
        <v>0</v>
      </c>
      <c r="R2024">
        <v>6.6710339704663156E-3</v>
      </c>
      <c r="S2024">
        <v>0.17078312132965634</v>
      </c>
      <c r="T2024">
        <v>1.1699787258779106</v>
      </c>
      <c r="U2024">
        <v>0</v>
      </c>
      <c r="V2024">
        <v>1.5929854991066191E-2</v>
      </c>
      <c r="W2024">
        <v>6.5294701922620421E-2</v>
      </c>
      <c r="X2024">
        <v>-1.6387638063704767E-2</v>
      </c>
      <c r="Y2024">
        <v>2.7470130490597936E-2</v>
      </c>
    </row>
    <row r="2025" spans="1:25" x14ac:dyDescent="0.25">
      <c r="A2025" s="879"/>
      <c r="B2025" s="1133">
        <v>1775</v>
      </c>
      <c r="C2025" s="883">
        <v>0.98621583803837953</v>
      </c>
      <c r="D2025" s="883">
        <v>1.0288221654698746</v>
      </c>
      <c r="E2025" s="883">
        <v>1.0270585251115751</v>
      </c>
      <c r="F2025" s="883">
        <v>1.0080057565035305</v>
      </c>
      <c r="G2025" s="883">
        <v>0.99499462304743735</v>
      </c>
      <c r="H2025" s="883">
        <v>1.0330497284085958</v>
      </c>
      <c r="I2025" s="883">
        <v>0.97165381112094684</v>
      </c>
      <c r="K2025">
        <v>1.6296392008584606</v>
      </c>
      <c r="L2025">
        <v>0</v>
      </c>
      <c r="M2025">
        <v>6.4750343593158316E-3</v>
      </c>
      <c r="N2025">
        <v>0.12565193725598506</v>
      </c>
      <c r="O2025">
        <v>3.0901169628126082E-2</v>
      </c>
      <c r="P2025">
        <v>1.8818348495869299E-2</v>
      </c>
      <c r="Q2025">
        <v>0</v>
      </c>
      <c r="R2025">
        <v>6.4750343593158316E-3</v>
      </c>
      <c r="S2025">
        <v>0.16782632639229889</v>
      </c>
      <c r="T2025">
        <v>1.1949436700854308</v>
      </c>
      <c r="U2025">
        <v>0</v>
      </c>
      <c r="V2025">
        <v>1.5930108026176174E-2</v>
      </c>
      <c r="W2025">
        <v>6.5256503739922214E-2</v>
      </c>
      <c r="X2025">
        <v>-1.6351901743859091E-2</v>
      </c>
      <c r="Y2025">
        <v>2.6663038978510505E-2</v>
      </c>
    </row>
    <row r="2026" spans="1:25" x14ac:dyDescent="0.25">
      <c r="A2026" s="879"/>
      <c r="B2026" s="1133">
        <v>1776</v>
      </c>
      <c r="C2026" s="883">
        <v>0.97004355397616748</v>
      </c>
      <c r="D2026" s="883">
        <v>0.97203746324402462</v>
      </c>
      <c r="E2026" s="883">
        <v>1.0000785166665149</v>
      </c>
      <c r="F2026" s="883">
        <v>1.0276542929222763</v>
      </c>
      <c r="G2026" s="883">
        <v>1.0047281771334922</v>
      </c>
      <c r="H2026" s="883">
        <v>0.98960191581227774</v>
      </c>
      <c r="I2026" s="883">
        <v>0.99825668287979408</v>
      </c>
      <c r="K2026">
        <v>1.658807228286848</v>
      </c>
      <c r="L2026">
        <v>0</v>
      </c>
      <c r="M2026">
        <v>6.6223346197268555E-3</v>
      </c>
      <c r="N2026">
        <v>0.12348003386146288</v>
      </c>
      <c r="O2026">
        <v>3.2163033935877106E-2</v>
      </c>
      <c r="P2026">
        <v>1.8834651738702215E-2</v>
      </c>
      <c r="Q2026">
        <v>0</v>
      </c>
      <c r="R2026">
        <v>6.6223346197268555E-3</v>
      </c>
      <c r="S2026">
        <v>0.17328407493001194</v>
      </c>
      <c r="T2026">
        <v>1.2187497304664794</v>
      </c>
      <c r="U2026">
        <v>0</v>
      </c>
      <c r="V2026">
        <v>1.6022266271049947E-2</v>
      </c>
      <c r="W2026">
        <v>6.4988784021652646E-2</v>
      </c>
      <c r="X2026">
        <v>-1.5984942170802305E-2</v>
      </c>
      <c r="Y2026">
        <v>2.7269595232414141E-2</v>
      </c>
    </row>
    <row r="2027" spans="1:25" x14ac:dyDescent="0.25">
      <c r="A2027" s="879"/>
      <c r="B2027" s="1133">
        <v>1777</v>
      </c>
      <c r="C2027" s="883">
        <v>1.0091268209654236</v>
      </c>
      <c r="D2027" s="883">
        <v>0.97470510066000915</v>
      </c>
      <c r="E2027" s="883">
        <v>1.0292529514193696</v>
      </c>
      <c r="F2027" s="883">
        <v>0.99322222366853552</v>
      </c>
      <c r="G2027" s="883">
        <v>0.98331244090829051</v>
      </c>
      <c r="H2027" s="883">
        <v>0.98959890289817187</v>
      </c>
      <c r="I2027" s="883">
        <v>0.98335941848300357</v>
      </c>
      <c r="K2027">
        <v>1.6000334476068316</v>
      </c>
      <c r="L2027">
        <v>0</v>
      </c>
      <c r="M2027">
        <v>6.1978014092689826E-3</v>
      </c>
      <c r="N2027">
        <v>0.12066288962322393</v>
      </c>
      <c r="O2027">
        <v>3.0857387465824618E-2</v>
      </c>
      <c r="P2027">
        <v>1.8555934226241393E-2</v>
      </c>
      <c r="Q2027">
        <v>0</v>
      </c>
      <c r="R2027">
        <v>6.1978014092689826E-3</v>
      </c>
      <c r="S2027">
        <v>0.16408961537082578</v>
      </c>
      <c r="T2027">
        <v>1.1773782468833676</v>
      </c>
      <c r="U2027">
        <v>0</v>
      </c>
      <c r="V2027">
        <v>1.5804605623350398E-2</v>
      </c>
      <c r="W2027">
        <v>6.2597997493281682E-2</v>
      </c>
      <c r="X2027">
        <v>-1.543467211512853E-2</v>
      </c>
      <c r="Y2027">
        <v>2.5521443035843167E-2</v>
      </c>
    </row>
    <row r="2028" spans="1:25" x14ac:dyDescent="0.25">
      <c r="A2028" s="879"/>
      <c r="B2028" s="1133">
        <v>1778</v>
      </c>
      <c r="C2028" s="883">
        <v>0.99264987874985189</v>
      </c>
      <c r="D2028" s="883">
        <v>1.0113214729749809</v>
      </c>
      <c r="E2028" s="883">
        <v>0.97135367629538738</v>
      </c>
      <c r="F2028" s="883">
        <v>0.98235973954043987</v>
      </c>
      <c r="G2028" s="883">
        <v>0.9813510040874035</v>
      </c>
      <c r="H2028" s="883">
        <v>0.97980074217402446</v>
      </c>
      <c r="I2028" s="883">
        <v>1.0206496232673068</v>
      </c>
      <c r="K2028">
        <v>1.5907567026573184</v>
      </c>
      <c r="L2028">
        <v>0</v>
      </c>
      <c r="M2028">
        <v>6.4548444099502096E-3</v>
      </c>
      <c r="N2028">
        <v>0.11533743109162789</v>
      </c>
      <c r="O2028">
        <v>3.0959706338830349E-2</v>
      </c>
      <c r="P2028">
        <v>1.771112660825306E-2</v>
      </c>
      <c r="Q2028">
        <v>0</v>
      </c>
      <c r="R2028">
        <v>6.4548444099502096E-3</v>
      </c>
      <c r="S2028">
        <v>0.17211403577717288</v>
      </c>
      <c r="T2028">
        <v>1.1655587180862836</v>
      </c>
      <c r="U2028">
        <v>0</v>
      </c>
      <c r="V2028">
        <v>1.5894278441093326E-2</v>
      </c>
      <c r="W2028">
        <v>6.1580580827188716E-2</v>
      </c>
      <c r="X2028">
        <v>-1.4979074873832302E-2</v>
      </c>
      <c r="Y2028">
        <v>2.6579900360699894E-2</v>
      </c>
    </row>
    <row r="2029" spans="1:25" x14ac:dyDescent="0.25">
      <c r="A2029" s="879"/>
      <c r="B2029" s="1133">
        <v>1779</v>
      </c>
      <c r="C2029" s="883">
        <v>1.033817894328767</v>
      </c>
      <c r="D2029" s="883">
        <v>1.03165745577919</v>
      </c>
      <c r="E2029" s="883">
        <v>0.99361686941121929</v>
      </c>
      <c r="F2029" s="883">
        <v>1.0168948590709739</v>
      </c>
      <c r="G2029" s="883">
        <v>0.99870158607364923</v>
      </c>
      <c r="H2029" s="883">
        <v>1.0363396583598155</v>
      </c>
      <c r="I2029" s="883">
        <v>1.0234188907242112</v>
      </c>
      <c r="K2029">
        <v>1.6294324883823794</v>
      </c>
      <c r="L2029">
        <v>0</v>
      </c>
      <c r="M2029">
        <v>6.3726510970483242E-3</v>
      </c>
      <c r="N2029">
        <v>0.11769211568977461</v>
      </c>
      <c r="O2029">
        <v>2.9474046368019743E-2</v>
      </c>
      <c r="P2029">
        <v>1.8509135442118223E-2</v>
      </c>
      <c r="Q2029">
        <v>0</v>
      </c>
      <c r="R2029">
        <v>6.3726510970483242E-3</v>
      </c>
      <c r="S2029">
        <v>0.16874985413953766</v>
      </c>
      <c r="T2029">
        <v>1.2061117581791898</v>
      </c>
      <c r="U2029">
        <v>0</v>
      </c>
      <c r="V2029">
        <v>1.5675579925524284E-2</v>
      </c>
      <c r="W2029">
        <v>6.2141898940379928E-2</v>
      </c>
      <c r="X2029">
        <v>-1.5163343230198844E-2</v>
      </c>
      <c r="Y2029">
        <v>2.6241442928034247E-2</v>
      </c>
    </row>
    <row r="2030" spans="1:25" x14ac:dyDescent="0.25">
      <c r="A2030" s="879"/>
      <c r="B2030" s="1133">
        <v>1780</v>
      </c>
      <c r="C2030" s="883">
        <v>0.99124515728033835</v>
      </c>
      <c r="D2030" s="883">
        <v>0.99245401994682714</v>
      </c>
      <c r="E2030" s="883">
        <v>1.019395274402306</v>
      </c>
      <c r="F2030" s="883">
        <v>0.99845499134293336</v>
      </c>
      <c r="G2030" s="883">
        <v>1.0128949266210092</v>
      </c>
      <c r="H2030" s="883">
        <v>0.9795605844173324</v>
      </c>
      <c r="I2030" s="883">
        <v>1.014725108700917</v>
      </c>
      <c r="K2030">
        <v>1.6138969838775317</v>
      </c>
      <c r="L2030">
        <v>0</v>
      </c>
      <c r="M2030">
        <v>6.2492096626050354E-3</v>
      </c>
      <c r="N2030">
        <v>0.11990302661232406</v>
      </c>
      <c r="O2030">
        <v>3.1197295794580665E-2</v>
      </c>
      <c r="P2030">
        <v>1.86105165316615E-2</v>
      </c>
      <c r="Q2030">
        <v>0</v>
      </c>
      <c r="R2030">
        <v>6.2492096626050354E-3</v>
      </c>
      <c r="S2030">
        <v>0.17158077667240934</v>
      </c>
      <c r="T2030">
        <v>1.1837631043319301</v>
      </c>
      <c r="U2030">
        <v>0</v>
      </c>
      <c r="V2030">
        <v>1.5902061298770087E-2</v>
      </c>
      <c r="W2030">
        <v>6.2506042678814933E-2</v>
      </c>
      <c r="X2030">
        <v>-1.5298973115712088E-2</v>
      </c>
      <c r="Y2030">
        <v>2.5733133072753041E-2</v>
      </c>
    </row>
    <row r="2031" spans="1:25" x14ac:dyDescent="0.25">
      <c r="A2031" s="879"/>
      <c r="B2031" s="1133">
        <v>1781</v>
      </c>
      <c r="C2031" s="883">
        <v>1.0428993734720484</v>
      </c>
      <c r="D2031" s="883">
        <v>0.99242457921686178</v>
      </c>
      <c r="E2031" s="883">
        <v>0.96511764292883939</v>
      </c>
      <c r="F2031" s="883">
        <v>1.0099908020131756</v>
      </c>
      <c r="G2031" s="883">
        <v>1.0293095580176828</v>
      </c>
      <c r="H2031" s="883">
        <v>0.99210865283107597</v>
      </c>
      <c r="I2031" s="883">
        <v>0.98392023390913119</v>
      </c>
      <c r="K2031">
        <v>1.6035798341564098</v>
      </c>
      <c r="L2031">
        <v>0</v>
      </c>
      <c r="M2031">
        <v>6.3077137591474684E-3</v>
      </c>
      <c r="N2031">
        <v>0.11166954611703685</v>
      </c>
      <c r="O2031">
        <v>2.9695708340714048E-2</v>
      </c>
      <c r="P2031">
        <v>1.787598422106822E-2</v>
      </c>
      <c r="Q2031">
        <v>0</v>
      </c>
      <c r="R2031">
        <v>6.3077137591474684E-3</v>
      </c>
      <c r="S2031">
        <v>0.15876587528814878</v>
      </c>
      <c r="T2031">
        <v>1.1984605881703563</v>
      </c>
      <c r="U2031">
        <v>0</v>
      </c>
      <c r="V2031">
        <v>1.5629660528225987E-2</v>
      </c>
      <c r="W2031">
        <v>5.9809594304995967E-2</v>
      </c>
      <c r="X2031">
        <v>-1.4301165343110279E-2</v>
      </c>
      <c r="Y2031">
        <v>2.5974042528973784E-2</v>
      </c>
    </row>
    <row r="2032" spans="1:25" x14ac:dyDescent="0.25">
      <c r="A2032" s="879"/>
      <c r="B2032" s="1133">
        <v>1782</v>
      </c>
      <c r="C2032" s="883">
        <v>1.0270512497823885</v>
      </c>
      <c r="D2032" s="883">
        <v>0.98378116989850728</v>
      </c>
      <c r="E2032" s="883">
        <v>0.99706975984934398</v>
      </c>
      <c r="F2032" s="883">
        <v>1.0144273979407481</v>
      </c>
      <c r="G2032" s="883">
        <v>1.0118377631738138</v>
      </c>
      <c r="H2032" s="883">
        <v>1.0293976693460387</v>
      </c>
      <c r="I2032" s="883">
        <v>0.95630543740270901</v>
      </c>
      <c r="K2032">
        <v>1.6212500823872076</v>
      </c>
      <c r="L2032">
        <v>0</v>
      </c>
      <c r="M2032">
        <v>6.4885085559023177E-3</v>
      </c>
      <c r="N2032">
        <v>0.12044657744812369</v>
      </c>
      <c r="O2032">
        <v>3.0234709613218228E-2</v>
      </c>
      <c r="P2032">
        <v>1.8385816109029E-2</v>
      </c>
      <c r="Q2032">
        <v>0</v>
      </c>
      <c r="R2032">
        <v>6.4885085559023177E-3</v>
      </c>
      <c r="S2032">
        <v>0.15883347605890411</v>
      </c>
      <c r="T2032">
        <v>1.203119998496488</v>
      </c>
      <c r="U2032">
        <v>0</v>
      </c>
      <c r="V2032">
        <v>1.5710322599743011E-2</v>
      </c>
      <c r="W2032">
        <v>6.3487095372678146E-2</v>
      </c>
      <c r="X2032">
        <v>-1.5686436632713532E-2</v>
      </c>
      <c r="Y2032">
        <v>2.6718523321736073E-2</v>
      </c>
    </row>
    <row r="2033" spans="1:25" x14ac:dyDescent="0.25">
      <c r="A2033" s="879"/>
      <c r="B2033" s="1133">
        <v>1783</v>
      </c>
      <c r="C2033" s="883">
        <v>0.98146617506201916</v>
      </c>
      <c r="D2033" s="883">
        <v>1.0238088438325623</v>
      </c>
      <c r="E2033" s="883">
        <v>0.98356578230080682</v>
      </c>
      <c r="F2033" s="883">
        <v>1.0022057431376148</v>
      </c>
      <c r="G2033" s="883">
        <v>1.0045315779132415</v>
      </c>
      <c r="H2033" s="883">
        <v>0.99577065781648422</v>
      </c>
      <c r="I2033" s="883">
        <v>0.96385539280152555</v>
      </c>
      <c r="K2033">
        <v>1.6125187633512885</v>
      </c>
      <c r="L2033">
        <v>0</v>
      </c>
      <c r="M2033">
        <v>6.5287732626931284E-3</v>
      </c>
      <c r="N2033">
        <v>0.1187918054791726</v>
      </c>
      <c r="O2033">
        <v>3.1149481802331892E-2</v>
      </c>
      <c r="P2033">
        <v>1.8096279483737317E-2</v>
      </c>
      <c r="Q2033">
        <v>0</v>
      </c>
      <c r="R2033">
        <v>6.5287732626931284E-3</v>
      </c>
      <c r="S2033">
        <v>0.16518893305245599</v>
      </c>
      <c r="T2033">
        <v>1.1888771077674343</v>
      </c>
      <c r="U2033">
        <v>0</v>
      </c>
      <c r="V2033">
        <v>1.5956859118841E-2</v>
      </c>
      <c r="W2033">
        <v>6.3037885557221396E-2</v>
      </c>
      <c r="X2033">
        <v>-1.5463915127355472E-2</v>
      </c>
      <c r="Y2033">
        <v>2.6884326217449989E-2</v>
      </c>
    </row>
    <row r="2034" spans="1:25" x14ac:dyDescent="0.25">
      <c r="A2034" s="879"/>
      <c r="B2034" s="1133">
        <v>1784</v>
      </c>
      <c r="C2034" s="883">
        <v>0.96936778296857484</v>
      </c>
      <c r="D2034" s="883">
        <v>0.98390444142859812</v>
      </c>
      <c r="E2034" s="883">
        <v>0.98120118009355872</v>
      </c>
      <c r="F2034" s="883">
        <v>1.0373620126645944</v>
      </c>
      <c r="G2034" s="883">
        <v>1.026144235687882</v>
      </c>
      <c r="H2034" s="883">
        <v>0.97993744002442107</v>
      </c>
      <c r="I2034" s="883">
        <v>1.0007162302700958</v>
      </c>
      <c r="K2034">
        <v>1.666559352543606</v>
      </c>
      <c r="L2034">
        <v>0</v>
      </c>
      <c r="M2034">
        <v>6.635175825156772E-3</v>
      </c>
      <c r="N2034">
        <v>0.12030507864989118</v>
      </c>
      <c r="O2034">
        <v>3.2045760662197297E-2</v>
      </c>
      <c r="P2034">
        <v>1.8719086882022624E-2</v>
      </c>
      <c r="Q2034">
        <v>0</v>
      </c>
      <c r="R2034">
        <v>6.635175825156772E-3</v>
      </c>
      <c r="S2034">
        <v>0.17309953836275133</v>
      </c>
      <c r="T2034">
        <v>1.2306273798060039</v>
      </c>
      <c r="U2034">
        <v>0</v>
      </c>
      <c r="V2034">
        <v>1.6026184102791854E-2</v>
      </c>
      <c r="W2034">
        <v>6.3916474298438372E-2</v>
      </c>
      <c r="X2034">
        <v>-1.5502623251216338E-2</v>
      </c>
      <c r="Y2034">
        <v>2.7322473030725165E-2</v>
      </c>
    </row>
    <row r="2035" spans="1:25" x14ac:dyDescent="0.25">
      <c r="A2035" s="879"/>
      <c r="B2035" s="1133">
        <v>1785</v>
      </c>
      <c r="C2035" s="883">
        <v>1.0065801455012164</v>
      </c>
      <c r="D2035" s="883">
        <v>1.0342151341043406</v>
      </c>
      <c r="E2035" s="883">
        <v>1.0186355194952397</v>
      </c>
      <c r="F2035" s="883">
        <v>0.98212301089490162</v>
      </c>
      <c r="G2035" s="883">
        <v>0.99852126568073318</v>
      </c>
      <c r="H2035" s="883">
        <v>1.0145692045018513</v>
      </c>
      <c r="I2035" s="883">
        <v>1.0078877642627277</v>
      </c>
      <c r="K2035">
        <v>1.591088732399274</v>
      </c>
      <c r="L2035">
        <v>0</v>
      </c>
      <c r="M2035">
        <v>6.2620799805472019E-3</v>
      </c>
      <c r="N2035">
        <v>0.12001499799832409</v>
      </c>
      <c r="O2035">
        <v>3.0220326844044736E-2</v>
      </c>
      <c r="P2035">
        <v>1.8307392443783151E-2</v>
      </c>
      <c r="Q2035">
        <v>0</v>
      </c>
      <c r="R2035">
        <v>6.2620799805472019E-3</v>
      </c>
      <c r="S2035">
        <v>0.16944202544458267</v>
      </c>
      <c r="T2035">
        <v>1.1644137975708502</v>
      </c>
      <c r="U2035">
        <v>0</v>
      </c>
      <c r="V2035">
        <v>1.5818273641163887E-2</v>
      </c>
      <c r="W2035">
        <v>6.2587842459405615E-2</v>
      </c>
      <c r="X2035">
        <v>-1.5502054754088652E-2</v>
      </c>
      <c r="Y2035">
        <v>2.5786130751207691E-2</v>
      </c>
    </row>
    <row r="2036" spans="1:25" x14ac:dyDescent="0.25">
      <c r="A2036" s="879"/>
      <c r="B2036" s="1133">
        <v>1786</v>
      </c>
      <c r="C2036" s="883">
        <v>0.9872772362047183</v>
      </c>
      <c r="D2036" s="883">
        <v>1.0384339831867417</v>
      </c>
      <c r="E2036" s="883">
        <v>0.97325508281582018</v>
      </c>
      <c r="F2036" s="883">
        <v>0.98705409041400627</v>
      </c>
      <c r="G2036" s="883">
        <v>0.97134927507976654</v>
      </c>
      <c r="H2036" s="883">
        <v>1.0038067065332166</v>
      </c>
      <c r="I2036" s="883">
        <v>0.97575127216243396</v>
      </c>
      <c r="K2036">
        <v>1.593955740249654</v>
      </c>
      <c r="L2036">
        <v>0</v>
      </c>
      <c r="M2036">
        <v>6.5602167860187568E-3</v>
      </c>
      <c r="N2036">
        <v>0.11755160559127233</v>
      </c>
      <c r="O2036">
        <v>3.0799050971952447E-2</v>
      </c>
      <c r="P2036">
        <v>1.7737199617669001E-2</v>
      </c>
      <c r="Q2036">
        <v>0</v>
      </c>
      <c r="R2036">
        <v>6.5602167860187568E-3</v>
      </c>
      <c r="S2036">
        <v>0.16655229669163718</v>
      </c>
      <c r="T2036">
        <v>1.1710934051680377</v>
      </c>
      <c r="U2036">
        <v>0</v>
      </c>
      <c r="V2036">
        <v>1.5924165196577744E-2</v>
      </c>
      <c r="W2036">
        <v>6.2702852403146145E-2</v>
      </c>
      <c r="X2036">
        <v>-1.5418640440405355E-2</v>
      </c>
      <c r="Y2036">
        <v>2.7013805049766412E-2</v>
      </c>
    </row>
    <row r="2037" spans="1:25" x14ac:dyDescent="0.25">
      <c r="A2037" s="879"/>
      <c r="B2037" s="1133">
        <v>1787</v>
      </c>
      <c r="C2037" s="883">
        <v>1.0393742161239869</v>
      </c>
      <c r="D2037" s="883">
        <v>0.96579594904952859</v>
      </c>
      <c r="E2037" s="883">
        <v>0.98570564310050635</v>
      </c>
      <c r="F2037" s="883">
        <v>1.0283373475231159</v>
      </c>
      <c r="G2037" s="883">
        <v>1.0074389449712489</v>
      </c>
      <c r="H2037" s="883">
        <v>0.9798088843633479</v>
      </c>
      <c r="I2037" s="883">
        <v>1.006098089372722</v>
      </c>
      <c r="K2037">
        <v>1.6314194234120067</v>
      </c>
      <c r="L2037">
        <v>0</v>
      </c>
      <c r="M2037">
        <v>6.2145544731353171E-3</v>
      </c>
      <c r="N2037">
        <v>0.11343400069237597</v>
      </c>
      <c r="O2037">
        <v>3.0106714559614771E-2</v>
      </c>
      <c r="P2037">
        <v>1.8495640745943724E-2</v>
      </c>
      <c r="Q2037">
        <v>0</v>
      </c>
      <c r="R2037">
        <v>6.2145544731353171E-3</v>
      </c>
      <c r="S2037">
        <v>0.16248798085625318</v>
      </c>
      <c r="T2037">
        <v>1.219834953850105</v>
      </c>
      <c r="U2037">
        <v>0</v>
      </c>
      <c r="V2037">
        <v>1.5647389771620585E-2</v>
      </c>
      <c r="W2037">
        <v>6.0130381624817382E-2</v>
      </c>
      <c r="X2037">
        <v>-1.4308067859634305E-2</v>
      </c>
      <c r="Y2037">
        <v>2.5590429170910534E-2</v>
      </c>
    </row>
    <row r="2038" spans="1:25" x14ac:dyDescent="0.25">
      <c r="A2038" s="879"/>
      <c r="B2038" s="1133">
        <v>1788</v>
      </c>
      <c r="C2038" s="883">
        <v>1.008914212552884</v>
      </c>
      <c r="D2038" s="883">
        <v>1.0402980469079515</v>
      </c>
      <c r="E2038" s="883">
        <v>1.0198749651682433</v>
      </c>
      <c r="F2038" s="883">
        <v>0.98657714973516109</v>
      </c>
      <c r="G2038" s="883">
        <v>0.98757709549529882</v>
      </c>
      <c r="H2038" s="883">
        <v>0.9939142059532744</v>
      </c>
      <c r="I2038" s="883">
        <v>0.99728577516735117</v>
      </c>
      <c r="K2038">
        <v>1.5882678755231785</v>
      </c>
      <c r="L2038">
        <v>0</v>
      </c>
      <c r="M2038">
        <v>6.0978267813121181E-3</v>
      </c>
      <c r="N2038">
        <v>0.11708151082719859</v>
      </c>
      <c r="O2038">
        <v>3.007867358720142E-2</v>
      </c>
      <c r="P2038">
        <v>1.8349419652704271E-2</v>
      </c>
      <c r="Q2038">
        <v>0</v>
      </c>
      <c r="R2038">
        <v>6.0978267813121181E-3</v>
      </c>
      <c r="S2038">
        <v>0.16605278135435159</v>
      </c>
      <c r="T2038">
        <v>1.1696720418332458</v>
      </c>
      <c r="U2038">
        <v>0</v>
      </c>
      <c r="V2038">
        <v>1.580574405378251E-2</v>
      </c>
      <c r="W2038">
        <v>6.1020749907128739E-2</v>
      </c>
      <c r="X2038">
        <v>-1.4902811005172375E-2</v>
      </c>
      <c r="Y2038">
        <v>2.51097653127372E-2</v>
      </c>
    </row>
    <row r="2039" spans="1:25" x14ac:dyDescent="0.25">
      <c r="A2039" s="879"/>
      <c r="B2039" s="1133">
        <v>1789</v>
      </c>
      <c r="C2039" s="883">
        <v>0.99399551545253439</v>
      </c>
      <c r="D2039" s="883">
        <v>0.96299387753629306</v>
      </c>
      <c r="E2039" s="883">
        <v>1.0323287736745337</v>
      </c>
      <c r="F2039" s="883">
        <v>0.99559332677774992</v>
      </c>
      <c r="G2039" s="883">
        <v>1.0466608677918607</v>
      </c>
      <c r="H2039" s="883">
        <v>1.009683696607319</v>
      </c>
      <c r="I2039" s="883">
        <v>1.0197248336286429</v>
      </c>
      <c r="K2039">
        <v>1.62164342462554</v>
      </c>
      <c r="L2039">
        <v>0</v>
      </c>
      <c r="M2039">
        <v>6.4372470310279876E-3</v>
      </c>
      <c r="N2039">
        <v>0.12589564843448597</v>
      </c>
      <c r="O2039">
        <v>3.147600588489384E-2</v>
      </c>
      <c r="P2039">
        <v>1.877429478827802E-2</v>
      </c>
      <c r="Q2039">
        <v>0</v>
      </c>
      <c r="R2039">
        <v>6.4372470310279876E-3</v>
      </c>
      <c r="S2039">
        <v>0.17409664767184216</v>
      </c>
      <c r="T2039">
        <v>1.1801324861675095</v>
      </c>
      <c r="U2039">
        <v>0</v>
      </c>
      <c r="V2039">
        <v>1.5886843571657747E-2</v>
      </c>
      <c r="W2039">
        <v>6.5214222072719041E-2</v>
      </c>
      <c r="X2039">
        <v>-1.6340161452360523E-2</v>
      </c>
      <c r="Y2039">
        <v>2.6507437486514868E-2</v>
      </c>
    </row>
    <row r="2040" spans="1:25" x14ac:dyDescent="0.25">
      <c r="A2040" s="879"/>
      <c r="B2040" s="1133">
        <v>1790</v>
      </c>
      <c r="C2040" s="883">
        <v>1.0040826950788904</v>
      </c>
      <c r="D2040" s="883">
        <v>0.98968269485005822</v>
      </c>
      <c r="E2040" s="883">
        <v>1.0265896058698107</v>
      </c>
      <c r="F2040" s="883">
        <v>0.9965942811234455</v>
      </c>
      <c r="G2040" s="883">
        <v>1.0295149126050072</v>
      </c>
      <c r="H2040" s="883">
        <v>0.9861554579854539</v>
      </c>
      <c r="I2040" s="883">
        <v>0.98613454085974683</v>
      </c>
      <c r="K2040">
        <v>1.6039506612161827</v>
      </c>
      <c r="L2040">
        <v>0</v>
      </c>
      <c r="M2040">
        <v>6.1795453485522164E-3</v>
      </c>
      <c r="N2040">
        <v>0.11983468293001644</v>
      </c>
      <c r="O2040">
        <v>3.082629239044319E-2</v>
      </c>
      <c r="P2040">
        <v>1.8587787407317077E-2</v>
      </c>
      <c r="Q2040">
        <v>0</v>
      </c>
      <c r="R2040">
        <v>6.1795453485522164E-3</v>
      </c>
      <c r="S2040">
        <v>0.16502627385175481</v>
      </c>
      <c r="T2040">
        <v>1.1814245298198724</v>
      </c>
      <c r="U2040">
        <v>0</v>
      </c>
      <c r="V2040">
        <v>1.5831744803651519E-2</v>
      </c>
      <c r="W2040">
        <v>6.224968830296166E-2</v>
      </c>
      <c r="X2040">
        <v>-1.52766061171031E-2</v>
      </c>
      <c r="Y2040">
        <v>2.5446267827269185E-2</v>
      </c>
    </row>
    <row r="2041" spans="1:25" x14ac:dyDescent="0.25">
      <c r="A2041" s="879"/>
      <c r="B2041" s="1133">
        <v>1791</v>
      </c>
      <c r="C2041" s="883">
        <v>1.014614274639362</v>
      </c>
      <c r="D2041" s="883">
        <v>1.001938755673891</v>
      </c>
      <c r="E2041" s="883">
        <v>0.99570009256777503</v>
      </c>
      <c r="F2041" s="883">
        <v>0.96183030081102139</v>
      </c>
      <c r="G2041" s="883">
        <v>0.99556716434024495</v>
      </c>
      <c r="H2041" s="883">
        <v>1.0219880175227771</v>
      </c>
      <c r="I2041" s="883">
        <v>1.007950341595655</v>
      </c>
      <c r="K2041">
        <v>1.5674940353919105</v>
      </c>
      <c r="L2041">
        <v>0</v>
      </c>
      <c r="M2041">
        <v>6.4755083843879915E-3</v>
      </c>
      <c r="N2041">
        <v>0.11996152367961621</v>
      </c>
      <c r="O2041">
        <v>3.0383379875549652E-2</v>
      </c>
      <c r="P2041">
        <v>1.7669988585732294E-2</v>
      </c>
      <c r="Q2041">
        <v>0</v>
      </c>
      <c r="R2041">
        <v>6.4755083843879915E-3</v>
      </c>
      <c r="S2041">
        <v>0.16883449311809517</v>
      </c>
      <c r="T2041">
        <v>1.1407638740773778</v>
      </c>
      <c r="U2041">
        <v>0</v>
      </c>
      <c r="V2041">
        <v>1.5775387643141729E-2</v>
      </c>
      <c r="W2041">
        <v>6.3274514450606861E-2</v>
      </c>
      <c r="X2041">
        <v>-1.5834116967594014E-2</v>
      </c>
      <c r="Y2041">
        <v>2.6664990929384343E-2</v>
      </c>
    </row>
    <row r="2042" spans="1:25" x14ac:dyDescent="0.25">
      <c r="A2042" s="879"/>
      <c r="B2042" s="1133">
        <v>1792</v>
      </c>
      <c r="C2042" s="883">
        <v>1.0065653219170896</v>
      </c>
      <c r="D2042" s="883">
        <v>0.9947021984494524</v>
      </c>
      <c r="E2042" s="883">
        <v>0.97234476804992731</v>
      </c>
      <c r="F2042" s="883">
        <v>0.95352526676790494</v>
      </c>
      <c r="G2042" s="883">
        <v>1.0431823660978068</v>
      </c>
      <c r="H2042" s="883">
        <v>0.99564424961548637</v>
      </c>
      <c r="I2042" s="883">
        <v>0.97983581152797428</v>
      </c>
      <c r="K2042">
        <v>1.5491320221440827</v>
      </c>
      <c r="L2042">
        <v>0</v>
      </c>
      <c r="M2042">
        <v>6.5108953446337253E-3</v>
      </c>
      <c r="N2042">
        <v>0.11651027050477999</v>
      </c>
      <c r="O2042">
        <v>3.0733973569630823E-2</v>
      </c>
      <c r="P2042">
        <v>1.7169222345594051E-2</v>
      </c>
      <c r="Q2042">
        <v>0</v>
      </c>
      <c r="R2042">
        <v>6.5108953446337253E-3</v>
      </c>
      <c r="S2042">
        <v>0.16399899667776904</v>
      </c>
      <c r="T2042">
        <v>1.1313292627823044</v>
      </c>
      <c r="U2042">
        <v>0</v>
      </c>
      <c r="V2042">
        <v>1.5818353401860729E-2</v>
      </c>
      <c r="W2042">
        <v>6.2175813963471598E-2</v>
      </c>
      <c r="X2042">
        <v>-1.5414579234361243E-2</v>
      </c>
      <c r="Y2042">
        <v>2.6810708133032154E-2</v>
      </c>
    </row>
    <row r="2043" spans="1:25" x14ac:dyDescent="0.25">
      <c r="A2043" s="879"/>
      <c r="B2043" s="1133">
        <v>1793</v>
      </c>
      <c r="C2043" s="883">
        <v>1.0210861671616531</v>
      </c>
      <c r="D2043" s="883">
        <v>1.031663360931556</v>
      </c>
      <c r="E2043" s="883">
        <v>1.0108578927577705</v>
      </c>
      <c r="F2043" s="883">
        <v>1.0450374590634055</v>
      </c>
      <c r="G2043" s="883">
        <v>0.99520403961144499</v>
      </c>
      <c r="H2043" s="883">
        <v>0.99872174296756844</v>
      </c>
      <c r="I2043" s="883">
        <v>1.0002952211481708</v>
      </c>
      <c r="K2043">
        <v>1.6563006928167294</v>
      </c>
      <c r="L2043">
        <v>0</v>
      </c>
      <c r="M2043">
        <v>6.1249211902225922E-3</v>
      </c>
      <c r="N2043">
        <v>0.11604294928137257</v>
      </c>
      <c r="O2043">
        <v>2.9827181204222609E-2</v>
      </c>
      <c r="P2043">
        <v>1.9146539655126499E-2</v>
      </c>
      <c r="Q2043">
        <v>0</v>
      </c>
      <c r="R2043">
        <v>6.1249211902225922E-3</v>
      </c>
      <c r="S2043">
        <v>0.16490463559514518</v>
      </c>
      <c r="T2043">
        <v>1.2391562598157793</v>
      </c>
      <c r="U2043">
        <v>0</v>
      </c>
      <c r="V2043">
        <v>1.5741331616532149E-2</v>
      </c>
      <c r="W2043">
        <v>6.0749213879897429E-2</v>
      </c>
      <c r="X2043">
        <v>-1.4488753497352073E-2</v>
      </c>
      <c r="Y2043">
        <v>2.5221335266005531E-2</v>
      </c>
    </row>
    <row r="2044" spans="1:25" x14ac:dyDescent="0.25">
      <c r="A2044" s="879"/>
      <c r="B2044" s="1133">
        <v>1794</v>
      </c>
      <c r="C2044" s="883">
        <v>1.0312124070935029</v>
      </c>
      <c r="D2044" s="883">
        <v>1.0155232508805487</v>
      </c>
      <c r="E2044" s="883">
        <v>1.0272617047810584</v>
      </c>
      <c r="F2044" s="883">
        <v>1.0005256755973002</v>
      </c>
      <c r="G2044" s="883">
        <v>1.0238969460689979</v>
      </c>
      <c r="H2044" s="883">
        <v>0.98108130177196962</v>
      </c>
      <c r="I2044" s="883">
        <v>1.0272646890727557</v>
      </c>
      <c r="K2044">
        <v>1.6014529365643808</v>
      </c>
      <c r="L2044">
        <v>0</v>
      </c>
      <c r="M2044">
        <v>5.9141122349478364E-3</v>
      </c>
      <c r="N2044">
        <v>0.1148013874204523</v>
      </c>
      <c r="O2044">
        <v>2.9706827922830251E-2</v>
      </c>
      <c r="P2044">
        <v>1.8683398895646842E-2</v>
      </c>
      <c r="Q2044">
        <v>0</v>
      </c>
      <c r="R2044">
        <v>5.9141122349478364E-3</v>
      </c>
      <c r="S2044">
        <v>0.16684559921542427</v>
      </c>
      <c r="T2044">
        <v>1.186072630328936</v>
      </c>
      <c r="U2044">
        <v>0</v>
      </c>
      <c r="V2044">
        <v>1.5688903563266826E-2</v>
      </c>
      <c r="W2044">
        <v>5.9615392863513035E-2</v>
      </c>
      <c r="X2044">
        <v>-1.431446515646894E-2</v>
      </c>
      <c r="Y2044">
        <v>2.435326151077935E-2</v>
      </c>
    </row>
    <row r="2045" spans="1:25" x14ac:dyDescent="0.25">
      <c r="A2045" s="879"/>
      <c r="B2045" s="1133">
        <v>1795</v>
      </c>
      <c r="C2045" s="883">
        <v>0.9629925810597213</v>
      </c>
      <c r="D2045" s="883">
        <v>0.9998242906911492</v>
      </c>
      <c r="E2045" s="883">
        <v>1.002132337615858</v>
      </c>
      <c r="F2045" s="883">
        <v>1.0114053386609418</v>
      </c>
      <c r="G2045" s="883">
        <v>0.97303857125510473</v>
      </c>
      <c r="H2045" s="883">
        <v>0.96812545426413532</v>
      </c>
      <c r="I2045" s="883">
        <v>0.99125856265057755</v>
      </c>
      <c r="K2045">
        <v>1.6325062435935309</v>
      </c>
      <c r="L2045">
        <v>0</v>
      </c>
      <c r="M2045">
        <v>6.4329020934130064E-3</v>
      </c>
      <c r="N2045">
        <v>0.12031336643067833</v>
      </c>
      <c r="O2045">
        <v>3.2033494084967418E-2</v>
      </c>
      <c r="P2045">
        <v>1.8585370866695431E-2</v>
      </c>
      <c r="Q2045">
        <v>0</v>
      </c>
      <c r="R2045">
        <v>6.4329020934130064E-3</v>
      </c>
      <c r="S2045">
        <v>0.17175485647019012</v>
      </c>
      <c r="T2045">
        <v>1.1994406377653393</v>
      </c>
      <c r="U2045">
        <v>0</v>
      </c>
      <c r="V2045">
        <v>1.6063415425170785E-2</v>
      </c>
      <c r="W2045">
        <v>6.3257608777909216E-2</v>
      </c>
      <c r="X2045">
        <v>-1.5432052034206752E-2</v>
      </c>
      <c r="Y2045">
        <v>2.6489545806786443E-2</v>
      </c>
    </row>
    <row r="2046" spans="1:25" x14ac:dyDescent="0.25">
      <c r="A2046" s="879"/>
      <c r="B2046" s="1133">
        <v>1796</v>
      </c>
      <c r="C2046" s="883">
        <v>1.0113972897104415</v>
      </c>
      <c r="D2046" s="883">
        <v>1.0332515794777686</v>
      </c>
      <c r="E2046" s="883">
        <v>1.0012288151813806</v>
      </c>
      <c r="F2046" s="883">
        <v>0.9936489694506192</v>
      </c>
      <c r="G2046" s="883">
        <v>0.98561746574456333</v>
      </c>
      <c r="H2046" s="883">
        <v>0.9968243535555662</v>
      </c>
      <c r="I2046" s="883">
        <v>0.98056183200232083</v>
      </c>
      <c r="K2046">
        <v>1.5935396138007254</v>
      </c>
      <c r="L2046">
        <v>0</v>
      </c>
      <c r="M2046">
        <v>6.2197556832649025E-3</v>
      </c>
      <c r="N2046">
        <v>0.11617134283616364</v>
      </c>
      <c r="O2046">
        <v>3.0102557133844389E-2</v>
      </c>
      <c r="P2046">
        <v>1.8170955284038837E-2</v>
      </c>
      <c r="Q2046">
        <v>0</v>
      </c>
      <c r="R2046">
        <v>6.2197556832649025E-3</v>
      </c>
      <c r="S2046">
        <v>0.16307069332910656</v>
      </c>
      <c r="T2046">
        <v>1.1783997742724281</v>
      </c>
      <c r="U2046">
        <v>0</v>
      </c>
      <c r="V2046">
        <v>1.5792478046533543E-2</v>
      </c>
      <c r="W2046">
        <v>6.1107236598360037E-2</v>
      </c>
      <c r="X2046">
        <v>-1.4887270528194375E-2</v>
      </c>
      <c r="Y2046">
        <v>2.5611846828443269E-2</v>
      </c>
    </row>
    <row r="2047" spans="1:25" x14ac:dyDescent="0.25">
      <c r="A2047" s="879"/>
      <c r="B2047" s="1133">
        <v>1797</v>
      </c>
      <c r="C2047" s="883">
        <v>1.0017386235502774</v>
      </c>
      <c r="D2047" s="883">
        <v>1.0172384279053268</v>
      </c>
      <c r="E2047" s="883">
        <v>1.0039381765898141</v>
      </c>
      <c r="F2047" s="883">
        <v>1.0129793052939144</v>
      </c>
      <c r="G2047" s="883">
        <v>1.0128204451891945</v>
      </c>
      <c r="H2047" s="883">
        <v>1.0061020169500328</v>
      </c>
      <c r="I2047" s="883">
        <v>1.0164946277550488</v>
      </c>
      <c r="K2047">
        <v>1.6307198453834797</v>
      </c>
      <c r="L2047">
        <v>0</v>
      </c>
      <c r="M2047">
        <v>6.3673282718261469E-3</v>
      </c>
      <c r="N2047">
        <v>0.11940590158366964</v>
      </c>
      <c r="O2047">
        <v>3.0580975224534634E-2</v>
      </c>
      <c r="P2047">
        <v>1.8627266930834673E-2</v>
      </c>
      <c r="Q2047">
        <v>0</v>
      </c>
      <c r="R2047">
        <v>6.3673282718261469E-3</v>
      </c>
      <c r="S2047">
        <v>0.17137343392449517</v>
      </c>
      <c r="T2047">
        <v>1.2012732550188177</v>
      </c>
      <c r="U2047">
        <v>0</v>
      </c>
      <c r="V2047">
        <v>1.5844449754804743E-2</v>
      </c>
      <c r="W2047">
        <v>6.2724278452407869E-2</v>
      </c>
      <c r="X2047">
        <v>-1.5329239987283019E-2</v>
      </c>
      <c r="Y2047">
        <v>2.6219524481196892E-2</v>
      </c>
    </row>
    <row r="2048" spans="1:25" x14ac:dyDescent="0.25">
      <c r="A2048" s="879"/>
      <c r="B2048" s="1133">
        <v>1798</v>
      </c>
      <c r="C2048" s="883">
        <v>1.0050558898460273</v>
      </c>
      <c r="D2048" s="883">
        <v>0.99987766567939673</v>
      </c>
      <c r="E2048" s="883">
        <v>1.0305952897054658</v>
      </c>
      <c r="F2048" s="883">
        <v>1.0049362142904756</v>
      </c>
      <c r="G2048" s="883">
        <v>0.99809241899568624</v>
      </c>
      <c r="H2048" s="883">
        <v>0.99980873814130478</v>
      </c>
      <c r="I2048" s="883">
        <v>0.99162056232645923</v>
      </c>
      <c r="K2048">
        <v>1.6170223120265654</v>
      </c>
      <c r="L2048">
        <v>0</v>
      </c>
      <c r="M2048">
        <v>6.2086486292858342E-3</v>
      </c>
      <c r="N2048">
        <v>0.12111415307482996</v>
      </c>
      <c r="O2048">
        <v>3.0666731639724668E-2</v>
      </c>
      <c r="P2048">
        <v>1.8796889858571066E-2</v>
      </c>
      <c r="Q2048">
        <v>0</v>
      </c>
      <c r="R2048">
        <v>6.2086486292858342E-3</v>
      </c>
      <c r="S2048">
        <v>0.16646895344714588</v>
      </c>
      <c r="T2048">
        <v>1.1912392676925689</v>
      </c>
      <c r="U2048">
        <v>0</v>
      </c>
      <c r="V2048">
        <v>1.5826487463089622E-2</v>
      </c>
      <c r="W2048">
        <v>6.2790741173304715E-2</v>
      </c>
      <c r="X2048">
        <v>-1.5447022279808336E-2</v>
      </c>
      <c r="Y2048">
        <v>2.5566109957139378E-2</v>
      </c>
    </row>
    <row r="2049" spans="1:25" x14ac:dyDescent="0.25">
      <c r="A2049" s="879"/>
      <c r="B2049" s="1133">
        <v>1799</v>
      </c>
      <c r="C2049" s="883">
        <v>0.98747877853468802</v>
      </c>
      <c r="D2049" s="883">
        <v>0.97996814763975026</v>
      </c>
      <c r="E2049" s="883">
        <v>0.99155854150318357</v>
      </c>
      <c r="F2049" s="883">
        <v>0.9805783145557686</v>
      </c>
      <c r="G2049" s="883">
        <v>0.98735208161847521</v>
      </c>
      <c r="H2049" s="883">
        <v>0.99616264077304106</v>
      </c>
      <c r="I2049" s="883">
        <v>1.0235125269080356</v>
      </c>
      <c r="K2049">
        <v>1.5995136134627506</v>
      </c>
      <c r="L2049">
        <v>0</v>
      </c>
      <c r="M2049">
        <v>6.5735342006730344E-3</v>
      </c>
      <c r="N2049">
        <v>0.12103224840204897</v>
      </c>
      <c r="O2049">
        <v>3.149992459768803E-2</v>
      </c>
      <c r="P2049">
        <v>1.7992555567688868E-2</v>
      </c>
      <c r="Q2049">
        <v>0</v>
      </c>
      <c r="R2049">
        <v>6.5735342006730344E-3</v>
      </c>
      <c r="S2049">
        <v>0.17483238817941085</v>
      </c>
      <c r="T2049">
        <v>1.1630752544141558</v>
      </c>
      <c r="U2049">
        <v>0</v>
      </c>
      <c r="V2049">
        <v>1.5923038192671619E-2</v>
      </c>
      <c r="W2049">
        <v>6.3971060342519009E-2</v>
      </c>
      <c r="X2049">
        <v>-1.5881500026334705E-2</v>
      </c>
      <c r="Y2049">
        <v>2.7068643792901286E-2</v>
      </c>
    </row>
    <row r="2050" spans="1:25" x14ac:dyDescent="0.25">
      <c r="A2050" s="879"/>
      <c r="B2050" s="1133">
        <v>1800</v>
      </c>
      <c r="C2050" s="883">
        <v>0.99440628819596988</v>
      </c>
      <c r="D2050" s="883">
        <v>1.0159896489902334</v>
      </c>
      <c r="E2050" s="883">
        <v>0.98245498200636039</v>
      </c>
      <c r="F2050" s="883">
        <v>0.97127262260417879</v>
      </c>
      <c r="G2050" s="883">
        <v>0.97730863085012865</v>
      </c>
      <c r="H2050" s="883">
        <v>1.0425699663390602</v>
      </c>
      <c r="I2050" s="883">
        <v>0.96536945843738398</v>
      </c>
      <c r="K2050">
        <v>1.5823382958702066</v>
      </c>
      <c r="L2050">
        <v>0</v>
      </c>
      <c r="M2050">
        <v>6.7763066140810119E-3</v>
      </c>
      <c r="N2050">
        <v>0.12309271671902999</v>
      </c>
      <c r="O2050">
        <v>3.0839453198685557E-2</v>
      </c>
      <c r="P2050">
        <v>1.7606455839385762E-2</v>
      </c>
      <c r="Q2050">
        <v>0</v>
      </c>
      <c r="R2050">
        <v>6.7763066140810119E-3</v>
      </c>
      <c r="S2050">
        <v>0.16598160477030996</v>
      </c>
      <c r="T2050">
        <v>1.1522024995768751</v>
      </c>
      <c r="U2050">
        <v>0</v>
      </c>
      <c r="V2050">
        <v>1.588457799181214E-2</v>
      </c>
      <c r="W2050">
        <v>6.5356496573682296E-2</v>
      </c>
      <c r="X2050">
        <v>-1.6529133298744652E-2</v>
      </c>
      <c r="Y2050">
        <v>2.7903624499171206E-2</v>
      </c>
    </row>
    <row r="2051" spans="1:25" x14ac:dyDescent="0.25">
      <c r="A2051" s="879"/>
      <c r="B2051" s="1133">
        <v>1801</v>
      </c>
      <c r="C2051" s="883">
        <v>1.0075984558627922</v>
      </c>
      <c r="D2051" s="883">
        <v>1.035416170485945</v>
      </c>
      <c r="E2051" s="883">
        <v>0.99387727104264001</v>
      </c>
      <c r="F2051" s="883">
        <v>0.95955687403262313</v>
      </c>
      <c r="G2051" s="883">
        <v>1.0283021100068237</v>
      </c>
      <c r="H2051" s="883">
        <v>0.99352169451925776</v>
      </c>
      <c r="I2051" s="883">
        <v>0.95181628291694476</v>
      </c>
      <c r="K2051">
        <v>1.547609125601072</v>
      </c>
      <c r="L2051">
        <v>0</v>
      </c>
      <c r="M2051">
        <v>6.2567678062450715E-3</v>
      </c>
      <c r="N2051">
        <v>0.11559655371027008</v>
      </c>
      <c r="O2051">
        <v>3.019683951713821E-2</v>
      </c>
      <c r="P2051">
        <v>1.7475146684738426E-2</v>
      </c>
      <c r="Q2051">
        <v>0</v>
      </c>
      <c r="R2051">
        <v>6.2567678062450715E-3</v>
      </c>
      <c r="S2051">
        <v>0.15868278423818191</v>
      </c>
      <c r="T2051">
        <v>1.1381000589921508</v>
      </c>
      <c r="U2051">
        <v>0</v>
      </c>
      <c r="V2051">
        <v>1.5812800075269716E-2</v>
      </c>
      <c r="W2051">
        <v>6.1027520949205563E-2</v>
      </c>
      <c r="X2051">
        <v>-1.5046834728846294E-2</v>
      </c>
      <c r="Y2051">
        <v>2.5764256162963288E-2</v>
      </c>
    </row>
    <row r="2052" spans="1:25" x14ac:dyDescent="0.25">
      <c r="A2052" s="879"/>
      <c r="B2052" s="1133">
        <v>1802</v>
      </c>
      <c r="C2052" s="883">
        <v>1.0006952767997286</v>
      </c>
      <c r="D2052" s="883">
        <v>1.0314208673609615</v>
      </c>
      <c r="E2052" s="883">
        <v>1.034294167904489</v>
      </c>
      <c r="F2052" s="883">
        <v>1.0098281406630774</v>
      </c>
      <c r="G2052" s="883">
        <v>0.97271348350041376</v>
      </c>
      <c r="H2052" s="883">
        <v>1.0160789661026188</v>
      </c>
      <c r="I2052" s="883">
        <v>1.009892266319721</v>
      </c>
      <c r="K2052">
        <v>1.6286237608979761</v>
      </c>
      <c r="L2052">
        <v>0</v>
      </c>
      <c r="M2052">
        <v>6.2298328884253336E-3</v>
      </c>
      <c r="N2052">
        <v>0.12219357219545124</v>
      </c>
      <c r="O2052">
        <v>3.0416621449954474E-2</v>
      </c>
      <c r="P2052">
        <v>1.8988140110013232E-2</v>
      </c>
      <c r="Q2052">
        <v>0</v>
      </c>
      <c r="R2052">
        <v>6.2298328884253336E-3</v>
      </c>
      <c r="S2052">
        <v>0.17090881687869403</v>
      </c>
      <c r="T2052">
        <v>1.1969692135731704</v>
      </c>
      <c r="U2052">
        <v>0</v>
      </c>
      <c r="V2052">
        <v>1.5850123873806004E-2</v>
      </c>
      <c r="W2052">
        <v>6.3235619998068829E-2</v>
      </c>
      <c r="X2052">
        <v>-1.5591690146802159E-2</v>
      </c>
      <c r="Y2052">
        <v>2.5653342965618265E-2</v>
      </c>
    </row>
    <row r="2053" spans="1:25" x14ac:dyDescent="0.25">
      <c r="A2053" s="879"/>
      <c r="B2053" s="1133">
        <v>1803</v>
      </c>
      <c r="C2053" s="883">
        <v>1.0228220116627129</v>
      </c>
      <c r="D2053" s="883">
        <v>0.99210721204970376</v>
      </c>
      <c r="E2053" s="883">
        <v>1.0046646974779265</v>
      </c>
      <c r="F2053" s="883">
        <v>0.9685643311848845</v>
      </c>
      <c r="G2053" s="883">
        <v>0.97674776642182071</v>
      </c>
      <c r="H2053" s="883">
        <v>0.9988451176122346</v>
      </c>
      <c r="I2053" s="883">
        <v>0.99177234802325365</v>
      </c>
      <c r="K2053">
        <v>1.5656564772341766</v>
      </c>
      <c r="L2053">
        <v>0</v>
      </c>
      <c r="M2053">
        <v>6.2565733513049778E-3</v>
      </c>
      <c r="N2053">
        <v>0.11745523712784416</v>
      </c>
      <c r="O2053">
        <v>3.0251193807096927E-2</v>
      </c>
      <c r="P2053">
        <v>1.7824455644706239E-2</v>
      </c>
      <c r="Q2053">
        <v>0</v>
      </c>
      <c r="R2053">
        <v>6.2565733513049778E-3</v>
      </c>
      <c r="S2053">
        <v>0.16359843752273873</v>
      </c>
      <c r="T2053">
        <v>1.148589301233542</v>
      </c>
      <c r="U2053">
        <v>0</v>
      </c>
      <c r="V2053">
        <v>1.5732270652624041E-2</v>
      </c>
      <c r="W2053">
        <v>6.1677369523666349E-2</v>
      </c>
      <c r="X2053">
        <v>-1.5235243710173365E-2</v>
      </c>
      <c r="Y2053">
        <v>2.5763455432131679E-2</v>
      </c>
    </row>
    <row r="2054" spans="1:25" x14ac:dyDescent="0.25">
      <c r="A2054" s="879"/>
      <c r="B2054" s="1133">
        <v>1804</v>
      </c>
      <c r="C2054" s="883">
        <v>0.98224074443800879</v>
      </c>
      <c r="D2054" s="883">
        <v>1.028944598662807</v>
      </c>
      <c r="E2054" s="883">
        <v>0.99292214841215454</v>
      </c>
      <c r="F2054" s="883">
        <v>0.96638899679850465</v>
      </c>
      <c r="G2054" s="883">
        <v>1.0010288539069674</v>
      </c>
      <c r="H2054" s="883">
        <v>1.0311728601601786</v>
      </c>
      <c r="I2054" s="883">
        <v>0.98662940602705096</v>
      </c>
      <c r="K2054">
        <v>1.5814873553324944</v>
      </c>
      <c r="L2054">
        <v>0</v>
      </c>
      <c r="M2054">
        <v>6.6857197149777173E-3</v>
      </c>
      <c r="N2054">
        <v>0.12334688557965522</v>
      </c>
      <c r="O2054">
        <v>3.1054990937123817E-2</v>
      </c>
      <c r="P2054">
        <v>1.7735851194463144E-2</v>
      </c>
      <c r="Q2054">
        <v>0</v>
      </c>
      <c r="R2054">
        <v>6.6857197149777173E-3</v>
      </c>
      <c r="S2054">
        <v>0.17095618534490251</v>
      </c>
      <c r="T2054">
        <v>1.1462206049478336</v>
      </c>
      <c r="U2054">
        <v>0</v>
      </c>
      <c r="V2054">
        <v>1.5952478927509568E-2</v>
      </c>
      <c r="W2054">
        <v>6.5150175878489966E-2</v>
      </c>
      <c r="X2054">
        <v>-1.6460421250014966E-2</v>
      </c>
      <c r="Y2054">
        <v>2.7530603772530807E-2</v>
      </c>
    </row>
    <row r="2055" spans="1:25" x14ac:dyDescent="0.25">
      <c r="A2055" s="879"/>
      <c r="B2055" s="1133">
        <v>1805</v>
      </c>
      <c r="C2055" s="883">
        <v>0.97005824195201162</v>
      </c>
      <c r="D2055" s="883">
        <v>1.005737107293347</v>
      </c>
      <c r="E2055" s="883">
        <v>0.99520516634814449</v>
      </c>
      <c r="F2055" s="883">
        <v>0.978064077460018</v>
      </c>
      <c r="G2055" s="883">
        <v>1.0184800796722802</v>
      </c>
      <c r="H2055" s="883">
        <v>1.020819474481941</v>
      </c>
      <c r="I2055" s="883">
        <v>1.0156041641359865</v>
      </c>
      <c r="K2055">
        <v>1.6058912937538425</v>
      </c>
      <c r="L2055">
        <v>0</v>
      </c>
      <c r="M2055">
        <v>6.7567061184482967E-3</v>
      </c>
      <c r="N2055">
        <v>0.12507905476584286</v>
      </c>
      <c r="O2055">
        <v>3.173129225432391E-2</v>
      </c>
      <c r="P2055">
        <v>1.8043182975269405E-2</v>
      </c>
      <c r="Q2055">
        <v>0</v>
      </c>
      <c r="R2055">
        <v>6.7567061184482967E-3</v>
      </c>
      <c r="S2055">
        <v>0.17781667297306489</v>
      </c>
      <c r="T2055">
        <v>1.1600266986703653</v>
      </c>
      <c r="U2055">
        <v>0</v>
      </c>
      <c r="V2055">
        <v>1.6022181177048466E-2</v>
      </c>
      <c r="W2055">
        <v>6.5990039049660706E-2</v>
      </c>
      <c r="X2055">
        <v>-1.6640741258648017E-2</v>
      </c>
      <c r="Y2055">
        <v>2.7822913146913857E-2</v>
      </c>
    </row>
    <row r="2056" spans="1:25" x14ac:dyDescent="0.25">
      <c r="A2056" s="879"/>
      <c r="B2056" s="1133">
        <v>1806</v>
      </c>
      <c r="C2056" s="883">
        <v>1.0217998288284433</v>
      </c>
      <c r="D2056" s="883">
        <v>0.98332666080342668</v>
      </c>
      <c r="E2056" s="883">
        <v>1.0363324591032765</v>
      </c>
      <c r="F2056" s="883">
        <v>0.97317623105647844</v>
      </c>
      <c r="G2056" s="883">
        <v>0.97801474821241818</v>
      </c>
      <c r="H2056" s="883">
        <v>1.0223786496398186</v>
      </c>
      <c r="I2056" s="883">
        <v>0.98240897427810203</v>
      </c>
      <c r="K2056">
        <v>1.5781567354711235</v>
      </c>
      <c r="L2056">
        <v>0</v>
      </c>
      <c r="M2056">
        <v>6.2598914220216286E-3</v>
      </c>
      <c r="N2056">
        <v>0.12315350538522214</v>
      </c>
      <c r="O2056">
        <v>3.0360916314608421E-2</v>
      </c>
      <c r="P2056">
        <v>1.8317857315340514E-2</v>
      </c>
      <c r="Q2056">
        <v>0</v>
      </c>
      <c r="R2056">
        <v>6.2598914220216286E-3</v>
      </c>
      <c r="S2056">
        <v>0.16365943798300189</v>
      </c>
      <c r="T2056">
        <v>1.1534884259200746</v>
      </c>
      <c r="U2056">
        <v>0</v>
      </c>
      <c r="V2056">
        <v>1.5737602635342948E-2</v>
      </c>
      <c r="W2056">
        <v>6.3668829015662232E-2</v>
      </c>
      <c r="X2056">
        <v>-1.6006957754878294E-2</v>
      </c>
      <c r="Y2056">
        <v>2.5777118656748282E-2</v>
      </c>
    </row>
    <row r="2057" spans="1:25" x14ac:dyDescent="0.25">
      <c r="A2057" s="879"/>
      <c r="B2057" s="1133">
        <v>1807</v>
      </c>
      <c r="C2057" s="883">
        <v>0.99818236228654145</v>
      </c>
      <c r="D2057" s="883">
        <v>0.99620618247168191</v>
      </c>
      <c r="E2057" s="883">
        <v>1.0178628423140477</v>
      </c>
      <c r="F2057" s="883">
        <v>0.97623722010895797</v>
      </c>
      <c r="G2057" s="883">
        <v>0.99410457820139697</v>
      </c>
      <c r="H2057" s="883">
        <v>0.98183074948809246</v>
      </c>
      <c r="I2057" s="883">
        <v>0.96864920037498181</v>
      </c>
      <c r="K2057">
        <v>1.5765163734025744</v>
      </c>
      <c r="L2057">
        <v>0</v>
      </c>
      <c r="M2057">
        <v>6.2180318233847542E-3</v>
      </c>
      <c r="N2057">
        <v>0.11903464569751693</v>
      </c>
      <c r="O2057">
        <v>3.0935143977653942E-2</v>
      </c>
      <c r="P2057">
        <v>1.8112100968634907E-2</v>
      </c>
      <c r="Q2057">
        <v>0</v>
      </c>
      <c r="R2057">
        <v>6.2180318233847542E-3</v>
      </c>
      <c r="S2057">
        <v>0.16274214312282365</v>
      </c>
      <c r="T2057">
        <v>1.15744951005417</v>
      </c>
      <c r="U2057">
        <v>0</v>
      </c>
      <c r="V2057">
        <v>1.5863838753865673E-2</v>
      </c>
      <c r="W2057">
        <v>6.2100237279767656E-2</v>
      </c>
      <c r="X2057">
        <v>-1.5325994732151254E-2</v>
      </c>
      <c r="Y2057">
        <v>2.5604748280292428E-2</v>
      </c>
    </row>
    <row r="2058" spans="1:25" x14ac:dyDescent="0.25">
      <c r="A2058" s="879"/>
      <c r="B2058" s="1133">
        <v>1808</v>
      </c>
      <c r="C2058" s="883">
        <v>0.9798408535525247</v>
      </c>
      <c r="D2058" s="883">
        <v>1.0169777095295358</v>
      </c>
      <c r="E2058" s="883">
        <v>1.0285505466574396</v>
      </c>
      <c r="F2058" s="883">
        <v>0.98913881089781741</v>
      </c>
      <c r="G2058" s="883">
        <v>0.98585334252524315</v>
      </c>
      <c r="H2058" s="883">
        <v>0.98812244670885563</v>
      </c>
      <c r="I2058" s="883">
        <v>0.97704960843268662</v>
      </c>
      <c r="K2058">
        <v>1.6006955124838278</v>
      </c>
      <c r="L2058">
        <v>0</v>
      </c>
      <c r="M2058">
        <v>6.2577828343519798E-3</v>
      </c>
      <c r="N2058">
        <v>0.12170420716841038</v>
      </c>
      <c r="O2058">
        <v>3.1245200660967313E-2</v>
      </c>
      <c r="P2058">
        <v>1.8527895763548675E-2</v>
      </c>
      <c r="Q2058">
        <v>0</v>
      </c>
      <c r="R2058">
        <v>6.2577828343519798E-3</v>
      </c>
      <c r="S2058">
        <v>0.16740174844370001</v>
      </c>
      <c r="T2058">
        <v>1.1725505414000885</v>
      </c>
      <c r="U2058">
        <v>0</v>
      </c>
      <c r="V2058">
        <v>1.5966072826830772E-2</v>
      </c>
      <c r="W2058">
        <v>6.3159986869521109E-2</v>
      </c>
      <c r="X2058">
        <v>-1.56285765172802E-2</v>
      </c>
      <c r="Y2058">
        <v>2.5768435868039272E-2</v>
      </c>
    </row>
    <row r="2059" spans="1:25" x14ac:dyDescent="0.25">
      <c r="A2059" s="879"/>
      <c r="B2059" s="1133">
        <v>1809</v>
      </c>
      <c r="C2059" s="883">
        <v>1.0127359994574692</v>
      </c>
      <c r="D2059" s="883">
        <v>1.0224326893642901</v>
      </c>
      <c r="E2059" s="883">
        <v>0.95966231588058082</v>
      </c>
      <c r="F2059" s="883">
        <v>0.97179069285731978</v>
      </c>
      <c r="G2059" s="883">
        <v>1.0038537932887768</v>
      </c>
      <c r="H2059" s="883">
        <v>0.97971931134554835</v>
      </c>
      <c r="I2059" s="883">
        <v>1.026456508105879</v>
      </c>
      <c r="K2059">
        <v>1.5695164474553152</v>
      </c>
      <c r="L2059">
        <v>0</v>
      </c>
      <c r="M2059">
        <v>6.3599476923069291E-3</v>
      </c>
      <c r="N2059">
        <v>0.11168543976956331</v>
      </c>
      <c r="O2059">
        <v>3.0221899931553938E-2</v>
      </c>
      <c r="P2059">
        <v>1.7355392611875319E-2</v>
      </c>
      <c r="Q2059">
        <v>0</v>
      </c>
      <c r="R2059">
        <v>6.3599476923069291E-3</v>
      </c>
      <c r="S2059">
        <v>0.1695395822798999</v>
      </c>
      <c r="T2059">
        <v>1.1532315257533861</v>
      </c>
      <c r="U2059">
        <v>0</v>
      </c>
      <c r="V2059">
        <v>1.5785352889621157E-2</v>
      </c>
      <c r="W2059">
        <v>5.9982909645793017E-2</v>
      </c>
      <c r="X2059">
        <v>-1.447478799480857E-2</v>
      </c>
      <c r="Y2059">
        <v>2.6189132568430938E-2</v>
      </c>
    </row>
    <row r="2060" spans="1:25" x14ac:dyDescent="0.25">
      <c r="A2060" s="879"/>
      <c r="B2060" s="1133">
        <v>1810</v>
      </c>
      <c r="C2060" s="883">
        <v>0.97199739371832028</v>
      </c>
      <c r="D2060" s="883">
        <v>0.99835067815268252</v>
      </c>
      <c r="E2060" s="883">
        <v>0.98836835931693712</v>
      </c>
      <c r="F2060" s="883">
        <v>1.027379858423114</v>
      </c>
      <c r="G2060" s="883">
        <v>1.021518291227447</v>
      </c>
      <c r="H2060" s="883">
        <v>1.0090013884224742</v>
      </c>
      <c r="I2060" s="883">
        <v>0.99049963408322805</v>
      </c>
      <c r="K2060">
        <v>1.6576649832403589</v>
      </c>
      <c r="L2060">
        <v>0</v>
      </c>
      <c r="M2060">
        <v>6.7271293040569221E-3</v>
      </c>
      <c r="N2060">
        <v>0.12327580919306495</v>
      </c>
      <c r="O2060">
        <v>3.1767322990235887E-2</v>
      </c>
      <c r="P2060">
        <v>1.8654812655815031E-2</v>
      </c>
      <c r="Q2060">
        <v>0</v>
      </c>
      <c r="R2060">
        <v>6.7271293040569221E-3</v>
      </c>
      <c r="S2060">
        <v>0.17244915262496358</v>
      </c>
      <c r="T2060">
        <v>1.2186481632896191</v>
      </c>
      <c r="U2060">
        <v>0</v>
      </c>
      <c r="V2060">
        <v>1.6010969387665989E-2</v>
      </c>
      <c r="W2060">
        <v>6.5260622705912916E-2</v>
      </c>
      <c r="X2060">
        <v>-1.6102990696646054E-2</v>
      </c>
      <c r="Y2060">
        <v>2.7701121089726877E-2</v>
      </c>
    </row>
    <row r="2061" spans="1:25" x14ac:dyDescent="0.25">
      <c r="A2061" s="879"/>
      <c r="B2061" s="1133">
        <v>1811</v>
      </c>
      <c r="C2061" s="883">
        <v>1.0113478915672076</v>
      </c>
      <c r="D2061" s="883">
        <v>0.97443879217389373</v>
      </c>
      <c r="E2061" s="883">
        <v>0.98677129870246383</v>
      </c>
      <c r="F2061" s="883">
        <v>1.0312478414254671</v>
      </c>
      <c r="G2061" s="883">
        <v>1.0112137879927083</v>
      </c>
      <c r="H2061" s="883">
        <v>0.98017297317426821</v>
      </c>
      <c r="I2061" s="883">
        <v>1.0078312729916528</v>
      </c>
      <c r="K2061">
        <v>1.6449442675662853</v>
      </c>
      <c r="L2061">
        <v>0</v>
      </c>
      <c r="M2061">
        <v>6.3578489076834806E-3</v>
      </c>
      <c r="N2061">
        <v>0.11623309302353199</v>
      </c>
      <c r="O2061">
        <v>3.0830096997138758E-2</v>
      </c>
      <c r="P2061">
        <v>1.8620762365343563E-2</v>
      </c>
      <c r="Q2061">
        <v>0</v>
      </c>
      <c r="R2061">
        <v>6.3578489076834806E-3</v>
      </c>
      <c r="S2061">
        <v>0.16721031694482899</v>
      </c>
      <c r="T2061">
        <v>1.2232669512276055</v>
      </c>
      <c r="U2061">
        <v>0</v>
      </c>
      <c r="V2061">
        <v>1.5792741324374106E-2</v>
      </c>
      <c r="W2061">
        <v>6.1581372345599517E-2</v>
      </c>
      <c r="X2061">
        <v>-1.4771556809060338E-2</v>
      </c>
      <c r="Y2061">
        <v>2.6180490146921313E-2</v>
      </c>
    </row>
    <row r="2062" spans="1:25" x14ac:dyDescent="0.25">
      <c r="A2062" s="879"/>
      <c r="B2062" s="1133">
        <v>1812</v>
      </c>
      <c r="C2062" s="883">
        <v>1.012514042360964</v>
      </c>
      <c r="D2062" s="883">
        <v>1.0162203208382798</v>
      </c>
      <c r="E2062" s="883">
        <v>1.0204071053105672</v>
      </c>
      <c r="F2062" s="883">
        <v>0.99388623009633226</v>
      </c>
      <c r="G2062" s="883">
        <v>0.97055509882778035</v>
      </c>
      <c r="H2062" s="883">
        <v>1.0155779705133623</v>
      </c>
      <c r="I2062" s="883">
        <v>0.99980740783404343</v>
      </c>
      <c r="K2062">
        <v>1.6037721090423072</v>
      </c>
      <c r="L2062">
        <v>0</v>
      </c>
      <c r="M2062">
        <v>6.2707478723820747E-3</v>
      </c>
      <c r="N2062">
        <v>0.12049650283565816</v>
      </c>
      <c r="O2062">
        <v>3.0253318449499921E-2</v>
      </c>
      <c r="P2062">
        <v>1.8491372355360428E-2</v>
      </c>
      <c r="Q2062">
        <v>0</v>
      </c>
      <c r="R2062">
        <v>6.2707478723820747E-3</v>
      </c>
      <c r="S2062">
        <v>0.16733234539468891</v>
      </c>
      <c r="T2062">
        <v>1.1783278025273995</v>
      </c>
      <c r="U2062">
        <v>0</v>
      </c>
      <c r="V2062">
        <v>1.5786532932457978E-2</v>
      </c>
      <c r="W2062">
        <v>6.2784122786016305E-2</v>
      </c>
      <c r="X2062">
        <v>-1.5521711825731395E-2</v>
      </c>
      <c r="Y2062">
        <v>2.582182358695647E-2</v>
      </c>
    </row>
    <row r="2063" spans="1:25" x14ac:dyDescent="0.25">
      <c r="A2063" s="879"/>
      <c r="B2063" s="1133">
        <v>1813</v>
      </c>
      <c r="C2063" s="883">
        <v>0.99174634422273777</v>
      </c>
      <c r="D2063" s="883">
        <v>1.0051758838658811</v>
      </c>
      <c r="E2063" s="883">
        <v>0.98642188280750909</v>
      </c>
      <c r="F2063" s="883">
        <v>0.96029416866072692</v>
      </c>
      <c r="G2063" s="883">
        <v>1.0290552441357566</v>
      </c>
      <c r="H2063" s="883">
        <v>0.98036785668348425</v>
      </c>
      <c r="I2063" s="883">
        <v>0.99041214062599015</v>
      </c>
      <c r="K2063">
        <v>1.5607430394831046</v>
      </c>
      <c r="L2063">
        <v>0</v>
      </c>
      <c r="M2063">
        <v>6.3974859394598403E-3</v>
      </c>
      <c r="N2063">
        <v>0.11689714236412022</v>
      </c>
      <c r="O2063">
        <v>3.105158975061547E-2</v>
      </c>
      <c r="P2063">
        <v>1.750423166446716E-2</v>
      </c>
      <c r="Q2063">
        <v>0</v>
      </c>
      <c r="R2063">
        <v>6.3974859394598403E-3</v>
      </c>
      <c r="S2063">
        <v>0.16727369404540621</v>
      </c>
      <c r="T2063">
        <v>1.1391079079803581</v>
      </c>
      <c r="U2063">
        <v>0</v>
      </c>
      <c r="V2063">
        <v>1.589928194325723E-2</v>
      </c>
      <c r="W2063">
        <v>6.1943999201289991E-2</v>
      </c>
      <c r="X2063">
        <v>-1.5278515855057951E-2</v>
      </c>
      <c r="Y2063">
        <v>2.6343708388647701E-2</v>
      </c>
    </row>
    <row r="2064" spans="1:25" x14ac:dyDescent="0.25">
      <c r="A2064" s="879"/>
      <c r="B2064" s="1133">
        <v>1814</v>
      </c>
      <c r="C2064" s="883">
        <v>1.0399173067641909</v>
      </c>
      <c r="D2064" s="883">
        <v>1.0360735065848306</v>
      </c>
      <c r="E2064" s="883">
        <v>1.0006476312869046</v>
      </c>
      <c r="F2064" s="883">
        <v>0.99809699092465032</v>
      </c>
      <c r="G2064" s="883">
        <v>0.98289072611320316</v>
      </c>
      <c r="H2064" s="883">
        <v>0.99401920592313375</v>
      </c>
      <c r="I2064" s="883">
        <v>1.0124945798865577</v>
      </c>
      <c r="K2064">
        <v>1.5927083015559715</v>
      </c>
      <c r="L2064">
        <v>0</v>
      </c>
      <c r="M2064">
        <v>6.0278945574488403E-3</v>
      </c>
      <c r="N2064">
        <v>0.11249090827781702</v>
      </c>
      <c r="O2064">
        <v>2.9245534233100084E-2</v>
      </c>
      <c r="P2064">
        <v>1.8238547377755775E-2</v>
      </c>
      <c r="Q2064">
        <v>0</v>
      </c>
      <c r="R2064">
        <v>6.0278945574488403E-3</v>
      </c>
      <c r="S2064">
        <v>0.16358175317195794</v>
      </c>
      <c r="T2064">
        <v>1.1836856022742441</v>
      </c>
      <c r="U2064">
        <v>0</v>
      </c>
      <c r="V2064">
        <v>1.5644650547204712E-2</v>
      </c>
      <c r="W2064">
        <v>5.9188367702917459E-2</v>
      </c>
      <c r="X2064">
        <v>-1.4188858891366476E-2</v>
      </c>
      <c r="Y2064">
        <v>2.482179686234005E-2</v>
      </c>
    </row>
    <row r="2065" spans="1:25" x14ac:dyDescent="0.25">
      <c r="A2065" s="879"/>
      <c r="B2065" s="1133">
        <v>1815</v>
      </c>
      <c r="C2065" s="883">
        <v>0.99752783348589358</v>
      </c>
      <c r="D2065" s="883">
        <v>0.99142362166993292</v>
      </c>
      <c r="E2065" s="883">
        <v>0.99588691380289118</v>
      </c>
      <c r="F2065" s="883">
        <v>0.97213642596980399</v>
      </c>
      <c r="G2065" s="883">
        <v>0.98835443494878239</v>
      </c>
      <c r="H2065" s="883">
        <v>0.99847338788487727</v>
      </c>
      <c r="I2065" s="883">
        <v>1.0161293440351093</v>
      </c>
      <c r="K2065">
        <v>1.583504099344704</v>
      </c>
      <c r="L2065">
        <v>0</v>
      </c>
      <c r="M2065">
        <v>6.4641848384962459E-3</v>
      </c>
      <c r="N2065">
        <v>0.11978490909254319</v>
      </c>
      <c r="O2065">
        <v>3.1034345601361209E-2</v>
      </c>
      <c r="P2065">
        <v>1.7876796640713916E-2</v>
      </c>
      <c r="Q2065">
        <v>0</v>
      </c>
      <c r="R2065">
        <v>6.4641848384962459E-3</v>
      </c>
      <c r="S2065">
        <v>0.17184206213381278</v>
      </c>
      <c r="T2065">
        <v>1.1529839148657854</v>
      </c>
      <c r="U2065">
        <v>0</v>
      </c>
      <c r="V2065">
        <v>1.5867422356837496E-2</v>
      </c>
      <c r="W2065">
        <v>6.317548600821718E-2</v>
      </c>
      <c r="X2065">
        <v>-1.5679199937485434E-2</v>
      </c>
      <c r="Y2065">
        <v>2.6618362582918172E-2</v>
      </c>
    </row>
    <row r="2066" spans="1:25" x14ac:dyDescent="0.25">
      <c r="A2066" s="879"/>
      <c r="B2066" s="1133">
        <v>1816</v>
      </c>
      <c r="C2066" s="883">
        <v>1.0240348699989599</v>
      </c>
      <c r="D2066" s="883">
        <v>1.0023857131531424</v>
      </c>
      <c r="E2066" s="883">
        <v>1.0046369168051728</v>
      </c>
      <c r="F2066" s="883">
        <v>1.0254776742496228</v>
      </c>
      <c r="G2066" s="883">
        <v>1.0199339711783901</v>
      </c>
      <c r="H2066" s="883">
        <v>1.0184720602317541</v>
      </c>
      <c r="I2066" s="883">
        <v>1.0109509459107904</v>
      </c>
      <c r="K2066">
        <v>1.6407417371621538</v>
      </c>
      <c r="L2066">
        <v>0</v>
      </c>
      <c r="M2066">
        <v>6.3428796091999119E-3</v>
      </c>
      <c r="N2066">
        <v>0.11907057363802728</v>
      </c>
      <c r="O2066">
        <v>3.0091072587540013E-2</v>
      </c>
      <c r="P2066">
        <v>1.8783257127945336E-2</v>
      </c>
      <c r="Q2066">
        <v>0</v>
      </c>
      <c r="R2066">
        <v>6.3428796091999119E-3</v>
      </c>
      <c r="S2066">
        <v>0.16758309710989935</v>
      </c>
      <c r="T2066">
        <v>1.2160815339063407</v>
      </c>
      <c r="U2066">
        <v>0</v>
      </c>
      <c r="V2066">
        <v>1.5725957863130888E-2</v>
      </c>
      <c r="W2066">
        <v>6.2526466089590435E-2</v>
      </c>
      <c r="X2066">
        <v>-1.5239070400522069E-2</v>
      </c>
      <c r="Y2066">
        <v>2.6118849240201785E-2</v>
      </c>
    </row>
    <row r="2067" spans="1:25" x14ac:dyDescent="0.25">
      <c r="A2067" s="879"/>
      <c r="B2067" s="1133">
        <v>1817</v>
      </c>
      <c r="C2067" s="883">
        <v>0.96960620673261677</v>
      </c>
      <c r="D2067" s="883">
        <v>1.0319991882803583</v>
      </c>
      <c r="E2067" s="883">
        <v>0.99940468899430424</v>
      </c>
      <c r="F2067" s="883">
        <v>1.0079096195951285</v>
      </c>
      <c r="G2067" s="883">
        <v>0.99969873770226636</v>
      </c>
      <c r="H2067" s="883">
        <v>1.0260762656972799</v>
      </c>
      <c r="I2067" s="883">
        <v>1.0026065411618692</v>
      </c>
      <c r="K2067">
        <v>1.6384686731087927</v>
      </c>
      <c r="L2067">
        <v>0</v>
      </c>
      <c r="M2067">
        <v>6.6924834685443187E-3</v>
      </c>
      <c r="N2067">
        <v>0.12466351758680082</v>
      </c>
      <c r="O2067">
        <v>3.141682996561336E-2</v>
      </c>
      <c r="P2067">
        <v>1.8544102990881852E-2</v>
      </c>
      <c r="Q2067">
        <v>0</v>
      </c>
      <c r="R2067">
        <v>6.6924834685443187E-3</v>
      </c>
      <c r="S2067">
        <v>0.17566243050313657</v>
      </c>
      <c r="T2067">
        <v>1.1953460982287822</v>
      </c>
      <c r="U2067">
        <v>0</v>
      </c>
      <c r="V2067">
        <v>1.6024801200130851E-2</v>
      </c>
      <c r="W2067">
        <v>6.5633626059185157E-2</v>
      </c>
      <c r="X2067">
        <v>-1.6381189131551857E-2</v>
      </c>
      <c r="Y2067">
        <v>2.7558455705814819E-2</v>
      </c>
    </row>
    <row r="2068" spans="1:25" x14ac:dyDescent="0.25">
      <c r="A2068" s="879"/>
      <c r="B2068" s="1133">
        <v>1818</v>
      </c>
      <c r="C2068" s="883">
        <v>0.97955619355947232</v>
      </c>
      <c r="D2068" s="883">
        <v>0.99889260400447044</v>
      </c>
      <c r="E2068" s="883">
        <v>0.99371843704793095</v>
      </c>
      <c r="F2068" s="883">
        <v>1.0030825064416697</v>
      </c>
      <c r="G2068" s="883">
        <v>0.97037759961068026</v>
      </c>
      <c r="H2068" s="883">
        <v>1.0157927626048782</v>
      </c>
      <c r="I2068" s="883">
        <v>1.0124564137392962</v>
      </c>
      <c r="K2068">
        <v>1.6309485570499147</v>
      </c>
      <c r="L2068">
        <v>0</v>
      </c>
      <c r="M2068">
        <v>6.6872258082975623E-3</v>
      </c>
      <c r="N2068">
        <v>0.12352037345207495</v>
      </c>
      <c r="O2068">
        <v>3.151083873256285E-2</v>
      </c>
      <c r="P2068">
        <v>1.8384004798742564E-2</v>
      </c>
      <c r="Q2068">
        <v>0</v>
      </c>
      <c r="R2068">
        <v>6.6872258082975623E-3</v>
      </c>
      <c r="S2068">
        <v>0.17531894730040926</v>
      </c>
      <c r="T2068">
        <v>1.1897274003401475</v>
      </c>
      <c r="U2068">
        <v>0</v>
      </c>
      <c r="V2068">
        <v>1.5967689668813442E-2</v>
      </c>
      <c r="W2068">
        <v>6.521594368678682E-2</v>
      </c>
      <c r="X2068">
        <v>-1.6233446526371435E-2</v>
      </c>
      <c r="Y2068">
        <v>2.7536805596747305E-2</v>
      </c>
    </row>
    <row r="2069" spans="1:25" x14ac:dyDescent="0.25">
      <c r="A2069" s="879"/>
      <c r="B2069" s="1133">
        <v>1819</v>
      </c>
      <c r="C2069" s="883">
        <v>0.98605611800429294</v>
      </c>
      <c r="D2069" s="883">
        <v>0.97154320473216915</v>
      </c>
      <c r="E2069" s="883">
        <v>1.0047478203710236</v>
      </c>
      <c r="F2069" s="883">
        <v>0.98756650022157166</v>
      </c>
      <c r="G2069" s="883">
        <v>0.97889331595397056</v>
      </c>
      <c r="H2069" s="883">
        <v>1.0363061581413315</v>
      </c>
      <c r="I2069" s="883">
        <v>1.007386327158565</v>
      </c>
      <c r="K2069">
        <v>1.6173901919098435</v>
      </c>
      <c r="L2069">
        <v>0</v>
      </c>
      <c r="M2069">
        <v>6.7960260185316625E-3</v>
      </c>
      <c r="N2069">
        <v>0.12759813917510679</v>
      </c>
      <c r="O2069">
        <v>3.1643064920319632E-2</v>
      </c>
      <c r="P2069">
        <v>1.8281818467354286E-2</v>
      </c>
      <c r="Q2069">
        <v>0</v>
      </c>
      <c r="R2069">
        <v>6.7960260185316625E-3</v>
      </c>
      <c r="S2069">
        <v>0.17484202767725807</v>
      </c>
      <c r="T2069">
        <v>1.1711218386242452</v>
      </c>
      <c r="U2069">
        <v>0</v>
      </c>
      <c r="V2069">
        <v>1.5931003415332261E-2</v>
      </c>
      <c r="W2069">
        <v>6.7000787027792955E-2</v>
      </c>
      <c r="X2069">
        <v>-1.7013312894342013E-2</v>
      </c>
      <c r="Y2069">
        <v>2.7984825496775837E-2</v>
      </c>
    </row>
    <row r="2070" spans="1:25" x14ac:dyDescent="0.25">
      <c r="A2070" s="879"/>
      <c r="B2070" s="1133">
        <v>1820</v>
      </c>
      <c r="C2070" s="883">
        <v>1.0092087724550654</v>
      </c>
      <c r="D2070" s="883">
        <v>0.95854771189960419</v>
      </c>
      <c r="E2070" s="883">
        <v>1.0181625810198778</v>
      </c>
      <c r="F2070" s="883">
        <v>1.0195366267120325</v>
      </c>
      <c r="G2070" s="883">
        <v>0.995982241970231</v>
      </c>
      <c r="H2070" s="883">
        <v>0.98481455879937663</v>
      </c>
      <c r="I2070" s="883">
        <v>1.0267248091902015</v>
      </c>
      <c r="K2070">
        <v>1.6391956650314548</v>
      </c>
      <c r="L2070">
        <v>0</v>
      </c>
      <c r="M2070">
        <v>6.2742282995787131E-3</v>
      </c>
      <c r="N2070">
        <v>0.12016371737703097</v>
      </c>
      <c r="O2070">
        <v>3.1072157901243132E-2</v>
      </c>
      <c r="P2070">
        <v>1.8925941443130652E-2</v>
      </c>
      <c r="Q2070">
        <v>0</v>
      </c>
      <c r="R2070">
        <v>6.2742282995787131E-3</v>
      </c>
      <c r="S2070">
        <v>0.17119126144731106</v>
      </c>
      <c r="T2070">
        <v>1.2087806363508218</v>
      </c>
      <c r="U2070">
        <v>0</v>
      </c>
      <c r="V2070">
        <v>1.580416693497429E-2</v>
      </c>
      <c r="W2070">
        <v>6.2680009817274812E-2</v>
      </c>
      <c r="X2070">
        <v>-1.5258381606991962E-2</v>
      </c>
      <c r="Y2070">
        <v>2.5836155366659268E-2</v>
      </c>
    </row>
    <row r="2071" spans="1:25" x14ac:dyDescent="0.25">
      <c r="A2071" s="879"/>
      <c r="B2071" s="1133">
        <v>1821</v>
      </c>
      <c r="C2071" s="883">
        <v>0.99140993780826847</v>
      </c>
      <c r="D2071" s="883">
        <v>0.98978383813574033</v>
      </c>
      <c r="E2071" s="883">
        <v>1.0021277426814916</v>
      </c>
      <c r="F2071" s="883">
        <v>0.97298050522237733</v>
      </c>
      <c r="G2071" s="883">
        <v>0.99762622785383714</v>
      </c>
      <c r="H2071" s="883">
        <v>1.0089014870689341</v>
      </c>
      <c r="I2071" s="883">
        <v>1.0317668917007186</v>
      </c>
      <c r="K2071">
        <v>1.5927728907746204</v>
      </c>
      <c r="L2071">
        <v>0</v>
      </c>
      <c r="M2071">
        <v>6.5411062383163403E-3</v>
      </c>
      <c r="N2071">
        <v>0.12233625569207461</v>
      </c>
      <c r="O2071">
        <v>3.1241176117335533E-2</v>
      </c>
      <c r="P2071">
        <v>1.8032719915955023E-2</v>
      </c>
      <c r="Q2071">
        <v>0</v>
      </c>
      <c r="R2071">
        <v>6.5411062383163403E-3</v>
      </c>
      <c r="S2071">
        <v>0.17622015874288974</v>
      </c>
      <c r="T2071">
        <v>1.1538721391941991</v>
      </c>
      <c r="U2071">
        <v>0</v>
      </c>
      <c r="V2071">
        <v>1.5901147190612988E-2</v>
      </c>
      <c r="W2071">
        <v>6.4321337486214034E-2</v>
      </c>
      <c r="X2071">
        <v>-1.6087154780539639E-2</v>
      </c>
      <c r="Y2071">
        <v>2.6935111215878545E-2</v>
      </c>
    </row>
    <row r="2072" spans="1:25" x14ac:dyDescent="0.25">
      <c r="A2072" s="879"/>
      <c r="B2072" s="1133">
        <v>1822</v>
      </c>
      <c r="C2072" s="883">
        <v>1.0043344830344332</v>
      </c>
      <c r="D2072" s="883">
        <v>0.96931867811475514</v>
      </c>
      <c r="E2072" s="883">
        <v>0.95967783446076338</v>
      </c>
      <c r="F2072" s="883">
        <v>1.0017233144905584</v>
      </c>
      <c r="G2072" s="883">
        <v>1.0079983721724268</v>
      </c>
      <c r="H2072" s="883">
        <v>0.97748850903823548</v>
      </c>
      <c r="I2072" s="883">
        <v>0.97346059079222402</v>
      </c>
      <c r="K2072">
        <v>1.6048326778894386</v>
      </c>
      <c r="L2072">
        <v>0</v>
      </c>
      <c r="M2072">
        <v>6.5525771881059913E-3</v>
      </c>
      <c r="N2072">
        <v>0.11507081126511463</v>
      </c>
      <c r="O2072">
        <v>3.1131980853425247E-2</v>
      </c>
      <c r="P2072">
        <v>1.7725285042460626E-2</v>
      </c>
      <c r="Q2072">
        <v>0</v>
      </c>
      <c r="R2072">
        <v>6.5525771881059913E-3</v>
      </c>
      <c r="S2072">
        <v>0.16250677451846512</v>
      </c>
      <c r="T2072">
        <v>1.1887525075443353</v>
      </c>
      <c r="U2072">
        <v>0</v>
      </c>
      <c r="V2072">
        <v>1.5830383631246458E-2</v>
      </c>
      <c r="W2072">
        <v>6.1800607213138029E-2</v>
      </c>
      <c r="X2072">
        <v>-1.4968018724106235E-2</v>
      </c>
      <c r="Y2072">
        <v>2.698234654535938E-2</v>
      </c>
    </row>
    <row r="2073" spans="1:25" x14ac:dyDescent="0.25">
      <c r="A2073" s="879"/>
      <c r="B2073" s="1133">
        <v>1823</v>
      </c>
      <c r="C2073" s="883">
        <v>1.0097466660526973</v>
      </c>
      <c r="D2073" s="883">
        <v>1.0049595642940881</v>
      </c>
      <c r="E2073" s="883">
        <v>0.98156687866356218</v>
      </c>
      <c r="F2073" s="883">
        <v>1.0206429077144523</v>
      </c>
      <c r="G2073" s="883">
        <v>0.96783851377666386</v>
      </c>
      <c r="H2073" s="883">
        <v>0.98791258123496262</v>
      </c>
      <c r="I2073" s="883">
        <v>1.0236111680681996</v>
      </c>
      <c r="K2073">
        <v>1.6338679424931979</v>
      </c>
      <c r="L2073">
        <v>0</v>
      </c>
      <c r="M2073">
        <v>6.3592711167182094E-3</v>
      </c>
      <c r="N2073">
        <v>0.11536510920995607</v>
      </c>
      <c r="O2073">
        <v>3.0504531872870895E-2</v>
      </c>
      <c r="P2073">
        <v>1.8421986434412035E-2</v>
      </c>
      <c r="Q2073">
        <v>0</v>
      </c>
      <c r="R2073">
        <v>6.3592711167182094E-3</v>
      </c>
      <c r="S2073">
        <v>0.17023815511652315</v>
      </c>
      <c r="T2073">
        <v>1.2107864606091863</v>
      </c>
      <c r="U2073">
        <v>0</v>
      </c>
      <c r="V2073">
        <v>1.5801289344605705E-2</v>
      </c>
      <c r="W2073">
        <v>6.1280719085128992E-2</v>
      </c>
      <c r="X2073">
        <v>-1.471665573006899E-2</v>
      </c>
      <c r="Y2073">
        <v>2.6186346550582551E-2</v>
      </c>
    </row>
    <row r="2074" spans="1:25" x14ac:dyDescent="0.25">
      <c r="A2074" s="879"/>
      <c r="B2074" s="1133">
        <v>1824</v>
      </c>
      <c r="C2074" s="883">
        <v>0.98117954752888903</v>
      </c>
      <c r="D2074" s="883">
        <v>1.0260193640592064</v>
      </c>
      <c r="E2074" s="883">
        <v>0.9554243894268919</v>
      </c>
      <c r="F2074" s="883">
        <v>1.031175295148699</v>
      </c>
      <c r="G2074" s="883">
        <v>1.0278546928038588</v>
      </c>
      <c r="H2074" s="883">
        <v>1.0268508906969609</v>
      </c>
      <c r="I2074" s="883">
        <v>0.97072611599603198</v>
      </c>
      <c r="K2074">
        <v>1.6547993788623507</v>
      </c>
      <c r="L2074">
        <v>0</v>
      </c>
      <c r="M2074">
        <v>6.8949300408742932E-3</v>
      </c>
      <c r="N2074">
        <v>0.12031993756069963</v>
      </c>
      <c r="O2074">
        <v>3.1153328803205534E-2</v>
      </c>
      <c r="P2074">
        <v>1.8193038115315873E-2</v>
      </c>
      <c r="Q2074">
        <v>0</v>
      </c>
      <c r="R2074">
        <v>6.8949300408742932E-3</v>
      </c>
      <c r="S2074">
        <v>0.1681268704690885</v>
      </c>
      <c r="T2074">
        <v>1.2237857161810719</v>
      </c>
      <c r="U2074">
        <v>0</v>
      </c>
      <c r="V2074">
        <v>1.5958481751165269E-2</v>
      </c>
      <c r="W2074">
        <v>6.4758775828600762E-2</v>
      </c>
      <c r="X2074">
        <v>-1.5888864503321269E-2</v>
      </c>
      <c r="Y2074">
        <v>2.8392094656523065E-2</v>
      </c>
    </row>
    <row r="2075" spans="1:25" x14ac:dyDescent="0.25">
      <c r="A2075" s="879"/>
      <c r="B2075" s="1133">
        <v>1825</v>
      </c>
      <c r="C2075" s="883">
        <v>1.0126710537374399</v>
      </c>
      <c r="D2075" s="883">
        <v>1.0122851760157714</v>
      </c>
      <c r="E2075" s="883">
        <v>1.0087949998392369</v>
      </c>
      <c r="F2075" s="883">
        <v>0.99213135003803476</v>
      </c>
      <c r="G2075" s="883">
        <v>0.98210453041125156</v>
      </c>
      <c r="H2075" s="883">
        <v>1.0293532510058838</v>
      </c>
      <c r="I2075" s="883">
        <v>1.012935173879177</v>
      </c>
      <c r="K2075">
        <v>1.6069937684519473</v>
      </c>
      <c r="L2075">
        <v>0</v>
      </c>
      <c r="M2075">
        <v>6.4308231400104733E-3</v>
      </c>
      <c r="N2075">
        <v>0.12146706018136015</v>
      </c>
      <c r="O2075">
        <v>3.0305805126963233E-2</v>
      </c>
      <c r="P2075">
        <v>1.8346630924831412E-2</v>
      </c>
      <c r="Q2075">
        <v>0</v>
      </c>
      <c r="R2075">
        <v>6.4308231400104733E-3</v>
      </c>
      <c r="S2075">
        <v>0.17032515869147594</v>
      </c>
      <c r="T2075">
        <v>1.1764606337308854</v>
      </c>
      <c r="U2075">
        <v>0</v>
      </c>
      <c r="V2075">
        <v>1.5785698122327489E-2</v>
      </c>
      <c r="W2075">
        <v>6.3653689020153253E-2</v>
      </c>
      <c r="X2075">
        <v>-1.5831892392765876E-2</v>
      </c>
      <c r="Y2075">
        <v>2.6480985046714717E-2</v>
      </c>
    </row>
    <row r="2076" spans="1:25" x14ac:dyDescent="0.25">
      <c r="A2076" s="879"/>
      <c r="B2076" s="1133">
        <v>1826</v>
      </c>
      <c r="C2076" s="883">
        <v>1.0008492162960869</v>
      </c>
      <c r="D2076" s="883">
        <v>1.021807440203683</v>
      </c>
      <c r="E2076" s="883">
        <v>0.97958486048914306</v>
      </c>
      <c r="F2076" s="883">
        <v>1.017990735663904</v>
      </c>
      <c r="G2076" s="883">
        <v>1.0058761941954493</v>
      </c>
      <c r="H2076" s="883">
        <v>1.0136292836614786</v>
      </c>
      <c r="I2076" s="883">
        <v>1.0047187114301193</v>
      </c>
      <c r="K2076">
        <v>1.6352932082951015</v>
      </c>
      <c r="L2076">
        <v>0</v>
      </c>
      <c r="M2076">
        <v>6.5455163447016625E-3</v>
      </c>
      <c r="N2076">
        <v>0.11839517014052758</v>
      </c>
      <c r="O2076">
        <v>3.0573284415415992E-2</v>
      </c>
      <c r="P2076">
        <v>1.8349122543252092E-2</v>
      </c>
      <c r="Q2076">
        <v>0</v>
      </c>
      <c r="R2076">
        <v>6.5455163447016625E-3</v>
      </c>
      <c r="S2076">
        <v>0.16990142544477893</v>
      </c>
      <c r="T2076">
        <v>1.2076778648026145</v>
      </c>
      <c r="U2076">
        <v>0</v>
      </c>
      <c r="V2076">
        <v>1.5849285947936022E-2</v>
      </c>
      <c r="W2076">
        <v>6.2952684802718289E-2</v>
      </c>
      <c r="X2076">
        <v>-1.5358901051144739E-2</v>
      </c>
      <c r="Y2076">
        <v>2.6953271249003624E-2</v>
      </c>
    </row>
    <row r="2077" spans="1:25" x14ac:dyDescent="0.25">
      <c r="A2077" s="879"/>
      <c r="B2077" s="1133">
        <v>1827</v>
      </c>
      <c r="C2077" s="883">
        <v>0.9974659008449801</v>
      </c>
      <c r="D2077" s="883">
        <v>1.0228989026482203</v>
      </c>
      <c r="E2077" s="883">
        <v>1.0094570035348285</v>
      </c>
      <c r="F2077" s="883">
        <v>1.0142315643953108</v>
      </c>
      <c r="G2077" s="883">
        <v>1.0396159807161733</v>
      </c>
      <c r="H2077" s="883">
        <v>1.0209365115232447</v>
      </c>
      <c r="I2077" s="883">
        <v>0.96517953562874448</v>
      </c>
      <c r="K2077">
        <v>1.6283325911979412</v>
      </c>
      <c r="L2077">
        <v>0</v>
      </c>
      <c r="M2077">
        <v>6.4417121591852904E-3</v>
      </c>
      <c r="N2077">
        <v>0.12179204272577185</v>
      </c>
      <c r="O2077">
        <v>3.0639102800378102E-2</v>
      </c>
      <c r="P2077">
        <v>1.8626934119316589E-2</v>
      </c>
      <c r="Q2077">
        <v>0</v>
      </c>
      <c r="R2077">
        <v>6.4417121591852904E-3</v>
      </c>
      <c r="S2077">
        <v>0.16419537057024208</v>
      </c>
      <c r="T2077">
        <v>1.2026544219859108</v>
      </c>
      <c r="U2077">
        <v>0</v>
      </c>
      <c r="V2077">
        <v>1.5867761687074263E-2</v>
      </c>
      <c r="W2077">
        <v>6.3803090993160894E-2</v>
      </c>
      <c r="X2077">
        <v>-1.5771957773417472E-2</v>
      </c>
      <c r="Y2077">
        <v>2.6525824089503464E-2</v>
      </c>
    </row>
    <row r="2078" spans="1:25" x14ac:dyDescent="0.25">
      <c r="A2078" s="879"/>
      <c r="B2078" s="1133">
        <v>1828</v>
      </c>
      <c r="C2078" s="883">
        <v>0.96685447814578473</v>
      </c>
      <c r="D2078" s="883">
        <v>0.98384355396411671</v>
      </c>
      <c r="E2078" s="883">
        <v>0.97199116141854047</v>
      </c>
      <c r="F2078" s="883">
        <v>1.0150254882469387</v>
      </c>
      <c r="G2078" s="883">
        <v>1.0085167305336473</v>
      </c>
      <c r="H2078" s="883">
        <v>1.0236225263667409</v>
      </c>
      <c r="I2078" s="883">
        <v>1.0184418438464236</v>
      </c>
      <c r="K2078">
        <v>1.6544233579502556</v>
      </c>
      <c r="L2078">
        <v>0</v>
      </c>
      <c r="M2078">
        <v>7.0051679971901279E-3</v>
      </c>
      <c r="N2078">
        <v>0.12528932534680856</v>
      </c>
      <c r="O2078">
        <v>3.2137360872279364E-2</v>
      </c>
      <c r="P2078">
        <v>1.8323157436333913E-2</v>
      </c>
      <c r="Q2078">
        <v>0</v>
      </c>
      <c r="R2078">
        <v>7.0051679971901279E-3</v>
      </c>
      <c r="S2078">
        <v>0.17930076497209549</v>
      </c>
      <c r="T2078">
        <v>1.2043041536993948</v>
      </c>
      <c r="U2078">
        <v>0</v>
      </c>
      <c r="V2078">
        <v>1.6040803232207995E-2</v>
      </c>
      <c r="W2078">
        <v>6.6872641736595281E-2</v>
      </c>
      <c r="X2078">
        <v>-1.6690884284467741E-2</v>
      </c>
      <c r="Y2078">
        <v>2.8846034939006917E-2</v>
      </c>
    </row>
    <row r="2079" spans="1:25" x14ac:dyDescent="0.25">
      <c r="A2079" s="879"/>
      <c r="B2079" s="1133">
        <v>1829</v>
      </c>
      <c r="C2079" s="883">
        <v>0.9595011861073417</v>
      </c>
      <c r="D2079" s="883">
        <v>0.99632239483480356</v>
      </c>
      <c r="E2079" s="883">
        <v>1.0324338572550023</v>
      </c>
      <c r="F2079" s="883">
        <v>0.99689462114035188</v>
      </c>
      <c r="G2079" s="883">
        <v>0.97208312325148782</v>
      </c>
      <c r="H2079" s="883">
        <v>0.96295436417132307</v>
      </c>
      <c r="I2079" s="883">
        <v>0.99182131056975686</v>
      </c>
      <c r="K2079">
        <v>1.6170893617793889</v>
      </c>
      <c r="L2079">
        <v>0</v>
      </c>
      <c r="M2079">
        <v>6.2635528818650145E-3</v>
      </c>
      <c r="N2079">
        <v>0.12251767333558103</v>
      </c>
      <c r="O2079">
        <v>3.2166704463345165E-2</v>
      </c>
      <c r="P2079">
        <v>1.8774001457253154E-2</v>
      </c>
      <c r="Q2079">
        <v>0</v>
      </c>
      <c r="R2079">
        <v>6.2635528818650145E-3</v>
      </c>
      <c r="S2079">
        <v>0.17223459175988715</v>
      </c>
      <c r="T2079">
        <v>1.181673051250175</v>
      </c>
      <c r="U2079">
        <v>0</v>
      </c>
      <c r="V2079">
        <v>1.6084014919684725E-2</v>
      </c>
      <c r="W2079">
        <v>6.3461155070388089E-2</v>
      </c>
      <c r="X2079">
        <v>-1.5614026373593498E-2</v>
      </c>
      <c r="Y2079">
        <v>2.5792195896667779E-2</v>
      </c>
    </row>
    <row r="2080" spans="1:25" x14ac:dyDescent="0.25">
      <c r="A2080" s="879"/>
      <c r="B2080" s="1133">
        <v>1830</v>
      </c>
      <c r="C2080" s="883">
        <v>1.0156730077342968</v>
      </c>
      <c r="D2080" s="883">
        <v>1.0144222232043776</v>
      </c>
      <c r="E2080" s="883">
        <v>0.99516437315660022</v>
      </c>
      <c r="F2080" s="883">
        <v>0.99157320952436856</v>
      </c>
      <c r="G2080" s="883">
        <v>0.99616460507739935</v>
      </c>
      <c r="H2080" s="883">
        <v>1.0198187673815113</v>
      </c>
      <c r="I2080" s="883">
        <v>1.0105408092792698</v>
      </c>
      <c r="K2080">
        <v>1.6015734850962684</v>
      </c>
      <c r="L2080">
        <v>0</v>
      </c>
      <c r="M2080">
        <v>6.4224948615849604E-3</v>
      </c>
      <c r="N2080">
        <v>0.11888500232005912</v>
      </c>
      <c r="O2080">
        <v>3.0202189167936707E-2</v>
      </c>
      <c r="P2080">
        <v>1.8132862066667952E-2</v>
      </c>
      <c r="Q2080">
        <v>0</v>
      </c>
      <c r="R2080">
        <v>6.4224948615849604E-3</v>
      </c>
      <c r="S2080">
        <v>0.16883674948015462</v>
      </c>
      <c r="T2080">
        <v>1.1760498717306227</v>
      </c>
      <c r="U2080">
        <v>0</v>
      </c>
      <c r="V2080">
        <v>1.5769786745306585E-2</v>
      </c>
      <c r="W2080">
        <v>6.2723412912400356E-2</v>
      </c>
      <c r="X2080">
        <v>-1.5473080005416478E-2</v>
      </c>
      <c r="Y2080">
        <v>2.6446690678536756E-2</v>
      </c>
    </row>
    <row r="2081" spans="1:25" x14ac:dyDescent="0.25">
      <c r="A2081" s="879"/>
      <c r="B2081" s="1133">
        <v>1831</v>
      </c>
      <c r="C2081" s="883">
        <v>1.0064039753944694</v>
      </c>
      <c r="D2081" s="883">
        <v>1.0307183198150447</v>
      </c>
      <c r="E2081" s="883">
        <v>1.0105833198638163</v>
      </c>
      <c r="F2081" s="883">
        <v>1.0208834746901725</v>
      </c>
      <c r="G2081" s="883">
        <v>0.96133167133657904</v>
      </c>
      <c r="H2081" s="883">
        <v>1.000523091297211</v>
      </c>
      <c r="I2081" s="883">
        <v>1.040067297484742</v>
      </c>
      <c r="K2081">
        <v>1.6400340284761619</v>
      </c>
      <c r="L2081">
        <v>0</v>
      </c>
      <c r="M2081">
        <v>6.229521300127756E-3</v>
      </c>
      <c r="N2081">
        <v>0.11797674463278608</v>
      </c>
      <c r="O2081">
        <v>3.0273656492733454E-2</v>
      </c>
      <c r="P2081">
        <v>1.8881543935907533E-2</v>
      </c>
      <c r="Q2081">
        <v>0</v>
      </c>
      <c r="R2081">
        <v>6.229521300127756E-3</v>
      </c>
      <c r="S2081">
        <v>0.17407794941599106</v>
      </c>
      <c r="T2081">
        <v>1.2105207977204984</v>
      </c>
      <c r="U2081">
        <v>0</v>
      </c>
      <c r="V2081">
        <v>1.5819221704943948E-2</v>
      </c>
      <c r="W2081">
        <v>6.176995361783047E-2</v>
      </c>
      <c r="X2081">
        <v>-1.4937898944997738E-2</v>
      </c>
      <c r="Y2081">
        <v>2.5652059900469492E-2</v>
      </c>
    </row>
    <row r="2082" spans="1:25" x14ac:dyDescent="0.25">
      <c r="A2082" s="879"/>
      <c r="B2082" s="1133">
        <v>1832</v>
      </c>
      <c r="C2082" s="883">
        <v>0.97597906832644421</v>
      </c>
      <c r="D2082" s="883">
        <v>1.0055690417330214</v>
      </c>
      <c r="E2082" s="883">
        <v>0.9974856023573283</v>
      </c>
      <c r="F2082" s="883">
        <v>1.0088268821405573</v>
      </c>
      <c r="G2082" s="883">
        <v>1.0006160090456837</v>
      </c>
      <c r="H2082" s="883">
        <v>1.0234566087915207</v>
      </c>
      <c r="I2082" s="883">
        <v>0.98220504131807507</v>
      </c>
      <c r="K2082">
        <v>1.6353862993703403</v>
      </c>
      <c r="L2082">
        <v>0</v>
      </c>
      <c r="M2082">
        <v>6.7201717004765488E-3</v>
      </c>
      <c r="N2082">
        <v>0.12482384560450611</v>
      </c>
      <c r="O2082">
        <v>3.1538941505448372E-2</v>
      </c>
      <c r="P2082">
        <v>1.8470393672882366E-2</v>
      </c>
      <c r="Q2082">
        <v>0</v>
      </c>
      <c r="R2082">
        <v>6.7201717004765488E-3</v>
      </c>
      <c r="S2082">
        <v>0.17108349023604735</v>
      </c>
      <c r="T2082">
        <v>1.1964699347335142</v>
      </c>
      <c r="U2082">
        <v>0</v>
      </c>
      <c r="V2082">
        <v>1.5988087797501837E-2</v>
      </c>
      <c r="W2082">
        <v>6.5780741016221972E-2</v>
      </c>
      <c r="X2082">
        <v>-1.6441606112373729E-2</v>
      </c>
      <c r="Y2082">
        <v>2.7672470916590169E-2</v>
      </c>
    </row>
    <row r="2083" spans="1:25" x14ac:dyDescent="0.25">
      <c r="A2083" s="879"/>
      <c r="B2083" s="1133">
        <v>1833</v>
      </c>
      <c r="C2083" s="883">
        <v>0.97906841886261853</v>
      </c>
      <c r="D2083" s="883">
        <v>1.0229199027687439</v>
      </c>
      <c r="E2083" s="883">
        <v>1.0308512256811415</v>
      </c>
      <c r="F2083" s="883">
        <v>1.0216311310407538</v>
      </c>
      <c r="G2083" s="883">
        <v>1.0304449586010798</v>
      </c>
      <c r="H2083" s="883">
        <v>0.96780563594943836</v>
      </c>
      <c r="I2083" s="883">
        <v>0.97494986003383555</v>
      </c>
      <c r="K2083">
        <v>1.6343538135339206</v>
      </c>
      <c r="L2083">
        <v>0</v>
      </c>
      <c r="M2083">
        <v>6.105727690248767E-3</v>
      </c>
      <c r="N2083">
        <v>0.11915150733247536</v>
      </c>
      <c r="O2083">
        <v>3.1194882994638531E-2</v>
      </c>
      <c r="P2083">
        <v>1.9066176797860865E-2</v>
      </c>
      <c r="Q2083">
        <v>0</v>
      </c>
      <c r="R2083">
        <v>6.105727690248767E-3</v>
      </c>
      <c r="S2083">
        <v>0.16595977240110796</v>
      </c>
      <c r="T2083">
        <v>1.2110243966100125</v>
      </c>
      <c r="U2083">
        <v>0</v>
      </c>
      <c r="V2083">
        <v>1.5970462369000318E-2</v>
      </c>
      <c r="W2083">
        <v>6.1765468547209143E-2</v>
      </c>
      <c r="X2083">
        <v>-1.4921153367814639E-2</v>
      </c>
      <c r="Y2083">
        <v>2.5142299849428961E-2</v>
      </c>
    </row>
    <row r="2084" spans="1:25" x14ac:dyDescent="0.25">
      <c r="A2084" s="879"/>
      <c r="B2084" s="1133">
        <v>1834</v>
      </c>
      <c r="C2084" s="883">
        <v>0.99439851396197054</v>
      </c>
      <c r="D2084" s="883">
        <v>0.98190721116980073</v>
      </c>
      <c r="E2084" s="883">
        <v>1.0256985809350954</v>
      </c>
      <c r="F2084" s="883">
        <v>1.0247370586466893</v>
      </c>
      <c r="G2084" s="883">
        <v>0.99493329849247192</v>
      </c>
      <c r="H2084" s="883">
        <v>1.0133106767361431</v>
      </c>
      <c r="I2084" s="883">
        <v>1.024458662730996</v>
      </c>
      <c r="K2084">
        <v>1.6559062972338332</v>
      </c>
      <c r="L2084">
        <v>0</v>
      </c>
      <c r="M2084">
        <v>6.4391856526371154E-3</v>
      </c>
      <c r="N2084">
        <v>0.12470526153127146</v>
      </c>
      <c r="O2084">
        <v>3.1225698239666085E-2</v>
      </c>
      <c r="P2084">
        <v>1.9165115663286041E-2</v>
      </c>
      <c r="Q2084">
        <v>0</v>
      </c>
      <c r="R2084">
        <v>6.4391856526371154E-3</v>
      </c>
      <c r="S2084">
        <v>0.17482567194338944</v>
      </c>
      <c r="T2084">
        <v>1.2148035839811688</v>
      </c>
      <c r="U2084">
        <v>0</v>
      </c>
      <c r="V2084">
        <v>1.5884620852518204E-2</v>
      </c>
      <c r="W2084">
        <v>6.4808141502950542E-2</v>
      </c>
      <c r="X2084">
        <v>-1.6027216865657484E-2</v>
      </c>
      <c r="Y2084">
        <v>2.651542038523947E-2</v>
      </c>
    </row>
    <row r="2085" spans="1:25" x14ac:dyDescent="0.25">
      <c r="A2085" s="879"/>
      <c r="B2085" s="1133">
        <v>1835</v>
      </c>
      <c r="C2085" s="883">
        <v>1.0354940686593603</v>
      </c>
      <c r="D2085" s="883">
        <v>0.99066837980929134</v>
      </c>
      <c r="E2085" s="883">
        <v>1.0193807519561437</v>
      </c>
      <c r="F2085" s="883">
        <v>0.99706278255130343</v>
      </c>
      <c r="G2085" s="883">
        <v>0.97939824539476872</v>
      </c>
      <c r="H2085" s="883">
        <v>1.0040685409532903</v>
      </c>
      <c r="I2085" s="883">
        <v>0.96335876188796365</v>
      </c>
      <c r="K2085">
        <v>1.5926920413373244</v>
      </c>
      <c r="L2085">
        <v>0</v>
      </c>
      <c r="M2085">
        <v>6.1368449722740805E-3</v>
      </c>
      <c r="N2085">
        <v>0.11774456571601175</v>
      </c>
      <c r="O2085">
        <v>2.988570033725035E-2</v>
      </c>
      <c r="P2085">
        <v>1.8390300216244208E-2</v>
      </c>
      <c r="Q2085">
        <v>0</v>
      </c>
      <c r="R2085">
        <v>6.1368449722740805E-3</v>
      </c>
      <c r="S2085">
        <v>0.1572783463034737</v>
      </c>
      <c r="T2085">
        <v>1.18211277661987</v>
      </c>
      <c r="U2085">
        <v>0</v>
      </c>
      <c r="V2085">
        <v>1.5667043942046842E-2</v>
      </c>
      <c r="W2085">
        <v>6.1381265513039802E-2</v>
      </c>
      <c r="X2085">
        <v>-1.5038392588750817E-2</v>
      </c>
      <c r="Y2085">
        <v>2.5270435278139484E-2</v>
      </c>
    </row>
    <row r="2086" spans="1:25" x14ac:dyDescent="0.25">
      <c r="A2086" s="879"/>
      <c r="B2086" s="1133">
        <v>1836</v>
      </c>
      <c r="C2086" s="883">
        <v>0.99935868510517667</v>
      </c>
      <c r="D2086" s="883">
        <v>0.99726083853240244</v>
      </c>
      <c r="E2086" s="883">
        <v>0.99581108588303335</v>
      </c>
      <c r="F2086" s="883">
        <v>1.031738292306063</v>
      </c>
      <c r="G2086" s="883">
        <v>1.0330555332210516</v>
      </c>
      <c r="H2086" s="883">
        <v>0.98672173114454886</v>
      </c>
      <c r="I2086" s="883">
        <v>0.97324827660422697</v>
      </c>
      <c r="K2086">
        <v>1.6438877581575682</v>
      </c>
      <c r="L2086">
        <v>0</v>
      </c>
      <c r="M2086">
        <v>6.3601418634262373E-3</v>
      </c>
      <c r="N2086">
        <v>0.11784369229992038</v>
      </c>
      <c r="O2086">
        <v>3.0904898092452643E-2</v>
      </c>
      <c r="P2086">
        <v>1.8707389564232502E-2</v>
      </c>
      <c r="Q2086">
        <v>0</v>
      </c>
      <c r="R2086">
        <v>6.3601418634262373E-3</v>
      </c>
      <c r="S2086">
        <v>0.1635658411151136</v>
      </c>
      <c r="T2086">
        <v>1.2236750300466221</v>
      </c>
      <c r="U2086">
        <v>0</v>
      </c>
      <c r="V2086">
        <v>1.5857410081690473E-2</v>
      </c>
      <c r="W2086">
        <v>6.2154017851245198E-2</v>
      </c>
      <c r="X2086">
        <v>-1.5010453024247751E-2</v>
      </c>
      <c r="Y2086">
        <v>2.6189932130539082E-2</v>
      </c>
    </row>
    <row r="2087" spans="1:25" x14ac:dyDescent="0.25">
      <c r="A2087" s="879"/>
      <c r="B2087" s="1133">
        <v>1837</v>
      </c>
      <c r="C2087" s="883">
        <v>1.0056872561132488</v>
      </c>
      <c r="D2087" s="883">
        <v>0.99454725972588409</v>
      </c>
      <c r="E2087" s="883">
        <v>1.0039433402699636</v>
      </c>
      <c r="F2087" s="883">
        <v>0.98646602560293661</v>
      </c>
      <c r="G2087" s="883">
        <v>0.96745418670140038</v>
      </c>
      <c r="H2087" s="883">
        <v>1.0381445842963828</v>
      </c>
      <c r="I2087" s="883">
        <v>1.0012447972571394</v>
      </c>
      <c r="K2087">
        <v>1.6047253439674414</v>
      </c>
      <c r="L2087">
        <v>0</v>
      </c>
      <c r="M2087">
        <v>6.6104515344717462E-3</v>
      </c>
      <c r="N2087">
        <v>0.12396611705597631</v>
      </c>
      <c r="O2087">
        <v>3.0737014472815391E-2</v>
      </c>
      <c r="P2087">
        <v>1.8189895387222141E-2</v>
      </c>
      <c r="Q2087">
        <v>0</v>
      </c>
      <c r="R2087">
        <v>6.6104515344717462E-3</v>
      </c>
      <c r="S2087">
        <v>0.17022310858414452</v>
      </c>
      <c r="T2087">
        <v>1.169831556814287</v>
      </c>
      <c r="U2087">
        <v>0</v>
      </c>
      <c r="V2087">
        <v>1.5823082171892287E-2</v>
      </c>
      <c r="W2087">
        <v>6.5119606597668939E-2</v>
      </c>
      <c r="X2087">
        <v>-1.6385699919009997E-2</v>
      </c>
      <c r="Y2087">
        <v>2.7220662802443923E-2</v>
      </c>
    </row>
    <row r="2088" spans="1:25" x14ac:dyDescent="0.25">
      <c r="A2088" s="879"/>
      <c r="B2088" s="1133">
        <v>1838</v>
      </c>
      <c r="C2088" s="883">
        <v>0.97469580105917974</v>
      </c>
      <c r="D2088" s="883">
        <v>0.99977244203244942</v>
      </c>
      <c r="E2088" s="883">
        <v>0.96534018800245192</v>
      </c>
      <c r="F2088" s="883">
        <v>1.0077174596568721</v>
      </c>
      <c r="G2088" s="883">
        <v>1.0214686111143574</v>
      </c>
      <c r="H2088" s="883">
        <v>1.0029389769245218</v>
      </c>
      <c r="I2088" s="883">
        <v>1.0364520326180784</v>
      </c>
      <c r="K2088">
        <v>1.6381318442275457</v>
      </c>
      <c r="L2088">
        <v>0</v>
      </c>
      <c r="M2088">
        <v>6.7990334694076312E-3</v>
      </c>
      <c r="N2088">
        <v>0.12040749133310648</v>
      </c>
      <c r="O2088">
        <v>3.1679855626114771E-2</v>
      </c>
      <c r="P2088">
        <v>1.8119624908262862E-2</v>
      </c>
      <c r="Q2088">
        <v>0</v>
      </c>
      <c r="R2088">
        <v>6.7990334694076312E-3</v>
      </c>
      <c r="S2088">
        <v>0.1795342903701512</v>
      </c>
      <c r="T2088">
        <v>1.1957588258489986</v>
      </c>
      <c r="U2088">
        <v>0</v>
      </c>
      <c r="V2088">
        <v>1.5995441965709827E-2</v>
      </c>
      <c r="W2088">
        <v>6.4482360435069802E-2</v>
      </c>
      <c r="X2088">
        <v>-1.5843255904045211E-2</v>
      </c>
      <c r="Y2088">
        <v>2.7997209644176773E-2</v>
      </c>
    </row>
    <row r="2089" spans="1:25" x14ac:dyDescent="0.25">
      <c r="A2089" s="879"/>
      <c r="B2089" s="1133">
        <v>1839</v>
      </c>
      <c r="C2089" s="883">
        <v>1.006531123296307</v>
      </c>
      <c r="D2089" s="883">
        <v>0.99918178748149022</v>
      </c>
      <c r="E2089" s="883">
        <v>0.96616855085315967</v>
      </c>
      <c r="F2089" s="883">
        <v>0.96895593319601403</v>
      </c>
      <c r="G2089" s="883">
        <v>0.99512025377300184</v>
      </c>
      <c r="H2089" s="883">
        <v>0.97832043257284085</v>
      </c>
      <c r="I2089" s="883">
        <v>0.96558801893881707</v>
      </c>
      <c r="K2089">
        <v>1.5604640082015429</v>
      </c>
      <c r="L2089">
        <v>0</v>
      </c>
      <c r="M2089">
        <v>6.4194390132314367E-3</v>
      </c>
      <c r="N2089">
        <v>0.11382501853508768</v>
      </c>
      <c r="O2089">
        <v>3.0684496236632022E-2</v>
      </c>
      <c r="P2089">
        <v>1.7282524201399817E-2</v>
      </c>
      <c r="Q2089">
        <v>0</v>
      </c>
      <c r="R2089">
        <v>6.4194390132314367E-3</v>
      </c>
      <c r="S2089">
        <v>0.16060621714365558</v>
      </c>
      <c r="T2089">
        <v>1.1497493120192019</v>
      </c>
      <c r="U2089">
        <v>0</v>
      </c>
      <c r="V2089">
        <v>1.5818537422044476E-2</v>
      </c>
      <c r="W2089">
        <v>6.093179385268311E-2</v>
      </c>
      <c r="X2089">
        <v>-1.4867998448099943E-2</v>
      </c>
      <c r="Y2089">
        <v>2.6434107238937677E-2</v>
      </c>
    </row>
    <row r="2090" spans="1:25" x14ac:dyDescent="0.25">
      <c r="A2090" s="879"/>
      <c r="B2090" s="1133">
        <v>1840</v>
      </c>
      <c r="C2090" s="883">
        <v>0.98617744733334411</v>
      </c>
      <c r="D2090" s="883">
        <v>1.011909280858474</v>
      </c>
      <c r="E2090" s="883">
        <v>0.99455914706047965</v>
      </c>
      <c r="F2090" s="883">
        <v>1.014282913149128</v>
      </c>
      <c r="G2090" s="883">
        <v>1.0136780543721982</v>
      </c>
      <c r="H2090" s="883">
        <v>0.99747916638851519</v>
      </c>
      <c r="I2090" s="883">
        <v>1.004392937532002</v>
      </c>
      <c r="K2090">
        <v>1.6344400222521578</v>
      </c>
      <c r="L2090">
        <v>0</v>
      </c>
      <c r="M2090">
        <v>6.4802689869271459E-3</v>
      </c>
      <c r="N2090">
        <v>0.11984689534781588</v>
      </c>
      <c r="O2090">
        <v>3.1136892207665745E-2</v>
      </c>
      <c r="P2090">
        <v>1.852158907728246E-2</v>
      </c>
      <c r="Q2090">
        <v>0</v>
      </c>
      <c r="R2090">
        <v>6.4802689869271459E-3</v>
      </c>
      <c r="S2090">
        <v>0.17154215555353167</v>
      </c>
      <c r="T2090">
        <v>1.2029960117354905</v>
      </c>
      <c r="U2090">
        <v>0</v>
      </c>
      <c r="V2090">
        <v>1.5930323217664671E-2</v>
      </c>
      <c r="W2090">
        <v>6.3249953619974777E-2</v>
      </c>
      <c r="X2090">
        <v>-1.5468392750553997E-2</v>
      </c>
      <c r="Y2090">
        <v>2.6684594243284919E-2</v>
      </c>
    </row>
    <row r="2091" spans="1:25" x14ac:dyDescent="0.25">
      <c r="A2091" s="879"/>
      <c r="B2091" s="1133">
        <v>1841</v>
      </c>
      <c r="C2091" s="883">
        <v>0.97980047772418166</v>
      </c>
      <c r="D2091" s="883">
        <v>0.99825838759793073</v>
      </c>
      <c r="E2091" s="883">
        <v>1.0157047910785137</v>
      </c>
      <c r="F2091" s="883">
        <v>1.0147838008753902</v>
      </c>
      <c r="G2091" s="883">
        <v>0.99939527684070428</v>
      </c>
      <c r="H2091" s="883">
        <v>0.99589968227624648</v>
      </c>
      <c r="I2091" s="883">
        <v>1.0198875435795116</v>
      </c>
      <c r="K2091">
        <v>1.642455500595779</v>
      </c>
      <c r="L2091">
        <v>0</v>
      </c>
      <c r="M2091">
        <v>6.4316983260683854E-3</v>
      </c>
      <c r="N2091">
        <v>0.12273243333335246</v>
      </c>
      <c r="O2091">
        <v>3.1491565167450698E-2</v>
      </c>
      <c r="P2091">
        <v>1.8874761884571541E-2</v>
      </c>
      <c r="Q2091">
        <v>0</v>
      </c>
      <c r="R2091">
        <v>6.4316983260683854E-3</v>
      </c>
      <c r="S2091">
        <v>0.17539186447011421</v>
      </c>
      <c r="T2091">
        <v>1.2031917700090915</v>
      </c>
      <c r="U2091">
        <v>0</v>
      </c>
      <c r="V2091">
        <v>1.5966302100560742E-2</v>
      </c>
      <c r="W2091">
        <v>6.4097560435429066E-2</v>
      </c>
      <c r="X2091">
        <v>-1.5775345711914818E-2</v>
      </c>
      <c r="Y2091">
        <v>2.6484588907123897E-2</v>
      </c>
    </row>
    <row r="2092" spans="1:25" x14ac:dyDescent="0.25">
      <c r="A2092" s="879"/>
      <c r="B2092" s="1133">
        <v>1842</v>
      </c>
      <c r="C2092" s="883">
        <v>0.9884926644186135</v>
      </c>
      <c r="D2092" s="883">
        <v>1.001859854506556</v>
      </c>
      <c r="E2092" s="883">
        <v>0.99374485123012213</v>
      </c>
      <c r="F2092" s="883">
        <v>1.0117016426683947</v>
      </c>
      <c r="G2092" s="883">
        <v>0.97215286958736224</v>
      </c>
      <c r="H2092" s="883">
        <v>1.0051002744113158</v>
      </c>
      <c r="I2092" s="883">
        <v>1.0054057727644985</v>
      </c>
      <c r="K2092">
        <v>1.6334657907716901</v>
      </c>
      <c r="L2092">
        <v>0</v>
      </c>
      <c r="M2092">
        <v>6.548194793932643E-3</v>
      </c>
      <c r="N2092">
        <v>0.12095705399255298</v>
      </c>
      <c r="O2092">
        <v>3.1188916360945975E-2</v>
      </c>
      <c r="P2092">
        <v>1.8473658922055953E-2</v>
      </c>
      <c r="Q2092">
        <v>0</v>
      </c>
      <c r="R2092">
        <v>6.548194793932643E-3</v>
      </c>
      <c r="S2092">
        <v>0.17186228983755267</v>
      </c>
      <c r="T2092">
        <v>1.1999498132971544</v>
      </c>
      <c r="U2092">
        <v>0</v>
      </c>
      <c r="V2092">
        <v>1.5917375618605845E-2</v>
      </c>
      <c r="W2092">
        <v>6.3861729494968864E-2</v>
      </c>
      <c r="X2092">
        <v>-1.5709347378337908E-2</v>
      </c>
      <c r="Y2092">
        <v>2.696430062619061E-2</v>
      </c>
    </row>
    <row r="2093" spans="1:25" x14ac:dyDescent="0.25">
      <c r="A2093" s="879"/>
      <c r="B2093" s="1133">
        <v>1843</v>
      </c>
      <c r="C2093" s="883">
        <v>0.99485348145088803</v>
      </c>
      <c r="D2093" s="883">
        <v>0.98970234748903452</v>
      </c>
      <c r="E2093" s="883">
        <v>0.98135628819085619</v>
      </c>
      <c r="F2093" s="883">
        <v>0.95798130133366466</v>
      </c>
      <c r="G2093" s="883">
        <v>1.0107661968953658</v>
      </c>
      <c r="H2093" s="883">
        <v>0.98084063650767128</v>
      </c>
      <c r="I2093" s="883">
        <v>1.0377940240076919</v>
      </c>
      <c r="K2093">
        <v>1.5663544735600141</v>
      </c>
      <c r="L2093">
        <v>0</v>
      </c>
      <c r="M2093">
        <v>6.4533355986874123E-3</v>
      </c>
      <c r="N2093">
        <v>0.1170349870424762</v>
      </c>
      <c r="O2093">
        <v>3.1151404379594638E-2</v>
      </c>
      <c r="P2093">
        <v>1.7501848864501752E-2</v>
      </c>
      <c r="Q2093">
        <v>0</v>
      </c>
      <c r="R2093">
        <v>6.4533355986874123E-3</v>
      </c>
      <c r="S2093">
        <v>0.17490884496792056</v>
      </c>
      <c r="T2093">
        <v>1.1364548990575518</v>
      </c>
      <c r="U2093">
        <v>0</v>
      </c>
      <c r="V2093">
        <v>1.5882113665016202E-2</v>
      </c>
      <c r="W2093">
        <v>6.2174292120568665E-2</v>
      </c>
      <c r="X2093">
        <v>-1.5327603882095038E-2</v>
      </c>
      <c r="Y2093">
        <v>2.6573687344478094E-2</v>
      </c>
    </row>
    <row r="2094" spans="1:25" x14ac:dyDescent="0.25">
      <c r="A2094" s="879"/>
      <c r="B2094" s="1133">
        <v>1844</v>
      </c>
      <c r="C2094" s="883">
        <v>0.99918542763499274</v>
      </c>
      <c r="D2094" s="883">
        <v>1.0032649787384953</v>
      </c>
      <c r="E2094" s="883">
        <v>1.0354270338606089</v>
      </c>
      <c r="F2094" s="883">
        <v>1.0104986428169449</v>
      </c>
      <c r="G2094" s="883">
        <v>0.99857823436412951</v>
      </c>
      <c r="H2094" s="883">
        <v>0.98011925102763497</v>
      </c>
      <c r="I2094" s="883">
        <v>0.99852366326778053</v>
      </c>
      <c r="K2094">
        <v>1.6222833580681653</v>
      </c>
      <c r="L2094">
        <v>0</v>
      </c>
      <c r="M2094">
        <v>6.0870729097220553E-3</v>
      </c>
      <c r="N2094">
        <v>0.1195934722908616</v>
      </c>
      <c r="O2094">
        <v>3.0800633510888596E-2</v>
      </c>
      <c r="P2094">
        <v>1.8967037629538028E-2</v>
      </c>
      <c r="Q2094">
        <v>0</v>
      </c>
      <c r="R2094">
        <v>6.0870729097220553E-3</v>
      </c>
      <c r="S2094">
        <v>0.1674442588531094</v>
      </c>
      <c r="T2094">
        <v>1.1977428738132585</v>
      </c>
      <c r="U2094">
        <v>0</v>
      </c>
      <c r="V2094">
        <v>1.5858355993237538E-2</v>
      </c>
      <c r="W2094">
        <v>6.1855739947505865E-2</v>
      </c>
      <c r="X2094">
        <v>-1.504449675388291E-2</v>
      </c>
      <c r="Y2094">
        <v>2.5065482783647116E-2</v>
      </c>
    </row>
    <row r="2095" spans="1:25" x14ac:dyDescent="0.25">
      <c r="A2095" s="879"/>
      <c r="B2095" s="1133">
        <v>1845</v>
      </c>
      <c r="C2095" s="883">
        <v>1.0239835501859686</v>
      </c>
      <c r="D2095" s="883">
        <v>0.97239901754133362</v>
      </c>
      <c r="E2095" s="883">
        <v>0.97945701733581614</v>
      </c>
      <c r="F2095" s="883">
        <v>0.96483828439961528</v>
      </c>
      <c r="G2095" s="883">
        <v>1.0193817954790017</v>
      </c>
      <c r="H2095" s="883">
        <v>1.0197180491168356</v>
      </c>
      <c r="I2095" s="883">
        <v>0.99925185823201623</v>
      </c>
      <c r="K2095">
        <v>1.5679080976893953</v>
      </c>
      <c r="L2095">
        <v>0</v>
      </c>
      <c r="M2095">
        <v>6.5806913889311048E-3</v>
      </c>
      <c r="N2095">
        <v>0.11900883931058932</v>
      </c>
      <c r="O2095">
        <v>3.0480987361716071E-2</v>
      </c>
      <c r="P2095">
        <v>1.746446426303264E-2</v>
      </c>
      <c r="Q2095">
        <v>0</v>
      </c>
      <c r="R2095">
        <v>6.5806913889311048E-3</v>
      </c>
      <c r="S2095">
        <v>0.16601945690813089</v>
      </c>
      <c r="T2095">
        <v>1.1446235641268292</v>
      </c>
      <c r="U2095">
        <v>0</v>
      </c>
      <c r="V2095">
        <v>1.5726224673916055E-2</v>
      </c>
      <c r="W2095">
        <v>6.3283034484320627E-2</v>
      </c>
      <c r="X2095">
        <v>-1.579658925935647E-2</v>
      </c>
      <c r="Y2095">
        <v>2.7098115820215991E-2</v>
      </c>
    </row>
    <row r="2096" spans="1:25" x14ac:dyDescent="0.25">
      <c r="A2096" s="879"/>
      <c r="B2096" s="1133">
        <v>1846</v>
      </c>
      <c r="C2096" s="883">
        <v>1.0214613000165038</v>
      </c>
      <c r="D2096" s="883">
        <v>1.0097331377392456</v>
      </c>
      <c r="E2096" s="883">
        <v>1.0118272048057841</v>
      </c>
      <c r="F2096" s="883">
        <v>0.99142522432209435</v>
      </c>
      <c r="G2096" s="883">
        <v>0.99285265701462733</v>
      </c>
      <c r="H2096" s="883">
        <v>0.9665193788387495</v>
      </c>
      <c r="I2096" s="883">
        <v>1.0029249304261554</v>
      </c>
      <c r="K2096">
        <v>1.5864490920872178</v>
      </c>
      <c r="L2096">
        <v>0</v>
      </c>
      <c r="M2096">
        <v>5.9771779219128414E-3</v>
      </c>
      <c r="N2096">
        <v>0.11340640090342179</v>
      </c>
      <c r="O2096">
        <v>3.007275284993003E-2</v>
      </c>
      <c r="P2096">
        <v>1.8285668240237994E-2</v>
      </c>
      <c r="Q2096">
        <v>0</v>
      </c>
      <c r="R2096">
        <v>5.9771779219128414E-3</v>
      </c>
      <c r="S2096">
        <v>0.16365878185087102</v>
      </c>
      <c r="T2096">
        <v>1.1755675813229389</v>
      </c>
      <c r="U2096">
        <v>0</v>
      </c>
      <c r="V2096">
        <v>1.5739370845721197E-2</v>
      </c>
      <c r="W2096">
        <v>5.9340523343402077E-2</v>
      </c>
      <c r="X2096">
        <v>-1.4234942053733246E-2</v>
      </c>
      <c r="Y2096">
        <v>2.4612954784427425E-2</v>
      </c>
    </row>
    <row r="2097" spans="1:25" x14ac:dyDescent="0.25">
      <c r="A2097" s="879"/>
      <c r="B2097" s="1133">
        <v>1847</v>
      </c>
      <c r="C2097" s="883">
        <v>1.0059600673808229</v>
      </c>
      <c r="D2097" s="883">
        <v>0.9802586853347659</v>
      </c>
      <c r="E2097" s="883">
        <v>0.99971586024742254</v>
      </c>
      <c r="F2097" s="883">
        <v>0.99229799117086837</v>
      </c>
      <c r="G2097" s="883">
        <v>0.99957724330239084</v>
      </c>
      <c r="H2097" s="883">
        <v>0.97246055250812624</v>
      </c>
      <c r="I2097" s="883">
        <v>0.97469928029057284</v>
      </c>
      <c r="K2097">
        <v>1.5924850637920518</v>
      </c>
      <c r="L2097">
        <v>0</v>
      </c>
      <c r="M2097">
        <v>6.2536982441412448E-3</v>
      </c>
      <c r="N2097">
        <v>0.11654380832489587</v>
      </c>
      <c r="O2097">
        <v>3.0910694649112853E-2</v>
      </c>
      <c r="P2097">
        <v>1.8116450455491918E-2</v>
      </c>
      <c r="Q2097">
        <v>0</v>
      </c>
      <c r="R2097">
        <v>6.2536982441412448E-3</v>
      </c>
      <c r="S2097">
        <v>0.16209761069186951</v>
      </c>
      <c r="T2097">
        <v>1.1768255053078458</v>
      </c>
      <c r="U2097">
        <v>0</v>
      </c>
      <c r="V2097">
        <v>1.5821612079411383E-2</v>
      </c>
      <c r="W2097">
        <v>6.1349227664735065E-2</v>
      </c>
      <c r="X2097">
        <v>-1.4931461633892166E-2</v>
      </c>
      <c r="Y2097">
        <v>2.5751616252581423E-2</v>
      </c>
    </row>
    <row r="2098" spans="1:25" x14ac:dyDescent="0.25">
      <c r="A2098" s="879"/>
      <c r="B2098" s="1133">
        <v>1848</v>
      </c>
      <c r="C2098" s="883">
        <v>1.0045115212378144</v>
      </c>
      <c r="D2098" s="883">
        <v>1.0138172381130228</v>
      </c>
      <c r="E2098" s="883">
        <v>1.0072255024352774</v>
      </c>
      <c r="F2098" s="883">
        <v>1.001570344620089</v>
      </c>
      <c r="G2098" s="883">
        <v>0.95783481022929617</v>
      </c>
      <c r="H2098" s="883">
        <v>1.031602794911286</v>
      </c>
      <c r="I2098" s="883">
        <v>1.0311450994335145</v>
      </c>
      <c r="K2098">
        <v>1.6250768053654261</v>
      </c>
      <c r="L2098">
        <v>0</v>
      </c>
      <c r="M2098">
        <v>6.5017659448660297E-3</v>
      </c>
      <c r="N2098">
        <v>0.12252199833580597</v>
      </c>
      <c r="O2098">
        <v>3.0534858376826724E-2</v>
      </c>
      <c r="P2098">
        <v>1.8538212385471268E-2</v>
      </c>
      <c r="Q2098">
        <v>0</v>
      </c>
      <c r="R2098">
        <v>6.5017659448660297E-3</v>
      </c>
      <c r="S2098">
        <v>0.17491031237456181</v>
      </c>
      <c r="T2098">
        <v>1.1876824704928282</v>
      </c>
      <c r="U2098">
        <v>0</v>
      </c>
      <c r="V2098">
        <v>1.582942696657056E-2</v>
      </c>
      <c r="W2098">
        <v>6.4256422238386859E-2</v>
      </c>
      <c r="X2098">
        <v>-1.5970010694787162E-2</v>
      </c>
      <c r="Y2098">
        <v>2.6773114889761359E-2</v>
      </c>
    </row>
    <row r="2099" spans="1:25" x14ac:dyDescent="0.25">
      <c r="A2099" s="879"/>
      <c r="B2099" s="1133">
        <v>1849</v>
      </c>
      <c r="C2099" s="883">
        <v>1.003218313492521</v>
      </c>
      <c r="D2099" s="883">
        <v>0.99210904663773558</v>
      </c>
      <c r="E2099" s="883">
        <v>1.0255520214660099</v>
      </c>
      <c r="F2099" s="883">
        <v>1.0089384822678769</v>
      </c>
      <c r="G2099" s="883">
        <v>0.99818932740856003</v>
      </c>
      <c r="H2099" s="883">
        <v>1.0047423369499922</v>
      </c>
      <c r="I2099" s="883">
        <v>0.99132673758455736</v>
      </c>
      <c r="K2099">
        <v>1.6243135848154886</v>
      </c>
      <c r="L2099">
        <v>0</v>
      </c>
      <c r="M2099">
        <v>6.3002828141531016E-3</v>
      </c>
      <c r="N2099">
        <v>0.12198874353737217</v>
      </c>
      <c r="O2099">
        <v>3.0823609672956387E-2</v>
      </c>
      <c r="P2099">
        <v>1.8801369152700195E-2</v>
      </c>
      <c r="Q2099">
        <v>0</v>
      </c>
      <c r="R2099">
        <v>6.3002828141531016E-3</v>
      </c>
      <c r="S2099">
        <v>0.16708165479321305</v>
      </c>
      <c r="T2099">
        <v>1.1960774454023386</v>
      </c>
      <c r="U2099">
        <v>0</v>
      </c>
      <c r="V2099">
        <v>1.5836422872551242E-2</v>
      </c>
      <c r="W2099">
        <v>6.3400959386142888E-2</v>
      </c>
      <c r="X2099">
        <v>-1.5640063221932631E-2</v>
      </c>
      <c r="Y2099">
        <v>2.5943443220145891E-2</v>
      </c>
    </row>
    <row r="2100" spans="1:25" x14ac:dyDescent="0.25">
      <c r="A2100" s="879"/>
      <c r="B2100" s="1133">
        <v>1850</v>
      </c>
      <c r="C2100" s="883">
        <v>0.96961692870447058</v>
      </c>
      <c r="D2100" s="883">
        <v>1.0243773756604035</v>
      </c>
      <c r="E2100" s="883">
        <v>0.99220586812024936</v>
      </c>
      <c r="F2100" s="883">
        <v>1.0393418189859571</v>
      </c>
      <c r="G2100" s="883">
        <v>0.99681074504489098</v>
      </c>
      <c r="H2100" s="883">
        <v>0.98944858448991824</v>
      </c>
      <c r="I2100" s="883">
        <v>1.0114873041821695</v>
      </c>
      <c r="K2100">
        <v>1.6693341965489057</v>
      </c>
      <c r="L2100">
        <v>0</v>
      </c>
      <c r="M2100">
        <v>6.5156788568726696E-3</v>
      </c>
      <c r="N2100">
        <v>0.12008218597387568</v>
      </c>
      <c r="O2100">
        <v>3.1515944931220452E-2</v>
      </c>
      <c r="P2100">
        <v>1.8932683657787018E-2</v>
      </c>
      <c r="Q2100">
        <v>0</v>
      </c>
      <c r="R2100">
        <v>6.5156788568726696E-3</v>
      </c>
      <c r="S2100">
        <v>0.17509652516132043</v>
      </c>
      <c r="T2100">
        <v>1.2327627971840815</v>
      </c>
      <c r="U2100">
        <v>0</v>
      </c>
      <c r="V2100">
        <v>1.602473902665786E-2</v>
      </c>
      <c r="W2100">
        <v>6.3448440290853864E-2</v>
      </c>
      <c r="X2100">
        <v>-1.5359525461889156E-2</v>
      </c>
      <c r="Y2100">
        <v>2.6830405784998696E-2</v>
      </c>
    </row>
    <row r="2101" spans="1:25" x14ac:dyDescent="0.25">
      <c r="A2101" s="879"/>
      <c r="B2101" s="1133">
        <v>1851</v>
      </c>
      <c r="C2101" s="883">
        <v>0.9992624664945613</v>
      </c>
      <c r="D2101" s="883">
        <v>0.9951993184129253</v>
      </c>
      <c r="E2101" s="883">
        <v>1.0263092584425815</v>
      </c>
      <c r="F2101" s="883">
        <v>0.99975415110251109</v>
      </c>
      <c r="G2101" s="883">
        <v>1.0340948434011843</v>
      </c>
      <c r="H2101" s="883">
        <v>1.0202454142207216</v>
      </c>
      <c r="I2101" s="883">
        <v>0.99299434245240747</v>
      </c>
      <c r="K2101">
        <v>1.6185867450195148</v>
      </c>
      <c r="L2101">
        <v>0</v>
      </c>
      <c r="M2101">
        <v>6.4096617820355532E-3</v>
      </c>
      <c r="N2101">
        <v>0.12424562314735041</v>
      </c>
      <c r="O2101">
        <v>3.0906457260216666E-2</v>
      </c>
      <c r="P2101">
        <v>1.8688228644695989E-2</v>
      </c>
      <c r="Q2101">
        <v>0</v>
      </c>
      <c r="R2101">
        <v>6.4096617820355532E-3</v>
      </c>
      <c r="S2101">
        <v>0.16888917782572618</v>
      </c>
      <c r="T2101">
        <v>1.1851756115534227</v>
      </c>
      <c r="U2101">
        <v>0</v>
      </c>
      <c r="V2101">
        <v>1.5857935353575804E-2</v>
      </c>
      <c r="W2101">
        <v>6.4549898812073278E-2</v>
      </c>
      <c r="X2101">
        <v>-1.6120033918701468E-2</v>
      </c>
      <c r="Y2101">
        <v>2.6393846341155311E-2</v>
      </c>
    </row>
    <row r="2102" spans="1:25" x14ac:dyDescent="0.25">
      <c r="A2102" s="879"/>
      <c r="B2102" s="1133">
        <v>1852</v>
      </c>
      <c r="C2102" s="883">
        <v>0.97974269394812841</v>
      </c>
      <c r="D2102" s="883">
        <v>0.99616790734349048</v>
      </c>
      <c r="E2102" s="883">
        <v>1.0037255752602345</v>
      </c>
      <c r="F2102" s="883">
        <v>0.98897021157672316</v>
      </c>
      <c r="G2102" s="883">
        <v>0.99614734976199704</v>
      </c>
      <c r="H2102" s="883">
        <v>0.99631227507120657</v>
      </c>
      <c r="I2102" s="883">
        <v>0.99836188744645438</v>
      </c>
      <c r="K2102">
        <v>1.6072869888489913</v>
      </c>
      <c r="L2102">
        <v>0</v>
      </c>
      <c r="M2102">
        <v>6.508588887272234E-3</v>
      </c>
      <c r="N2102">
        <v>0.12201652240209744</v>
      </c>
      <c r="O2102">
        <v>3.1530611249911612E-2</v>
      </c>
      <c r="P2102">
        <v>1.8248995945553497E-2</v>
      </c>
      <c r="Q2102">
        <v>0</v>
      </c>
      <c r="R2102">
        <v>6.508588887272234E-3</v>
      </c>
      <c r="S2102">
        <v>0.1717330803551296</v>
      </c>
      <c r="T2102">
        <v>1.1728052229399681</v>
      </c>
      <c r="U2102">
        <v>0</v>
      </c>
      <c r="V2102">
        <v>1.5966630258019029E-2</v>
      </c>
      <c r="W2102">
        <v>6.410240271165292E-2</v>
      </c>
      <c r="X2102">
        <v>-1.5917687565491518E-2</v>
      </c>
      <c r="Y2102">
        <v>2.680121055215165E-2</v>
      </c>
    </row>
    <row r="2103" spans="1:25" x14ac:dyDescent="0.25">
      <c r="A2103" s="879"/>
      <c r="B2103" s="1133">
        <v>1853</v>
      </c>
      <c r="C2103" s="883">
        <v>0.99818345876066317</v>
      </c>
      <c r="D2103" s="883">
        <v>0.96571661132017383</v>
      </c>
      <c r="E2103" s="883">
        <v>0.96532770802497669</v>
      </c>
      <c r="F2103" s="883">
        <v>1.0026877952728559</v>
      </c>
      <c r="G2103" s="883">
        <v>0.97687241468699182</v>
      </c>
      <c r="H2103" s="883">
        <v>1.0369377303847811</v>
      </c>
      <c r="I2103" s="883">
        <v>1.0166262758808369</v>
      </c>
      <c r="K2103">
        <v>1.6311045834970446</v>
      </c>
      <c r="L2103">
        <v>0</v>
      </c>
      <c r="M2103">
        <v>6.9712252178839619E-3</v>
      </c>
      <c r="N2103">
        <v>0.12345463287566616</v>
      </c>
      <c r="O2103">
        <v>3.1366253512642737E-2</v>
      </c>
      <c r="P2103">
        <v>1.7972632111936768E-2</v>
      </c>
      <c r="Q2103">
        <v>0</v>
      </c>
      <c r="R2103">
        <v>6.9712252178839619E-3</v>
      </c>
      <c r="S2103">
        <v>0.17436799688046792</v>
      </c>
      <c r="T2103">
        <v>1.189790854115186</v>
      </c>
      <c r="U2103">
        <v>0</v>
      </c>
      <c r="V2103">
        <v>1.5863832754516121E-2</v>
      </c>
      <c r="W2103">
        <v>6.611462534897744E-2</v>
      </c>
      <c r="X2103">
        <v>-1.6532508717762486E-2</v>
      </c>
      <c r="Y2103">
        <v>2.8706264615413615E-2</v>
      </c>
    </row>
    <row r="2104" spans="1:25" x14ac:dyDescent="0.25">
      <c r="A2104" s="879"/>
      <c r="B2104" s="1133">
        <v>1854</v>
      </c>
      <c r="C2104" s="883">
        <v>1.013024764115118</v>
      </c>
      <c r="D2104" s="883">
        <v>0.99927866031612966</v>
      </c>
      <c r="E2104" s="883">
        <v>0.97702188419464908</v>
      </c>
      <c r="F2104" s="883">
        <v>1.0004819094177382</v>
      </c>
      <c r="G2104" s="883">
        <v>0.96615021864072059</v>
      </c>
      <c r="H2104" s="883">
        <v>0.98068912705585065</v>
      </c>
      <c r="I2104" s="883">
        <v>1.0051750664021006</v>
      </c>
      <c r="K2104">
        <v>1.6037934837811361</v>
      </c>
      <c r="L2104">
        <v>0</v>
      </c>
      <c r="M2104">
        <v>6.3333128750612264E-3</v>
      </c>
      <c r="N2104">
        <v>0.11412199265785926</v>
      </c>
      <c r="O2104">
        <v>3.0478393874230996E-2</v>
      </c>
      <c r="P2104">
        <v>1.7991818764148942E-2</v>
      </c>
      <c r="Q2104">
        <v>0</v>
      </c>
      <c r="R2104">
        <v>6.3333128750612264E-3</v>
      </c>
      <c r="S2104">
        <v>0.1662658078347892</v>
      </c>
      <c r="T2104">
        <v>1.1869544337015965</v>
      </c>
      <c r="U2104">
        <v>0</v>
      </c>
      <c r="V2104">
        <v>1.5783818435990749E-2</v>
      </c>
      <c r="W2104">
        <v>6.075854105098992E-2</v>
      </c>
      <c r="X2104">
        <v>-1.4640777670303152E-2</v>
      </c>
      <c r="Y2104">
        <v>2.6079455131833868E-2</v>
      </c>
    </row>
    <row r="2105" spans="1:25" x14ac:dyDescent="0.25">
      <c r="A2105" s="879"/>
      <c r="B2105" s="1133">
        <v>1855</v>
      </c>
      <c r="C2105" s="883">
        <v>1.0243348757916173</v>
      </c>
      <c r="D2105" s="883">
        <v>1.0224967288943125</v>
      </c>
      <c r="E2105" s="883">
        <v>0.98169818225855443</v>
      </c>
      <c r="F2105" s="883">
        <v>0.99217541484983418</v>
      </c>
      <c r="G2105" s="883">
        <v>1.0063557801064085</v>
      </c>
      <c r="H2105" s="883">
        <v>1.0064483578638406</v>
      </c>
      <c r="I2105" s="883">
        <v>1.0125613757922673</v>
      </c>
      <c r="K2105">
        <v>1.5947084848438722</v>
      </c>
      <c r="L2105">
        <v>0</v>
      </c>
      <c r="M2105">
        <v>6.3365435465366363E-3</v>
      </c>
      <c r="N2105">
        <v>0.11497519644843672</v>
      </c>
      <c r="O2105">
        <v>2.9862627545073236E-2</v>
      </c>
      <c r="P2105">
        <v>1.7933246526724535E-2</v>
      </c>
      <c r="Q2105">
        <v>0</v>
      </c>
      <c r="R2105">
        <v>6.3365435465366363E-3</v>
      </c>
      <c r="S2105">
        <v>0.16688986266326475</v>
      </c>
      <c r="T2105">
        <v>1.1770131041006584</v>
      </c>
      <c r="U2105">
        <v>0</v>
      </c>
      <c r="V2105">
        <v>1.5724398673361294E-2</v>
      </c>
      <c r="W2105">
        <v>6.1069589099264673E-2</v>
      </c>
      <c r="X2105">
        <v>-1.4852298674843639E-2</v>
      </c>
      <c r="Y2105">
        <v>2.6092758461931528E-2</v>
      </c>
    </row>
    <row r="2106" spans="1:25" x14ac:dyDescent="0.25">
      <c r="A2106" s="879"/>
      <c r="B2106" s="1133">
        <v>1856</v>
      </c>
      <c r="C2106" s="883">
        <v>0.99561637149532922</v>
      </c>
      <c r="D2106" s="883">
        <v>1.0080777601992075</v>
      </c>
      <c r="E2106" s="883">
        <v>0.97622731152332165</v>
      </c>
      <c r="F2106" s="883">
        <v>0.98536313467415448</v>
      </c>
      <c r="G2106" s="883">
        <v>0.97074200999745075</v>
      </c>
      <c r="H2106" s="883">
        <v>1.0394746250627673</v>
      </c>
      <c r="I2106" s="883">
        <v>1.0128089050686402</v>
      </c>
      <c r="K2106">
        <v>1.6069598921295194</v>
      </c>
      <c r="L2106">
        <v>0</v>
      </c>
      <c r="M2106">
        <v>6.8083877088378035E-3</v>
      </c>
      <c r="N2106">
        <v>0.12253793790363691</v>
      </c>
      <c r="O2106">
        <v>3.0903373304836841E-2</v>
      </c>
      <c r="P2106">
        <v>1.7846125567392988E-2</v>
      </c>
      <c r="Q2106">
        <v>0</v>
      </c>
      <c r="R2106">
        <v>6.8083877088378035E-3</v>
      </c>
      <c r="S2106">
        <v>0.17382547830362832</v>
      </c>
      <c r="T2106">
        <v>1.169032411844201</v>
      </c>
      <c r="U2106">
        <v>0</v>
      </c>
      <c r="V2106">
        <v>1.5877914752415113E-2</v>
      </c>
      <c r="W2106">
        <v>6.5265186178981166E-2</v>
      </c>
      <c r="X2106">
        <v>-1.6364264462731218E-2</v>
      </c>
      <c r="Y2106">
        <v>2.8035728737157675E-2</v>
      </c>
    </row>
    <row r="2107" spans="1:25" x14ac:dyDescent="0.25">
      <c r="A2107" s="879"/>
      <c r="B2107" s="1133">
        <v>1857</v>
      </c>
      <c r="C2107" s="883">
        <v>1.0275142048739567</v>
      </c>
      <c r="D2107" s="883">
        <v>0.97023687502713041</v>
      </c>
      <c r="E2107" s="883">
        <v>0.99650987863469087</v>
      </c>
      <c r="F2107" s="883">
        <v>0.98118333284065651</v>
      </c>
      <c r="G2107" s="883">
        <v>0.99388839267776219</v>
      </c>
      <c r="H2107" s="883">
        <v>1.0021391758780718</v>
      </c>
      <c r="I2107" s="883">
        <v>1.0118321887169865</v>
      </c>
      <c r="K2107">
        <v>1.585222757096417</v>
      </c>
      <c r="L2107">
        <v>0</v>
      </c>
      <c r="M2107">
        <v>6.3561690263659269E-3</v>
      </c>
      <c r="N2107">
        <v>0.11789210086643401</v>
      </c>
      <c r="O2107">
        <v>3.038960216602694E-2</v>
      </c>
      <c r="P2107">
        <v>1.7955472075167043E-2</v>
      </c>
      <c r="Q2107">
        <v>0</v>
      </c>
      <c r="R2107">
        <v>6.3561690263659269E-3</v>
      </c>
      <c r="S2107">
        <v>0.16655750238965594</v>
      </c>
      <c r="T2107">
        <v>1.1637024563810203</v>
      </c>
      <c r="U2107">
        <v>0</v>
      </c>
      <c r="V2107">
        <v>1.5707931019506131E-2</v>
      </c>
      <c r="W2107">
        <v>6.2157940695798317E-2</v>
      </c>
      <c r="X2107">
        <v>-1.5313821191855636E-2</v>
      </c>
      <c r="Y2107">
        <v>2.6173572694663364E-2</v>
      </c>
    </row>
    <row r="2108" spans="1:25" x14ac:dyDescent="0.25">
      <c r="A2108" s="879"/>
      <c r="B2108" s="1133">
        <v>1858</v>
      </c>
      <c r="C2108" s="883">
        <v>1.0237301333238247</v>
      </c>
      <c r="D2108" s="883">
        <v>1.0080304891933514</v>
      </c>
      <c r="E2108" s="883">
        <v>0.98639200611715905</v>
      </c>
      <c r="F2108" s="883">
        <v>1.0328222555845954</v>
      </c>
      <c r="G2108" s="883">
        <v>1.0420152206473392</v>
      </c>
      <c r="H2108" s="883">
        <v>1.0283270712392087</v>
      </c>
      <c r="I2108" s="883">
        <v>0.95788503623773735</v>
      </c>
      <c r="K2108">
        <v>1.6416339635186363</v>
      </c>
      <c r="L2108">
        <v>0</v>
      </c>
      <c r="M2108">
        <v>6.4927524608956013E-3</v>
      </c>
      <c r="N2108">
        <v>0.11863262988682183</v>
      </c>
      <c r="O2108">
        <v>3.0047383374875856E-2</v>
      </c>
      <c r="P2108">
        <v>1.8534307700286294E-2</v>
      </c>
      <c r="Q2108">
        <v>0</v>
      </c>
      <c r="R2108">
        <v>6.4927524608956013E-3</v>
      </c>
      <c r="S2108">
        <v>0.15929258589461834</v>
      </c>
      <c r="T2108">
        <v>1.2251418260679467</v>
      </c>
      <c r="U2108">
        <v>0</v>
      </c>
      <c r="V2108">
        <v>1.572754257581354E-2</v>
      </c>
      <c r="W2108">
        <v>6.2864575019489596E-2</v>
      </c>
      <c r="X2108">
        <v>-1.5342885968328267E-2</v>
      </c>
      <c r="Y2108">
        <v>2.6735998967111475E-2</v>
      </c>
    </row>
    <row r="2109" spans="1:25" x14ac:dyDescent="0.25">
      <c r="A2109" s="879"/>
      <c r="B2109" s="1133">
        <v>1859</v>
      </c>
      <c r="C2109" s="883">
        <v>0.95703154053169937</v>
      </c>
      <c r="D2109" s="883">
        <v>0.99805767172655846</v>
      </c>
      <c r="E2109" s="883">
        <v>1.0008483043679082</v>
      </c>
      <c r="F2109" s="883">
        <v>1.0147884798342357</v>
      </c>
      <c r="G2109" s="883">
        <v>1.0231721704593679</v>
      </c>
      <c r="H2109" s="883">
        <v>1.0128046619131177</v>
      </c>
      <c r="I2109" s="883">
        <v>0.97154545786462965</v>
      </c>
      <c r="K2109">
        <v>1.647030895759086</v>
      </c>
      <c r="L2109">
        <v>0</v>
      </c>
      <c r="M2109">
        <v>6.7846509019886883E-3</v>
      </c>
      <c r="N2109">
        <v>0.12665093159615731</v>
      </c>
      <c r="O2109">
        <v>3.2256978817566166E-2</v>
      </c>
      <c r="P2109">
        <v>1.8625556699888638E-2</v>
      </c>
      <c r="Q2109">
        <v>0</v>
      </c>
      <c r="R2109">
        <v>6.7846509019886883E-3</v>
      </c>
      <c r="S2109">
        <v>0.17203508154118524</v>
      </c>
      <c r="T2109">
        <v>1.2034769636744216</v>
      </c>
      <c r="U2109">
        <v>0</v>
      </c>
      <c r="V2109">
        <v>1.6098676774182908E-2</v>
      </c>
      <c r="W2109">
        <v>6.6632185696256119E-2</v>
      </c>
      <c r="X2109">
        <v>-1.6683463832118575E-2</v>
      </c>
      <c r="Y2109">
        <v>2.7937984791547136E-2</v>
      </c>
    </row>
    <row r="2110" spans="1:25" x14ac:dyDescent="0.25">
      <c r="A2110" s="879"/>
      <c r="B2110" s="1133">
        <v>1860</v>
      </c>
      <c r="C2110" s="883">
        <v>0.96755333682080669</v>
      </c>
      <c r="D2110" s="883">
        <v>1.0110329395549214</v>
      </c>
      <c r="E2110" s="883">
        <v>0.97247153047822932</v>
      </c>
      <c r="F2110" s="883">
        <v>0.98935078706153856</v>
      </c>
      <c r="G2110" s="883">
        <v>1.0120153121748783</v>
      </c>
      <c r="H2110" s="883">
        <v>0.97991177053400103</v>
      </c>
      <c r="I2110" s="883">
        <v>0.99639588115021871</v>
      </c>
      <c r="K2110">
        <v>1.6052593410137566</v>
      </c>
      <c r="L2110">
        <v>0</v>
      </c>
      <c r="M2110">
        <v>6.6174187720052123E-3</v>
      </c>
      <c r="N2110">
        <v>0.11843875701953492</v>
      </c>
      <c r="O2110">
        <v>3.1765485114447982E-2</v>
      </c>
      <c r="P2110">
        <v>1.7840373754842802E-2</v>
      </c>
      <c r="Q2110">
        <v>0</v>
      </c>
      <c r="R2110">
        <v>6.6174187720052123E-3</v>
      </c>
      <c r="S2110">
        <v>0.17239290528248252</v>
      </c>
      <c r="T2110">
        <v>1.1738328271856149</v>
      </c>
      <c r="U2110">
        <v>0</v>
      </c>
      <c r="V2110">
        <v>1.603673056078404E-2</v>
      </c>
      <c r="W2110">
        <v>6.3200928544002069E-2</v>
      </c>
      <c r="X2110">
        <v>-1.5498019094437609E-2</v>
      </c>
      <c r="Y2110">
        <v>2.7249352646484686E-2</v>
      </c>
    </row>
    <row r="2111" spans="1:25" x14ac:dyDescent="0.25">
      <c r="A2111" s="879"/>
      <c r="B2111" s="1133">
        <v>1861</v>
      </c>
      <c r="C2111" s="883">
        <v>0.99845877922318493</v>
      </c>
      <c r="D2111" s="883">
        <v>1.0213929512244904</v>
      </c>
      <c r="E2111" s="883">
        <v>0.99710967299053543</v>
      </c>
      <c r="F2111" s="883">
        <v>1.0224092627717449</v>
      </c>
      <c r="G2111" s="883">
        <v>1.0214829973074895</v>
      </c>
      <c r="H2111" s="883">
        <v>1.022015104487805</v>
      </c>
      <c r="I2111" s="883">
        <v>1.0027426482406412</v>
      </c>
      <c r="K2111">
        <v>1.6441350108688928</v>
      </c>
      <c r="L2111">
        <v>0</v>
      </c>
      <c r="M2111">
        <v>6.516267703605653E-3</v>
      </c>
      <c r="N2111">
        <v>0.12096902648822919</v>
      </c>
      <c r="O2111">
        <v>3.0637233733729754E-2</v>
      </c>
      <c r="P2111">
        <v>1.8670402266464371E-2</v>
      </c>
      <c r="Q2111">
        <v>0</v>
      </c>
      <c r="R2111">
        <v>6.516267703605653E-3</v>
      </c>
      <c r="S2111">
        <v>0.17047996713302149</v>
      </c>
      <c r="T2111">
        <v>1.212585802884621</v>
      </c>
      <c r="U2111">
        <v>0</v>
      </c>
      <c r="V2111">
        <v>1.5862326757807438E-2</v>
      </c>
      <c r="W2111">
        <v>6.3761211574723337E-2</v>
      </c>
      <c r="X2111">
        <v>-1.5663790520738789E-2</v>
      </c>
      <c r="Y2111">
        <v>2.6832830551034297E-2</v>
      </c>
    </row>
    <row r="2112" spans="1:25" x14ac:dyDescent="0.25">
      <c r="A2112" s="879"/>
      <c r="B2112" s="1133">
        <v>1862</v>
      </c>
      <c r="C2112" s="883">
        <v>0.99465546196617038</v>
      </c>
      <c r="D2112" s="883">
        <v>1.0039665180834476</v>
      </c>
      <c r="E2112" s="883">
        <v>1.0372912875668059</v>
      </c>
      <c r="F2112" s="883">
        <v>0.99942532725945954</v>
      </c>
      <c r="G2112" s="883">
        <v>1.0098181267153057</v>
      </c>
      <c r="H2112" s="883">
        <v>0.97897400607325957</v>
      </c>
      <c r="I2112" s="883">
        <v>0.98334221666438071</v>
      </c>
      <c r="K2112">
        <v>1.6078315040181062</v>
      </c>
      <c r="L2112">
        <v>0</v>
      </c>
      <c r="M2112">
        <v>6.0957724379194986E-3</v>
      </c>
      <c r="N2112">
        <v>0.12009473143652899</v>
      </c>
      <c r="O2112">
        <v>3.0930469833579558E-2</v>
      </c>
      <c r="P2112">
        <v>1.878673555547667E-2</v>
      </c>
      <c r="Q2112">
        <v>0</v>
      </c>
      <c r="R2112">
        <v>6.0957724379194986E-3</v>
      </c>
      <c r="S2112">
        <v>0.16557926374943327</v>
      </c>
      <c r="T2112">
        <v>1.1845833576024238</v>
      </c>
      <c r="U2112">
        <v>0</v>
      </c>
      <c r="V2112">
        <v>1.5883204608295412E-2</v>
      </c>
      <c r="W2112">
        <v>6.2058363672116208E-2</v>
      </c>
      <c r="X2112">
        <v>-1.5185928332053268E-2</v>
      </c>
      <c r="Y2112">
        <v>2.510130589230589E-2</v>
      </c>
    </row>
    <row r="2113" spans="1:25" x14ac:dyDescent="0.25">
      <c r="A2113" s="879"/>
      <c r="B2113" s="1133">
        <v>1863</v>
      </c>
      <c r="C2113" s="883">
        <v>0.97440061673250478</v>
      </c>
      <c r="D2113" s="883">
        <v>0.9794414536527648</v>
      </c>
      <c r="E2113" s="883">
        <v>1.0295556127066925</v>
      </c>
      <c r="F2113" s="883">
        <v>1.0267706731033615</v>
      </c>
      <c r="G2113" s="883">
        <v>0.98539699644750522</v>
      </c>
      <c r="H2113" s="883">
        <v>1.0383376462571632</v>
      </c>
      <c r="I2113" s="883">
        <v>1.0089255158203481</v>
      </c>
      <c r="K2113">
        <v>1.6708364351543377</v>
      </c>
      <c r="L2113">
        <v>0</v>
      </c>
      <c r="M2113">
        <v>6.7184607918773127E-3</v>
      </c>
      <c r="N2113">
        <v>0.13085796462785379</v>
      </c>
      <c r="O2113">
        <v>3.1894901220687742E-2</v>
      </c>
      <c r="P2113">
        <v>1.928669119462512E-2</v>
      </c>
      <c r="Q2113">
        <v>0</v>
      </c>
      <c r="R2113">
        <v>6.7184607918773127E-3</v>
      </c>
      <c r="S2113">
        <v>0.1772578517100514</v>
      </c>
      <c r="T2113">
        <v>1.2171412699470758</v>
      </c>
      <c r="U2113">
        <v>0</v>
      </c>
      <c r="V2113">
        <v>1.5997136353018516E-2</v>
      </c>
      <c r="W2113">
        <v>6.7876959385521476E-2</v>
      </c>
      <c r="X2113">
        <v>-1.7141764984005416E-2</v>
      </c>
      <c r="Y2113">
        <v>2.7665425699508899E-2</v>
      </c>
    </row>
    <row r="2114" spans="1:25" x14ac:dyDescent="0.25">
      <c r="A2114" s="879"/>
      <c r="B2114" s="1133">
        <v>1864</v>
      </c>
      <c r="C2114" s="883">
        <v>1.010630487724228</v>
      </c>
      <c r="D2114" s="883">
        <v>0.98710303473562278</v>
      </c>
      <c r="E2114" s="883">
        <v>0.98575731634075781</v>
      </c>
      <c r="F2114" s="883">
        <v>0.96444625972601294</v>
      </c>
      <c r="G2114" s="883">
        <v>0.97858110914646812</v>
      </c>
      <c r="H2114" s="883">
        <v>1.000294275109417</v>
      </c>
      <c r="I2114" s="883">
        <v>1.0198704747289498</v>
      </c>
      <c r="K2114">
        <v>1.5701062718924432</v>
      </c>
      <c r="L2114">
        <v>0</v>
      </c>
      <c r="M2114">
        <v>6.4613520343220158E-3</v>
      </c>
      <c r="N2114">
        <v>0.1179478246285335</v>
      </c>
      <c r="O2114">
        <v>3.0693857243137206E-2</v>
      </c>
      <c r="P2114">
        <v>1.7600428466440339E-2</v>
      </c>
      <c r="Q2114">
        <v>0</v>
      </c>
      <c r="R2114">
        <v>6.4613520343220158E-3</v>
      </c>
      <c r="S2114">
        <v>0.1703803189343783</v>
      </c>
      <c r="T2114">
        <v>1.1440450994985596</v>
      </c>
      <c r="U2114">
        <v>0</v>
      </c>
      <c r="V2114">
        <v>1.5796567780789115E-2</v>
      </c>
      <c r="W2114">
        <v>6.252150673835645E-2</v>
      </c>
      <c r="X2114">
        <v>-1.5486028997300947E-2</v>
      </c>
      <c r="Y2114">
        <v>2.6606697599549044E-2</v>
      </c>
    </row>
    <row r="2115" spans="1:25" x14ac:dyDescent="0.25">
      <c r="A2115" s="879"/>
      <c r="B2115" s="1133">
        <v>1865</v>
      </c>
      <c r="C2115" s="883">
        <v>1.0151830254046188</v>
      </c>
      <c r="D2115" s="883">
        <v>1.0443787535559612</v>
      </c>
      <c r="E2115" s="883">
        <v>1.0096422530464499</v>
      </c>
      <c r="F2115" s="883">
        <v>1.0023631794385282</v>
      </c>
      <c r="G2115" s="883">
        <v>1.0201862179228143</v>
      </c>
      <c r="H2115" s="883">
        <v>1.0153072592980814</v>
      </c>
      <c r="I2115" s="883">
        <v>1.015577956838343</v>
      </c>
      <c r="K2115">
        <v>1.6122141768289466</v>
      </c>
      <c r="L2115">
        <v>0</v>
      </c>
      <c r="M2115">
        <v>6.2354143555266913E-3</v>
      </c>
      <c r="N2115">
        <v>0.11792395145446075</v>
      </c>
      <c r="O2115">
        <v>2.9855017333147337E-2</v>
      </c>
      <c r="P2115">
        <v>1.8506497232463351E-2</v>
      </c>
      <c r="Q2115">
        <v>0</v>
      </c>
      <c r="R2115">
        <v>6.2354143555266913E-3</v>
      </c>
      <c r="S2115">
        <v>0.16922426025382181</v>
      </c>
      <c r="T2115">
        <v>1.188577697890792</v>
      </c>
      <c r="U2115">
        <v>0</v>
      </c>
      <c r="V2115">
        <v>1.5772377392071657E-2</v>
      </c>
      <c r="W2115">
        <v>6.1771056257981093E-2</v>
      </c>
      <c r="X2115">
        <v>-1.5093007439470009E-2</v>
      </c>
      <c r="Y2115">
        <v>2.5676326453677543E-2</v>
      </c>
    </row>
    <row r="2116" spans="1:25" x14ac:dyDescent="0.25">
      <c r="A2116" s="879"/>
      <c r="B2116" s="1133">
        <v>1866</v>
      </c>
      <c r="C2116" s="883">
        <v>0.95407286381444789</v>
      </c>
      <c r="D2116" s="883">
        <v>1.0033875241777535</v>
      </c>
      <c r="E2116" s="883">
        <v>0.99521137531571324</v>
      </c>
      <c r="F2116" s="883">
        <v>0.97529947980306486</v>
      </c>
      <c r="G2116" s="883">
        <v>1.0468483908829345</v>
      </c>
      <c r="H2116" s="883">
        <v>0.99626824416866899</v>
      </c>
      <c r="I2116" s="883">
        <v>1.0046116634622653</v>
      </c>
      <c r="K2116">
        <v>1.6015049860550412</v>
      </c>
      <c r="L2116">
        <v>0</v>
      </c>
      <c r="M2116">
        <v>6.7116490843230452E-3</v>
      </c>
      <c r="N2116">
        <v>0.12424610948613725</v>
      </c>
      <c r="O2116">
        <v>3.2293139147567519E-2</v>
      </c>
      <c r="P2116">
        <v>1.7994856676712568E-2</v>
      </c>
      <c r="Q2116">
        <v>0</v>
      </c>
      <c r="R2116">
        <v>6.7116490843230452E-3</v>
      </c>
      <c r="S2116">
        <v>0.17736874410684872</v>
      </c>
      <c r="T2116">
        <v>1.1567476524734124</v>
      </c>
      <c r="U2116">
        <v>0</v>
      </c>
      <c r="V2116">
        <v>1.6116341860367527E-2</v>
      </c>
      <c r="W2116">
        <v>6.5550385716313192E-2</v>
      </c>
      <c r="X2116">
        <v>-1.6449619712557133E-2</v>
      </c>
      <c r="Y2116">
        <v>2.7637376300239179E-2</v>
      </c>
    </row>
    <row r="2117" spans="1:25" x14ac:dyDescent="0.25">
      <c r="A2117" s="879"/>
      <c r="B2117" s="1133">
        <v>1867</v>
      </c>
      <c r="C2117" s="883">
        <v>1.0017675197738802</v>
      </c>
      <c r="D2117" s="883">
        <v>1.0347872646540688</v>
      </c>
      <c r="E2117" s="883">
        <v>0.99797266738870527</v>
      </c>
      <c r="F2117" s="883">
        <v>0.97349074039409356</v>
      </c>
      <c r="G2117" s="883">
        <v>0.96024166481066153</v>
      </c>
      <c r="H2117" s="883">
        <v>1.0065985891454705</v>
      </c>
      <c r="I2117" s="883">
        <v>1.0113888337154704</v>
      </c>
      <c r="K2117">
        <v>1.5801987828581254</v>
      </c>
      <c r="L2117">
        <v>0</v>
      </c>
      <c r="M2117">
        <v>6.3549768481633538E-3</v>
      </c>
      <c r="N2117">
        <v>0.11812575344047287</v>
      </c>
      <c r="O2117">
        <v>3.0376602411443795E-2</v>
      </c>
      <c r="P2117">
        <v>1.7905958365097216E-2</v>
      </c>
      <c r="Q2117">
        <v>0</v>
      </c>
      <c r="R2117">
        <v>6.3549768481633538E-3</v>
      </c>
      <c r="S2117">
        <v>0.1703599323799434</v>
      </c>
      <c r="T2117">
        <v>1.1545524097758995</v>
      </c>
      <c r="U2117">
        <v>0</v>
      </c>
      <c r="V2117">
        <v>1.584429277428423E-2</v>
      </c>
      <c r="W2117">
        <v>6.2235852731555109E-2</v>
      </c>
      <c r="X2117">
        <v>-1.5370682537596823E-2</v>
      </c>
      <c r="Y2117">
        <v>2.6168663517024966E-2</v>
      </c>
    </row>
    <row r="2118" spans="1:25" x14ac:dyDescent="0.25">
      <c r="A2118" s="879"/>
      <c r="B2118" s="1133">
        <v>1868</v>
      </c>
      <c r="C2118" s="883">
        <v>0.99046683993372953</v>
      </c>
      <c r="D2118" s="883">
        <v>1.010663369344301</v>
      </c>
      <c r="E2118" s="883">
        <v>0.96244805132704547</v>
      </c>
      <c r="F2118" s="883">
        <v>0.99493493041523895</v>
      </c>
      <c r="G2118" s="883">
        <v>0.99485294396924839</v>
      </c>
      <c r="H2118" s="883">
        <v>1.0053779431022489</v>
      </c>
      <c r="I2118" s="883">
        <v>1.0057662742271694</v>
      </c>
      <c r="K2118">
        <v>1.6101423679281499</v>
      </c>
      <c r="L2118">
        <v>0</v>
      </c>
      <c r="M2118">
        <v>6.6915371028638928E-3</v>
      </c>
      <c r="N2118">
        <v>0.1179957678444207</v>
      </c>
      <c r="O2118">
        <v>3.1042772439791713E-2</v>
      </c>
      <c r="P2118">
        <v>1.7776231613609136E-2</v>
      </c>
      <c r="Q2118">
        <v>0</v>
      </c>
      <c r="R2118">
        <v>6.6915371028638928E-3</v>
      </c>
      <c r="S2118">
        <v>0.17147303326305688</v>
      </c>
      <c r="T2118">
        <v>1.1806449909268977</v>
      </c>
      <c r="U2118">
        <v>0</v>
      </c>
      <c r="V2118">
        <v>1.5906383069580889E-2</v>
      </c>
      <c r="W2118">
        <v>6.3282979157488331E-2</v>
      </c>
      <c r="X2118">
        <v>-1.5534349127086466E-2</v>
      </c>
      <c r="Y2118">
        <v>2.7554558740389628E-2</v>
      </c>
    </row>
    <row r="2119" spans="1:25" x14ac:dyDescent="0.25">
      <c r="A2119" s="879"/>
      <c r="B2119" s="1133">
        <v>1869</v>
      </c>
      <c r="C2119" s="883">
        <v>1.006407916365903</v>
      </c>
      <c r="D2119" s="883">
        <v>1.0163251386607783</v>
      </c>
      <c r="E2119" s="883">
        <v>1.0006793165092625</v>
      </c>
      <c r="F2119" s="883">
        <v>1.0104998155185161</v>
      </c>
      <c r="G2119" s="883">
        <v>0.96218542142273766</v>
      </c>
      <c r="H2119" s="883">
        <v>0.97784900030513155</v>
      </c>
      <c r="I2119" s="883">
        <v>0.99903059371317549</v>
      </c>
      <c r="K2119">
        <v>1.6160453275377642</v>
      </c>
      <c r="L2119">
        <v>0</v>
      </c>
      <c r="M2119">
        <v>6.1798494496402498E-3</v>
      </c>
      <c r="N2119">
        <v>0.11533206204807485</v>
      </c>
      <c r="O2119">
        <v>3.0452791381316166E-2</v>
      </c>
      <c r="P2119">
        <v>1.8471044869744015E-2</v>
      </c>
      <c r="Q2119">
        <v>0</v>
      </c>
      <c r="R2119">
        <v>6.1798494496402498E-3</v>
      </c>
      <c r="S2119">
        <v>0.16603879768875829</v>
      </c>
      <c r="T2119">
        <v>1.1983940436357197</v>
      </c>
      <c r="U2119">
        <v>0</v>
      </c>
      <c r="V2119">
        <v>1.5819200492879409E-2</v>
      </c>
      <c r="W2119">
        <v>6.0682318351892882E-2</v>
      </c>
      <c r="X2119">
        <v>-1.4592450992042915E-2</v>
      </c>
      <c r="Y2119">
        <v>2.5447520061421737E-2</v>
      </c>
    </row>
    <row r="2120" spans="1:25" x14ac:dyDescent="0.25">
      <c r="A2120" s="879"/>
      <c r="B2120" s="1133">
        <v>1870</v>
      </c>
      <c r="C2120" s="883">
        <v>0.9955570378919818</v>
      </c>
      <c r="D2120" s="883">
        <v>0.99684298080126721</v>
      </c>
      <c r="E2120" s="883">
        <v>0.99994545045104699</v>
      </c>
      <c r="F2120" s="883">
        <v>0.9965256787599247</v>
      </c>
      <c r="G2120" s="883">
        <v>0.95558179108862162</v>
      </c>
      <c r="H2120" s="883">
        <v>1.0071229813156521</v>
      </c>
      <c r="I2120" s="883">
        <v>0.99517212779240938</v>
      </c>
      <c r="K2120">
        <v>1.6118569123331379</v>
      </c>
      <c r="L2120">
        <v>0</v>
      </c>
      <c r="M2120">
        <v>6.4941588185308185E-3</v>
      </c>
      <c r="N2120">
        <v>0.12106619947738381</v>
      </c>
      <c r="O2120">
        <v>3.1024599295517308E-2</v>
      </c>
      <c r="P2120">
        <v>1.8280915335569924E-2</v>
      </c>
      <c r="Q2120">
        <v>0</v>
      </c>
      <c r="R2120">
        <v>6.4941588185308185E-3</v>
      </c>
      <c r="S2120">
        <v>0.16908164289876207</v>
      </c>
      <c r="T2120">
        <v>1.1818351204077717</v>
      </c>
      <c r="U2120">
        <v>0</v>
      </c>
      <c r="V2120">
        <v>1.5878241091122316E-2</v>
      </c>
      <c r="W2120">
        <v>6.3722569659952988E-2</v>
      </c>
      <c r="X2120">
        <v>-1.5774165930473077E-2</v>
      </c>
      <c r="Y2120">
        <v>2.6741790097530978E-2</v>
      </c>
    </row>
    <row r="2121" spans="1:25" x14ac:dyDescent="0.25">
      <c r="A2121" s="879"/>
      <c r="B2121" s="1133">
        <v>1871</v>
      </c>
      <c r="C2121" s="883">
        <v>0.99094854672474009</v>
      </c>
      <c r="D2121" s="883">
        <v>0.95859158440449777</v>
      </c>
      <c r="E2121" s="883">
        <v>0.99988717702479302</v>
      </c>
      <c r="F2121" s="883">
        <v>1.0327619539177642</v>
      </c>
      <c r="G2121" s="883">
        <v>0.99190403841086416</v>
      </c>
      <c r="H2121" s="883">
        <v>1.037098536890608</v>
      </c>
      <c r="I2121" s="883">
        <v>1.0397412295338064</v>
      </c>
      <c r="K2121">
        <v>1.6770794712028632</v>
      </c>
      <c r="L2121">
        <v>0</v>
      </c>
      <c r="M2121">
        <v>6.8373388392864711E-3</v>
      </c>
      <c r="N2121">
        <v>0.12745286823349064</v>
      </c>
      <c r="O2121">
        <v>3.1660603765865276E-2</v>
      </c>
      <c r="P2121">
        <v>1.8998348945587371E-2</v>
      </c>
      <c r="Q2121">
        <v>0</v>
      </c>
      <c r="R2121">
        <v>6.8373388392864711E-3</v>
      </c>
      <c r="S2121">
        <v>0.17977618685377755</v>
      </c>
      <c r="T2121">
        <v>1.2248108491529954</v>
      </c>
      <c r="U2121">
        <v>0</v>
      </c>
      <c r="V2121">
        <v>1.5903707490667301E-2</v>
      </c>
      <c r="W2121">
        <v>6.708610136570993E-2</v>
      </c>
      <c r="X2121">
        <v>-1.6764138944468297E-2</v>
      </c>
      <c r="Y2121">
        <v>2.8154944339236172E-2</v>
      </c>
    </row>
    <row r="2122" spans="1:25" x14ac:dyDescent="0.25">
      <c r="A2122" s="879"/>
      <c r="B2122" s="1133">
        <v>1872</v>
      </c>
      <c r="C2122" s="883">
        <v>0.9906764877823272</v>
      </c>
      <c r="D2122" s="883">
        <v>0.98289210779399749</v>
      </c>
      <c r="E2122" s="883">
        <v>0.99729046623256223</v>
      </c>
      <c r="F2122" s="883">
        <v>0.99448729395858737</v>
      </c>
      <c r="G2122" s="883">
        <v>0.97914181766582009</v>
      </c>
      <c r="H2122" s="883">
        <v>1.0238462429911888</v>
      </c>
      <c r="I2122" s="883">
        <v>1.0062571105860438</v>
      </c>
      <c r="K2122">
        <v>1.6188355684392681</v>
      </c>
      <c r="L2122">
        <v>0</v>
      </c>
      <c r="M2122">
        <v>6.6918824662039718E-3</v>
      </c>
      <c r="N2122">
        <v>0.12426245190571911</v>
      </c>
      <c r="O2122">
        <v>3.1355989163678988E-2</v>
      </c>
      <c r="P2122">
        <v>1.8264571220818756E-2</v>
      </c>
      <c r="Q2122">
        <v>0</v>
      </c>
      <c r="R2122">
        <v>6.6918824662039718E-3</v>
      </c>
      <c r="S2122">
        <v>0.17294764395672613</v>
      </c>
      <c r="T2122">
        <v>1.1794667742278573</v>
      </c>
      <c r="U2122">
        <v>0</v>
      </c>
      <c r="V2122">
        <v>1.5905218287569235E-2</v>
      </c>
      <c r="W2122">
        <v>6.5491246252477167E-2</v>
      </c>
      <c r="X2122">
        <v>-1.6414307460729909E-2</v>
      </c>
      <c r="Y2122">
        <v>2.7555980885151703E-2</v>
      </c>
    </row>
    <row r="2123" spans="1:25" x14ac:dyDescent="0.25">
      <c r="A2123" s="879"/>
      <c r="B2123" s="1133">
        <v>1873</v>
      </c>
      <c r="C2123" s="883">
        <v>1.0004561715735627</v>
      </c>
      <c r="D2123" s="883">
        <v>1.0131934275511794</v>
      </c>
      <c r="E2123" s="883">
        <v>0.97190202092669675</v>
      </c>
      <c r="F2123" s="883">
        <v>1.0080850851026721</v>
      </c>
      <c r="G2123" s="883">
        <v>1.0207832435114081</v>
      </c>
      <c r="H2123" s="883">
        <v>1.0239820712048904</v>
      </c>
      <c r="I2123" s="883">
        <v>0.99636505215158999</v>
      </c>
      <c r="K2123">
        <v>1.6250797610598098</v>
      </c>
      <c r="L2123">
        <v>0</v>
      </c>
      <c r="M2123">
        <v>6.6845630945190776E-3</v>
      </c>
      <c r="N2123">
        <v>0.11953939961011906</v>
      </c>
      <c r="O2123">
        <v>3.0695003035866614E-2</v>
      </c>
      <c r="P2123">
        <v>1.8079568926835286E-2</v>
      </c>
      <c r="Q2123">
        <v>0</v>
      </c>
      <c r="R2123">
        <v>6.6845630945190776E-3</v>
      </c>
      <c r="S2123">
        <v>0.16922683916454159</v>
      </c>
      <c r="T2123">
        <v>1.1960712077328854</v>
      </c>
      <c r="U2123">
        <v>0</v>
      </c>
      <c r="V2123">
        <v>1.5851425886421053E-2</v>
      </c>
      <c r="W2123">
        <v>6.3806500695845703E-2</v>
      </c>
      <c r="X2123">
        <v>-1.5716025008057688E-2</v>
      </c>
      <c r="Y2123">
        <v>2.7525841015352898E-2</v>
      </c>
    </row>
    <row r="2124" spans="1:25" x14ac:dyDescent="0.25">
      <c r="A2124" s="879"/>
      <c r="B2124" s="1133">
        <v>1874</v>
      </c>
      <c r="C2124" s="883">
        <v>0.98363100625429323</v>
      </c>
      <c r="D2124" s="883">
        <v>0.99006462941527529</v>
      </c>
      <c r="E2124" s="883">
        <v>0.99776218126627247</v>
      </c>
      <c r="F2124" s="883">
        <v>0.98977061134885458</v>
      </c>
      <c r="G2124" s="883">
        <v>1.0388995954795537</v>
      </c>
      <c r="H2124" s="883">
        <v>0.992778858006923</v>
      </c>
      <c r="I2124" s="883">
        <v>1.0014111125937284</v>
      </c>
      <c r="K2124">
        <v>1.606686724943017</v>
      </c>
      <c r="L2124">
        <v>0</v>
      </c>
      <c r="M2124">
        <v>6.5114432143846893E-3</v>
      </c>
      <c r="N2124">
        <v>0.12099639425281181</v>
      </c>
      <c r="O2124">
        <v>3.1488463164734887E-2</v>
      </c>
      <c r="P2124">
        <v>1.8176477061058016E-2</v>
      </c>
      <c r="Q2124">
        <v>0</v>
      </c>
      <c r="R2124">
        <v>6.5114432143846893E-3</v>
      </c>
      <c r="S2124">
        <v>0.17142444512321156</v>
      </c>
      <c r="T2124">
        <v>1.1738640833594294</v>
      </c>
      <c r="U2124">
        <v>0</v>
      </c>
      <c r="V2124">
        <v>1.5944634297218745E-2</v>
      </c>
      <c r="W2124">
        <v>6.3754951478292091E-2</v>
      </c>
      <c r="X2124">
        <v>-1.5775687956888676E-2</v>
      </c>
      <c r="Y2124">
        <v>2.6812964163149444E-2</v>
      </c>
    </row>
    <row r="2125" spans="1:25" x14ac:dyDescent="0.25">
      <c r="A2125" s="879"/>
      <c r="B2125" s="1133">
        <v>1875</v>
      </c>
      <c r="C2125" s="883">
        <v>0.98254786454774934</v>
      </c>
      <c r="D2125" s="883">
        <v>1.0061867882867372</v>
      </c>
      <c r="E2125" s="883">
        <v>0.98419744804889198</v>
      </c>
      <c r="F2125" s="883">
        <v>0.95730007411626383</v>
      </c>
      <c r="G2125" s="883">
        <v>1.0329474432972838</v>
      </c>
      <c r="H2125" s="883">
        <v>1.0161744163760653</v>
      </c>
      <c r="I2125" s="883">
        <v>1.0053162792707715</v>
      </c>
      <c r="K2125">
        <v>1.5720073198623135</v>
      </c>
      <c r="L2125">
        <v>0</v>
      </c>
      <c r="M2125">
        <v>6.7032177875082331E-3</v>
      </c>
      <c r="N2125">
        <v>0.12208017009824645</v>
      </c>
      <c r="O2125">
        <v>3.1331516250979373E-2</v>
      </c>
      <c r="P2125">
        <v>1.751088335652581E-2</v>
      </c>
      <c r="Q2125">
        <v>0</v>
      </c>
      <c r="R2125">
        <v>6.7032177875082331E-3</v>
      </c>
      <c r="S2125">
        <v>0.17348624048265335</v>
      </c>
      <c r="T2125">
        <v>1.1355960044340017</v>
      </c>
      <c r="U2125">
        <v>0</v>
      </c>
      <c r="V2125">
        <v>1.5950744074699045E-2</v>
      </c>
      <c r="W2125">
        <v>6.4762430413367614E-2</v>
      </c>
      <c r="X2125">
        <v>-1.6313326968830671E-2</v>
      </c>
      <c r="Y2125">
        <v>2.7602657720670661E-2</v>
      </c>
    </row>
    <row r="2126" spans="1:25" x14ac:dyDescent="0.25">
      <c r="A2126" s="879"/>
      <c r="B2126" s="1133">
        <v>1876</v>
      </c>
      <c r="C2126" s="883">
        <v>0.98980292352091614</v>
      </c>
      <c r="D2126" s="883">
        <v>0.96761908329950574</v>
      </c>
      <c r="E2126" s="883">
        <v>1.0199481041918821</v>
      </c>
      <c r="F2126" s="883">
        <v>1.044345972671058</v>
      </c>
      <c r="G2126" s="883">
        <v>1.0344465707670834</v>
      </c>
      <c r="H2126" s="883">
        <v>1.0058338685473018</v>
      </c>
      <c r="I2126" s="883">
        <v>1.0107268562754259</v>
      </c>
      <c r="K2126">
        <v>1.6785306779312785</v>
      </c>
      <c r="L2126">
        <v>0</v>
      </c>
      <c r="M2126">
        <v>6.4961646867050049E-3</v>
      </c>
      <c r="N2126">
        <v>0.12474330585517554</v>
      </c>
      <c r="O2126">
        <v>3.1560554256738864E-2</v>
      </c>
      <c r="P2126">
        <v>1.9375879833417417E-2</v>
      </c>
      <c r="Q2126">
        <v>0</v>
      </c>
      <c r="R2126">
        <v>6.4961646867050049E-3</v>
      </c>
      <c r="S2126">
        <v>0.17299208192825283</v>
      </c>
      <c r="T2126">
        <v>1.2381605357909466</v>
      </c>
      <c r="U2126">
        <v>0</v>
      </c>
      <c r="V2126">
        <v>1.5910074976759777E-2</v>
      </c>
      <c r="W2126">
        <v>6.5011595506640027E-2</v>
      </c>
      <c r="X2126">
        <v>-1.5973400122294812E-2</v>
      </c>
      <c r="Y2126">
        <v>2.6750049905641057E-2</v>
      </c>
    </row>
    <row r="2127" spans="1:25" x14ac:dyDescent="0.25">
      <c r="A2127" s="879"/>
      <c r="B2127" s="1133">
        <v>1877</v>
      </c>
      <c r="C2127" s="883">
        <v>1.0224357729505635</v>
      </c>
      <c r="D2127" s="883">
        <v>1.0240593821697019</v>
      </c>
      <c r="E2127" s="883">
        <v>0.96551203620763237</v>
      </c>
      <c r="F2127" s="883">
        <v>1.0235549111795381</v>
      </c>
      <c r="G2127" s="883">
        <v>1.0092868351736219</v>
      </c>
      <c r="H2127" s="883">
        <v>1.0108403580078771</v>
      </c>
      <c r="I2127" s="883">
        <v>0.95441520180953898</v>
      </c>
      <c r="K2127">
        <v>1.6236760710298279</v>
      </c>
      <c r="L2127">
        <v>0</v>
      </c>
      <c r="M2127">
        <v>6.462148958893698E-3</v>
      </c>
      <c r="N2127">
        <v>0.11447064886674388</v>
      </c>
      <c r="O2127">
        <v>2.9911957892033287E-2</v>
      </c>
      <c r="P2127">
        <v>1.8079792457606256E-2</v>
      </c>
      <c r="Q2127">
        <v>0</v>
      </c>
      <c r="R2127">
        <v>6.462148958893698E-3</v>
      </c>
      <c r="S2127">
        <v>0.15780327898540089</v>
      </c>
      <c r="T2127">
        <v>1.2145482705439732</v>
      </c>
      <c r="U2127">
        <v>0</v>
      </c>
      <c r="V2127">
        <v>1.5734284125295952E-2</v>
      </c>
      <c r="W2127">
        <v>6.129767055184332E-2</v>
      </c>
      <c r="X2127">
        <v>-1.4779811586158358E-2</v>
      </c>
      <c r="Y2127">
        <v>2.6609979193087933E-2</v>
      </c>
    </row>
    <row r="2128" spans="1:25" x14ac:dyDescent="0.25">
      <c r="A2128" s="879"/>
      <c r="B2128" s="1133">
        <v>1878</v>
      </c>
      <c r="C2128" s="883">
        <v>0.96783272516909191</v>
      </c>
      <c r="D2128" s="883">
        <v>0.99522807430105409</v>
      </c>
      <c r="E2128" s="883">
        <v>1.0003908591870556</v>
      </c>
      <c r="F2128" s="883">
        <v>0.99893313319787136</v>
      </c>
      <c r="G2128" s="883">
        <v>0.99465291724540017</v>
      </c>
      <c r="H2128" s="883">
        <v>1.0107213554806624</v>
      </c>
      <c r="I2128" s="883">
        <v>1.0073924908171767</v>
      </c>
      <c r="K2128">
        <v>1.6294548084863605</v>
      </c>
      <c r="L2128">
        <v>0</v>
      </c>
      <c r="M2128">
        <v>6.7062979582014955E-3</v>
      </c>
      <c r="N2128">
        <v>0.12510348874682503</v>
      </c>
      <c r="O2128">
        <v>3.1933633709680123E-2</v>
      </c>
      <c r="P2128">
        <v>1.8423960563936317E-2</v>
      </c>
      <c r="Q2128">
        <v>0</v>
      </c>
      <c r="R2128">
        <v>6.7062979582014955E-3</v>
      </c>
      <c r="S2128">
        <v>0.1762965585967313</v>
      </c>
      <c r="T2128">
        <v>1.1846819853960486</v>
      </c>
      <c r="U2128">
        <v>0</v>
      </c>
      <c r="V2128">
        <v>1.6035104041886721E-2</v>
      </c>
      <c r="W2128">
        <v>6.5833012839859498E-2</v>
      </c>
      <c r="X2128">
        <v>-1.6468276723941921E-2</v>
      </c>
      <c r="Y2128">
        <v>2.7615341315335575E-2</v>
      </c>
    </row>
    <row r="2129" spans="1:25" x14ac:dyDescent="0.25">
      <c r="A2129" s="879"/>
      <c r="B2129" s="1133">
        <v>1879</v>
      </c>
      <c r="C2129" s="883">
        <v>1.0189170089385386</v>
      </c>
      <c r="D2129" s="883">
        <v>0.9898195223681735</v>
      </c>
      <c r="E2129" s="883">
        <v>1.0374654103169145</v>
      </c>
      <c r="F2129" s="883">
        <v>1.0075935424084326</v>
      </c>
      <c r="G2129" s="883">
        <v>1.0186687562267085</v>
      </c>
      <c r="H2129" s="883">
        <v>0.96977547443290824</v>
      </c>
      <c r="I2129" s="883">
        <v>0.99645564872947279</v>
      </c>
      <c r="K2129">
        <v>1.6098245961127604</v>
      </c>
      <c r="L2129">
        <v>0</v>
      </c>
      <c r="M2129">
        <v>5.9312447755588945E-3</v>
      </c>
      <c r="N2129">
        <v>0.1168833842517738</v>
      </c>
      <c r="O2129">
        <v>3.0365701190242605E-2</v>
      </c>
      <c r="P2129">
        <v>1.8890436455313651E-2</v>
      </c>
      <c r="Q2129">
        <v>0</v>
      </c>
      <c r="R2129">
        <v>5.9312447755588945E-3</v>
      </c>
      <c r="S2129">
        <v>0.16340260823345379</v>
      </c>
      <c r="T2129">
        <v>1.1942616213445549</v>
      </c>
      <c r="U2129">
        <v>0</v>
      </c>
      <c r="V2129">
        <v>1.5752697836791625E-2</v>
      </c>
      <c r="W2129">
        <v>6.0393772082099E-2</v>
      </c>
      <c r="X2129">
        <v>-1.4549435545005991E-2</v>
      </c>
      <c r="Y2129">
        <v>2.4423810263537137E-2</v>
      </c>
    </row>
    <row r="2130" spans="1:25" x14ac:dyDescent="0.25">
      <c r="A2130" s="879"/>
      <c r="B2130" s="1133">
        <v>1880</v>
      </c>
      <c r="C2130" s="883">
        <v>0.99494252056474852</v>
      </c>
      <c r="D2130" s="883">
        <v>1.0139438386987576</v>
      </c>
      <c r="E2130" s="883">
        <v>1.0208173515899306</v>
      </c>
      <c r="F2130" s="883">
        <v>1.0014977467062263</v>
      </c>
      <c r="G2130" s="883">
        <v>1.0473875026304524</v>
      </c>
      <c r="H2130" s="883">
        <v>1.0364910302347012</v>
      </c>
      <c r="I2130" s="883">
        <v>0.99962830803593905</v>
      </c>
      <c r="K2130">
        <v>1.6252514988341173</v>
      </c>
      <c r="L2130">
        <v>0</v>
      </c>
      <c r="M2130">
        <v>6.5170754874618172E-3</v>
      </c>
      <c r="N2130">
        <v>0.12530586658710657</v>
      </c>
      <c r="O2130">
        <v>3.081487486321257E-2</v>
      </c>
      <c r="P2130">
        <v>1.8677383204988362E-2</v>
      </c>
      <c r="Q2130">
        <v>0</v>
      </c>
      <c r="R2130">
        <v>6.5170754874618172E-3</v>
      </c>
      <c r="S2130">
        <v>0.17149154533153554</v>
      </c>
      <c r="T2130">
        <v>1.1873442364050817</v>
      </c>
      <c r="U2130">
        <v>0</v>
      </c>
      <c r="V2130">
        <v>1.5881623265814576E-2</v>
      </c>
      <c r="W2130">
        <v>6.5276829145338777E-2</v>
      </c>
      <c r="X2130">
        <v>-1.6377016830135153E-2</v>
      </c>
      <c r="Y2130">
        <v>2.683615686117382E-2</v>
      </c>
    </row>
    <row r="2131" spans="1:25" x14ac:dyDescent="0.25">
      <c r="A2131" s="879"/>
      <c r="B2131" s="1133">
        <v>1881</v>
      </c>
      <c r="C2131" s="883">
        <v>1.0437054051550858</v>
      </c>
      <c r="D2131" s="883">
        <v>1.0187271422477127</v>
      </c>
      <c r="E2131" s="883">
        <v>1.0230332834801923</v>
      </c>
      <c r="F2131" s="883">
        <v>1.004669328880802</v>
      </c>
      <c r="G2131" s="883">
        <v>0.97369231690886782</v>
      </c>
      <c r="H2131" s="883">
        <v>1.0245484155866842</v>
      </c>
      <c r="I2131" s="883">
        <v>0.99094267309380757</v>
      </c>
      <c r="K2131">
        <v>1.60552447170376</v>
      </c>
      <c r="L2131">
        <v>0</v>
      </c>
      <c r="M2131">
        <v>6.1162638226075769E-3</v>
      </c>
      <c r="N2131">
        <v>0.11798540298689224</v>
      </c>
      <c r="O2131">
        <v>2.9317998607051077E-2</v>
      </c>
      <c r="P2131">
        <v>1.861719433465563E-2</v>
      </c>
      <c r="Q2131">
        <v>0</v>
      </c>
      <c r="R2131">
        <v>6.1162638226075769E-3</v>
      </c>
      <c r="S2131">
        <v>0.16136081865010751</v>
      </c>
      <c r="T2131">
        <v>1.1910632037648212</v>
      </c>
      <c r="U2131">
        <v>0</v>
      </c>
      <c r="V2131">
        <v>1.5625623536912017E-2</v>
      </c>
      <c r="W2131">
        <v>6.1396306166405255E-2</v>
      </c>
      <c r="X2131">
        <v>-1.5027762110206457E-2</v>
      </c>
      <c r="Y2131">
        <v>2.5185685767120897E-2</v>
      </c>
    </row>
    <row r="2132" spans="1:25" x14ac:dyDescent="0.25">
      <c r="A2132" s="879"/>
      <c r="B2132" s="1133">
        <v>1882</v>
      </c>
      <c r="C2132" s="883">
        <v>1.0004598170209524</v>
      </c>
      <c r="D2132" s="883">
        <v>0.99191195465180626</v>
      </c>
      <c r="E2132" s="883">
        <v>0.98298922987605408</v>
      </c>
      <c r="F2132" s="883">
        <v>1.0025032276311516</v>
      </c>
      <c r="G2132" s="883">
        <v>1.015241798415379</v>
      </c>
      <c r="H2132" s="883">
        <v>0.99310596030752585</v>
      </c>
      <c r="I2132" s="883">
        <v>0.99147236162590813</v>
      </c>
      <c r="K2132">
        <v>1.6127975109089832</v>
      </c>
      <c r="L2132">
        <v>0</v>
      </c>
      <c r="M2132">
        <v>6.48172095808606E-3</v>
      </c>
      <c r="N2132">
        <v>0.11783486641593213</v>
      </c>
      <c r="O2132">
        <v>3.0947910641210146E-2</v>
      </c>
      <c r="P2132">
        <v>1.8113664917944201E-2</v>
      </c>
      <c r="Q2132">
        <v>0</v>
      </c>
      <c r="R2132">
        <v>6.48172095808606E-3</v>
      </c>
      <c r="S2132">
        <v>0.16685262226895389</v>
      </c>
      <c r="T2132">
        <v>1.1892407862984966</v>
      </c>
      <c r="U2132">
        <v>0</v>
      </c>
      <c r="V2132">
        <v>1.5851406030997391E-2</v>
      </c>
      <c r="W2132">
        <v>6.2548107630873845E-2</v>
      </c>
      <c r="X2132">
        <v>-1.528242649750098E-2</v>
      </c>
      <c r="Y2132">
        <v>2.6690573202076098E-2</v>
      </c>
    </row>
    <row r="2133" spans="1:25" x14ac:dyDescent="0.25">
      <c r="A2133" s="879"/>
      <c r="B2133" s="1133">
        <v>1883</v>
      </c>
      <c r="C2133" s="883">
        <v>0.97329169039700447</v>
      </c>
      <c r="D2133" s="883">
        <v>1.0008540447604715</v>
      </c>
      <c r="E2133" s="883">
        <v>1.0051206820524341</v>
      </c>
      <c r="F2133" s="883">
        <v>1.0115546721796267</v>
      </c>
      <c r="G2133" s="883">
        <v>1.0265211933345018</v>
      </c>
      <c r="H2133" s="883">
        <v>0.98076591266758828</v>
      </c>
      <c r="I2133" s="883">
        <v>0.97072534566673252</v>
      </c>
      <c r="K2133">
        <v>1.6280410536690029</v>
      </c>
      <c r="L2133">
        <v>0</v>
      </c>
      <c r="M2133">
        <v>6.4281648741128751E-3</v>
      </c>
      <c r="N2133">
        <v>0.12075805978304233</v>
      </c>
      <c r="O2133">
        <v>3.1678831319691486E-2</v>
      </c>
      <c r="P2133">
        <v>1.8566143973375571E-2</v>
      </c>
      <c r="Q2133">
        <v>0</v>
      </c>
      <c r="R2133">
        <v>6.4281648741128751E-3</v>
      </c>
      <c r="S2133">
        <v>0.16714152057668819</v>
      </c>
      <c r="T2133">
        <v>1.1995616018955679</v>
      </c>
      <c r="U2133">
        <v>0</v>
      </c>
      <c r="V2133">
        <v>1.6003510883068839E-2</v>
      </c>
      <c r="W2133">
        <v>6.3397397624448446E-2</v>
      </c>
      <c r="X2133">
        <v>-1.553605116778126E-2</v>
      </c>
      <c r="Y2133">
        <v>2.6470038780902108E-2</v>
      </c>
    </row>
    <row r="2134" spans="1:25" x14ac:dyDescent="0.25">
      <c r="A2134" s="879"/>
      <c r="B2134" s="1133">
        <v>1884</v>
      </c>
      <c r="C2134" s="883">
        <v>0.9973029851686066</v>
      </c>
      <c r="D2134" s="883">
        <v>1.0146199109604472</v>
      </c>
      <c r="E2134" s="883">
        <v>0.99540299317887149</v>
      </c>
      <c r="F2134" s="883">
        <v>1.0165983796081464</v>
      </c>
      <c r="G2134" s="883">
        <v>1.0273966067471949</v>
      </c>
      <c r="H2134" s="883">
        <v>0.96549289453869114</v>
      </c>
      <c r="I2134" s="883">
        <v>1.0066521673601136</v>
      </c>
      <c r="K2134">
        <v>1.6251536609342139</v>
      </c>
      <c r="L2134">
        <v>0</v>
      </c>
      <c r="M2134">
        <v>6.1905386840036642E-3</v>
      </c>
      <c r="N2134">
        <v>0.11463185716248922</v>
      </c>
      <c r="O2134">
        <v>3.0755907911231055E-2</v>
      </c>
      <c r="P2134">
        <v>1.8523421600186152E-2</v>
      </c>
      <c r="Q2134">
        <v>0</v>
      </c>
      <c r="R2134">
        <v>6.1905386840036642E-3</v>
      </c>
      <c r="S2134">
        <v>0.16812462773609477</v>
      </c>
      <c r="T2134">
        <v>1.2057263216221275</v>
      </c>
      <c r="U2134">
        <v>0</v>
      </c>
      <c r="V2134">
        <v>1.5868654506723937E-2</v>
      </c>
      <c r="W2134">
        <v>6.0472284146925084E-2</v>
      </c>
      <c r="X2134">
        <v>-1.4440950177481754E-2</v>
      </c>
      <c r="Y2134">
        <v>2.5491536425917494E-2</v>
      </c>
    </row>
    <row r="2135" spans="1:25" x14ac:dyDescent="0.25">
      <c r="A2135" s="879"/>
      <c r="B2135" s="1133">
        <v>1885</v>
      </c>
      <c r="C2135" s="883">
        <v>0.95082323360421694</v>
      </c>
      <c r="D2135" s="883">
        <v>1.0134260550753695</v>
      </c>
      <c r="E2135" s="883">
        <v>0.99682863971719904</v>
      </c>
      <c r="F2135" s="883">
        <v>1.0325812289893939</v>
      </c>
      <c r="G2135" s="883">
        <v>0.99394165497469911</v>
      </c>
      <c r="H2135" s="883">
        <v>1.0058678171309023</v>
      </c>
      <c r="I2135" s="883">
        <v>1.0044605600151646</v>
      </c>
      <c r="K2135">
        <v>1.6734772198431733</v>
      </c>
      <c r="L2135">
        <v>0</v>
      </c>
      <c r="M2135">
        <v>6.7598156586381759E-3</v>
      </c>
      <c r="N2135">
        <v>0.12543804114693838</v>
      </c>
      <c r="O2135">
        <v>3.2273313468787673E-2</v>
      </c>
      <c r="P2135">
        <v>1.893733757358412E-2</v>
      </c>
      <c r="Q2135">
        <v>0</v>
      </c>
      <c r="R2135">
        <v>6.7598156586381759E-3</v>
      </c>
      <c r="S2135">
        <v>0.17843023696625068</v>
      </c>
      <c r="T2135">
        <v>1.2246552356628289</v>
      </c>
      <c r="U2135">
        <v>0</v>
      </c>
      <c r="V2135">
        <v>1.6135870799670066E-2</v>
      </c>
      <c r="W2135">
        <v>6.6126011524343858E-2</v>
      </c>
      <c r="X2135">
        <v>-1.6354544979168648E-2</v>
      </c>
      <c r="Y2135">
        <v>2.7835717679938254E-2</v>
      </c>
    </row>
    <row r="2136" spans="1:25" x14ac:dyDescent="0.25">
      <c r="A2136" s="879"/>
      <c r="B2136" s="1133">
        <v>1886</v>
      </c>
      <c r="C2136" s="883">
        <v>1.03914953150369</v>
      </c>
      <c r="D2136" s="883">
        <v>1.0236459972690286</v>
      </c>
      <c r="E2136" s="883">
        <v>0.96216791880109687</v>
      </c>
      <c r="F2136" s="883">
        <v>0.97140235201681713</v>
      </c>
      <c r="G2136" s="883">
        <v>1.0184492527033371</v>
      </c>
      <c r="H2136" s="883">
        <v>0.99158166268178372</v>
      </c>
      <c r="I2136" s="883">
        <v>0.99199166160291907</v>
      </c>
      <c r="K2136">
        <v>1.556322104143351</v>
      </c>
      <c r="L2136">
        <v>0</v>
      </c>
      <c r="M2136">
        <v>6.2563729551578483E-3</v>
      </c>
      <c r="N2136">
        <v>0.1102763615790163</v>
      </c>
      <c r="O2136">
        <v>2.9437979621095931E-2</v>
      </c>
      <c r="P2136">
        <v>1.726126963221301E-2</v>
      </c>
      <c r="Q2136">
        <v>0</v>
      </c>
      <c r="R2136">
        <v>6.2563729551578483E-3</v>
      </c>
      <c r="S2136">
        <v>0.16032397314256022</v>
      </c>
      <c r="T2136">
        <v>1.1527250297579332</v>
      </c>
      <c r="U2136">
        <v>0</v>
      </c>
      <c r="V2136">
        <v>1.5648523866531792E-2</v>
      </c>
      <c r="W2136">
        <v>5.9151297136531847E-2</v>
      </c>
      <c r="X2136">
        <v>-1.4264960828998816E-2</v>
      </c>
      <c r="Y2136">
        <v>2.576263023646698E-2</v>
      </c>
    </row>
    <row r="2137" spans="1:25" x14ac:dyDescent="0.25">
      <c r="A2137" s="879"/>
      <c r="B2137" s="1133">
        <v>1887</v>
      </c>
      <c r="C2137" s="883">
        <v>0.98723059347732167</v>
      </c>
      <c r="D2137" s="883">
        <v>1.0210141089359803</v>
      </c>
      <c r="E2137" s="883">
        <v>1.0029102301713557</v>
      </c>
      <c r="F2137" s="883">
        <v>1.0066257894112736</v>
      </c>
      <c r="G2137" s="883">
        <v>1.0070541854926329</v>
      </c>
      <c r="H2137" s="883">
        <v>0.98165614581134397</v>
      </c>
      <c r="I2137" s="883">
        <v>1.000141474685722</v>
      </c>
      <c r="K2137">
        <v>1.6196069877906849</v>
      </c>
      <c r="L2137">
        <v>0</v>
      </c>
      <c r="M2137">
        <v>6.2991747976879628E-3</v>
      </c>
      <c r="N2137">
        <v>0.11794811349566661</v>
      </c>
      <c r="O2137">
        <v>3.0985321985335802E-2</v>
      </c>
      <c r="P2137">
        <v>1.8489794990984455E-2</v>
      </c>
      <c r="Q2137">
        <v>0</v>
      </c>
      <c r="R2137">
        <v>6.2991747976879628E-3</v>
      </c>
      <c r="S2137">
        <v>0.16963320588965453</v>
      </c>
      <c r="T2137">
        <v>1.1937579547575954</v>
      </c>
      <c r="U2137">
        <v>0</v>
      </c>
      <c r="V2137">
        <v>1.5924426083464158E-2</v>
      </c>
      <c r="W2137">
        <v>6.1990092441712601E-2</v>
      </c>
      <c r="X2137">
        <v>-1.5060802459292049E-2</v>
      </c>
      <c r="Y2137">
        <v>2.5938880605562036E-2</v>
      </c>
    </row>
    <row r="2138" spans="1:25" x14ac:dyDescent="0.25">
      <c r="A2138" s="879"/>
      <c r="B2138" s="1133">
        <v>1888</v>
      </c>
      <c r="C2138" s="883">
        <v>0.99517831078629426</v>
      </c>
      <c r="D2138" s="883">
        <v>1.0128874978722084</v>
      </c>
      <c r="E2138" s="883">
        <v>1.0051100566866988</v>
      </c>
      <c r="F2138" s="883">
        <v>0.99677262083774709</v>
      </c>
      <c r="G2138" s="883">
        <v>1.0385922700415826</v>
      </c>
      <c r="H2138" s="883">
        <v>0.96030414950530896</v>
      </c>
      <c r="I2138" s="883">
        <v>0.97515021946633018</v>
      </c>
      <c r="K2138">
        <v>1.5960390976476286</v>
      </c>
      <c r="L2138">
        <v>0</v>
      </c>
      <c r="M2138">
        <v>6.1229730454277521E-3</v>
      </c>
      <c r="N2138">
        <v>0.1150229847820415</v>
      </c>
      <c r="O2138">
        <v>3.0834378922574093E-2</v>
      </c>
      <c r="P2138">
        <v>1.8272561440637342E-2</v>
      </c>
      <c r="Q2138">
        <v>0</v>
      </c>
      <c r="R2138">
        <v>6.1229730454277521E-3</v>
      </c>
      <c r="S2138">
        <v>0.16294317154361737</v>
      </c>
      <c r="T2138">
        <v>1.1820323641753978</v>
      </c>
      <c r="U2138">
        <v>0</v>
      </c>
      <c r="V2138">
        <v>1.5880325031937856E-2</v>
      </c>
      <c r="W2138">
        <v>6.0386828963198178E-2</v>
      </c>
      <c r="X2138">
        <v>-1.4546830364272012E-2</v>
      </c>
      <c r="Y2138">
        <v>2.5213313152497235E-2</v>
      </c>
    </row>
    <row r="2139" spans="1:25" x14ac:dyDescent="0.25">
      <c r="A2139" s="879"/>
      <c r="B2139" s="1133">
        <v>1889</v>
      </c>
      <c r="C2139" s="883">
        <v>1.0428035135151628</v>
      </c>
      <c r="D2139" s="883">
        <v>0.97275979530485446</v>
      </c>
      <c r="E2139" s="883">
        <v>0.98130545128685542</v>
      </c>
      <c r="F2139" s="883">
        <v>0.97743475833392446</v>
      </c>
      <c r="G2139" s="883">
        <v>1.041346845705746</v>
      </c>
      <c r="H2139" s="883">
        <v>1.0195030176912743</v>
      </c>
      <c r="I2139" s="883">
        <v>0.97939711469935598</v>
      </c>
      <c r="K2139">
        <v>1.5727338108891082</v>
      </c>
      <c r="L2139">
        <v>0</v>
      </c>
      <c r="M2139">
        <v>6.4490938241987894E-3</v>
      </c>
      <c r="N2139">
        <v>0.11694923956293242</v>
      </c>
      <c r="O2139">
        <v>2.9925019355757761E-2</v>
      </c>
      <c r="P2139">
        <v>1.7602115452013851E-2</v>
      </c>
      <c r="Q2139">
        <v>0</v>
      </c>
      <c r="R2139">
        <v>6.4490938241987894E-3</v>
      </c>
      <c r="S2139">
        <v>0.15977013789976685</v>
      </c>
      <c r="T2139">
        <v>1.1595334967858282</v>
      </c>
      <c r="U2139">
        <v>0</v>
      </c>
      <c r="V2139">
        <v>1.5630141055871113E-2</v>
      </c>
      <c r="W2139">
        <v>6.2130319789583582E-2</v>
      </c>
      <c r="X2139">
        <v>-1.5362879484788435E-2</v>
      </c>
      <c r="Y2139">
        <v>2.6556220472141664E-2</v>
      </c>
    </row>
    <row r="2140" spans="1:25" x14ac:dyDescent="0.25">
      <c r="A2140" s="879"/>
      <c r="B2140" s="1133">
        <v>1890</v>
      </c>
      <c r="C2140" s="883">
        <v>1.0111084361365856</v>
      </c>
      <c r="D2140" s="883">
        <v>1.0003693593200644</v>
      </c>
      <c r="E2140" s="883">
        <v>1.0339433747004703</v>
      </c>
      <c r="F2140" s="883">
        <v>1.0325519049684746</v>
      </c>
      <c r="G2140" s="883">
        <v>1.0056716472849363</v>
      </c>
      <c r="H2140" s="883">
        <v>0.98403760626299008</v>
      </c>
      <c r="I2140" s="883">
        <v>0.98156116834759488</v>
      </c>
      <c r="K2140">
        <v>1.642597296178741</v>
      </c>
      <c r="L2140">
        <v>0</v>
      </c>
      <c r="M2140">
        <v>6.0550043804051988E-3</v>
      </c>
      <c r="N2140">
        <v>0.11870289052489388</v>
      </c>
      <c r="O2140">
        <v>3.0474038214677767E-2</v>
      </c>
      <c r="P2140">
        <v>1.9242001489355752E-2</v>
      </c>
      <c r="Q2140">
        <v>0</v>
      </c>
      <c r="R2140">
        <v>6.0550043804051988E-3</v>
      </c>
      <c r="S2140">
        <v>0.16290481153873551</v>
      </c>
      <c r="T2140">
        <v>1.2239108167909696</v>
      </c>
      <c r="U2140">
        <v>0</v>
      </c>
      <c r="V2140">
        <v>1.5794017917273695E-2</v>
      </c>
      <c r="W2140">
        <v>6.1439734243661295E-2</v>
      </c>
      <c r="X2140">
        <v>-1.4804444828732869E-2</v>
      </c>
      <c r="Y2140">
        <v>2.4933430287905733E-2</v>
      </c>
    </row>
    <row r="2141" spans="1:25" x14ac:dyDescent="0.25">
      <c r="A2141" s="879"/>
      <c r="B2141" s="1133">
        <v>1891</v>
      </c>
      <c r="C2141" s="883">
        <v>0.99987665482291954</v>
      </c>
      <c r="D2141" s="883">
        <v>1.0303657279471397</v>
      </c>
      <c r="E2141" s="883">
        <v>0.99769363341814044</v>
      </c>
      <c r="F2141" s="883">
        <v>1.0494784510568935</v>
      </c>
      <c r="G2141" s="883">
        <v>1.0200497400907913</v>
      </c>
      <c r="H2141" s="883">
        <v>0.99119840443551799</v>
      </c>
      <c r="I2141" s="883">
        <v>1.0136293724311249</v>
      </c>
      <c r="K2141">
        <v>1.6697897749707917</v>
      </c>
      <c r="L2141">
        <v>0</v>
      </c>
      <c r="M2141">
        <v>6.283079893773893E-3</v>
      </c>
      <c r="N2141">
        <v>0.11674106257083</v>
      </c>
      <c r="O2141">
        <v>3.0486453342017748E-2</v>
      </c>
      <c r="P2141">
        <v>1.9103358586635474E-2</v>
      </c>
      <c r="Q2141">
        <v>0</v>
      </c>
      <c r="R2141">
        <v>6.283079893773893E-3</v>
      </c>
      <c r="S2141">
        <v>0.17020902195855261</v>
      </c>
      <c r="T2141">
        <v>1.2446786860258217</v>
      </c>
      <c r="U2141">
        <v>0</v>
      </c>
      <c r="V2141">
        <v>1.5854584143937082E-2</v>
      </c>
      <c r="W2141">
        <v>6.1514844658107998E-2</v>
      </c>
      <c r="X2141">
        <v>-1.4670840971140308E-2</v>
      </c>
      <c r="Y2141">
        <v>2.5872604656029988E-2</v>
      </c>
    </row>
    <row r="2142" spans="1:25" x14ac:dyDescent="0.25">
      <c r="A2142" s="879"/>
      <c r="B2142" s="1133">
        <v>1892</v>
      </c>
      <c r="C2142" s="883">
        <v>0.99519036686104334</v>
      </c>
      <c r="D2142" s="883">
        <v>1.027716578410752</v>
      </c>
      <c r="E2142" s="883">
        <v>1.0401228899004342</v>
      </c>
      <c r="F2142" s="883">
        <v>1.042187365697119</v>
      </c>
      <c r="G2142" s="883">
        <v>1.0235761549243112</v>
      </c>
      <c r="H2142" s="883">
        <v>0.96295864205650261</v>
      </c>
      <c r="I2142" s="883">
        <v>1.0085037858419339</v>
      </c>
      <c r="K2142">
        <v>1.6573459358691258</v>
      </c>
      <c r="L2142">
        <v>0</v>
      </c>
      <c r="M2142">
        <v>5.9159960714251624E-3</v>
      </c>
      <c r="N2142">
        <v>0.11704145939978745</v>
      </c>
      <c r="O2142">
        <v>3.0623366901533947E-2</v>
      </c>
      <c r="P2142">
        <v>1.9564664798792861E-2</v>
      </c>
      <c r="Q2142">
        <v>0</v>
      </c>
      <c r="R2142">
        <v>5.9159960714251624E-3</v>
      </c>
      <c r="S2142">
        <v>0.16857694263793557</v>
      </c>
      <c r="T2142">
        <v>1.2352133428772074</v>
      </c>
      <c r="U2142">
        <v>0</v>
      </c>
      <c r="V2142">
        <v>1.5880258669106459E-2</v>
      </c>
      <c r="W2142">
        <v>6.0396939933590417E-2</v>
      </c>
      <c r="X2142">
        <v>-1.4312058162911187E-2</v>
      </c>
      <c r="Y2142">
        <v>2.4361018814082581E-2</v>
      </c>
    </row>
    <row r="2143" spans="1:25" x14ac:dyDescent="0.25">
      <c r="A2143" s="879"/>
      <c r="B2143" s="1133">
        <v>1893</v>
      </c>
      <c r="C2143" s="883">
        <v>1.022158413329308</v>
      </c>
      <c r="D2143" s="883">
        <v>1.0200152877573763</v>
      </c>
      <c r="E2143" s="883">
        <v>1.0002272045496081</v>
      </c>
      <c r="F2143" s="883">
        <v>0.98587467366811354</v>
      </c>
      <c r="G2143" s="883">
        <v>1.0184542863663144</v>
      </c>
      <c r="H2143" s="883">
        <v>0.9741731773918465</v>
      </c>
      <c r="I2143" s="883">
        <v>1.0053704155514056</v>
      </c>
      <c r="K2143">
        <v>1.5801775397095117</v>
      </c>
      <c r="L2143">
        <v>0</v>
      </c>
      <c r="M2143">
        <v>6.0543605956883996E-3</v>
      </c>
      <c r="N2143">
        <v>0.11291446129643189</v>
      </c>
      <c r="O2143">
        <v>2.9940480377802128E-2</v>
      </c>
      <c r="P2143">
        <v>1.8049510050141188E-2</v>
      </c>
      <c r="Q2143">
        <v>0</v>
      </c>
      <c r="R2143">
        <v>6.0543605956883996E-3</v>
      </c>
      <c r="S2143">
        <v>0.1642764877423524</v>
      </c>
      <c r="T2143">
        <v>1.1691983398271202</v>
      </c>
      <c r="U2143">
        <v>0</v>
      </c>
      <c r="V2143">
        <v>1.5735730947059025E-2</v>
      </c>
      <c r="W2143">
        <v>5.9423628959430999E-2</v>
      </c>
      <c r="X2143">
        <v>-1.4291878787858014E-2</v>
      </c>
      <c r="Y2143">
        <v>2.4930779297031365E-2</v>
      </c>
    </row>
    <row r="2144" spans="1:25" x14ac:dyDescent="0.25">
      <c r="A2144" s="879"/>
      <c r="B2144" s="1133">
        <v>1894</v>
      </c>
      <c r="C2144" s="883">
        <v>1.016334638594838</v>
      </c>
      <c r="D2144" s="883">
        <v>0.98958843037917721</v>
      </c>
      <c r="E2144" s="883">
        <v>1.0164235098906107</v>
      </c>
      <c r="F2144" s="883">
        <v>1.0054100310778773</v>
      </c>
      <c r="G2144" s="883">
        <v>0.97437801181384109</v>
      </c>
      <c r="H2144" s="883">
        <v>0.97152083194685901</v>
      </c>
      <c r="I2144" s="883">
        <v>0.97733914738344951</v>
      </c>
      <c r="K2144">
        <v>1.6044167365806357</v>
      </c>
      <c r="L2144">
        <v>0</v>
      </c>
      <c r="M2144">
        <v>6.0684854027296641E-3</v>
      </c>
      <c r="N2144">
        <v>0.11592466884611555</v>
      </c>
      <c r="O2144">
        <v>3.0465016895867329E-2</v>
      </c>
      <c r="P2144">
        <v>1.8532980176072279E-2</v>
      </c>
      <c r="Q2144">
        <v>0</v>
      </c>
      <c r="R2144">
        <v>6.0684854027296641E-3</v>
      </c>
      <c r="S2144">
        <v>0.16075333699659283</v>
      </c>
      <c r="T2144">
        <v>1.1920642577517584</v>
      </c>
      <c r="U2144">
        <v>0</v>
      </c>
      <c r="V2144">
        <v>1.5766292517973807E-2</v>
      </c>
      <c r="W2144">
        <v>6.0520710301239539E-2</v>
      </c>
      <c r="X2144">
        <v>-1.4599469643289276E-2</v>
      </c>
      <c r="Y2144">
        <v>2.4988942738305358E-2</v>
      </c>
    </row>
    <row r="2145" spans="1:25" x14ac:dyDescent="0.25">
      <c r="A2145" s="879"/>
      <c r="B2145" s="1133">
        <v>1895</v>
      </c>
      <c r="C2145" s="883">
        <v>0.96620053703520259</v>
      </c>
      <c r="D2145" s="883">
        <v>0.98922988090056529</v>
      </c>
      <c r="E2145" s="883">
        <v>0.98202457245306551</v>
      </c>
      <c r="F2145" s="883">
        <v>0.99615880665013623</v>
      </c>
      <c r="G2145" s="883">
        <v>1.005828963187168</v>
      </c>
      <c r="H2145" s="883">
        <v>1.0331499384520921</v>
      </c>
      <c r="I2145" s="883">
        <v>0.96718707980023266</v>
      </c>
      <c r="K2145">
        <v>1.6250095096974344</v>
      </c>
      <c r="L2145">
        <v>0</v>
      </c>
      <c r="M2145">
        <v>6.9964950105438749E-3</v>
      </c>
      <c r="N2145">
        <v>0.12701135433324109</v>
      </c>
      <c r="O2145">
        <v>3.2080780773805793E-2</v>
      </c>
      <c r="P2145">
        <v>1.8057209164592893E-2</v>
      </c>
      <c r="Q2145">
        <v>0</v>
      </c>
      <c r="R2145">
        <v>6.9964950105438749E-3</v>
      </c>
      <c r="S2145">
        <v>0.1708985157982717</v>
      </c>
      <c r="T2145">
        <v>1.1817325148642308</v>
      </c>
      <c r="U2145">
        <v>0</v>
      </c>
      <c r="V2145">
        <v>1.6044619477608695E-2</v>
      </c>
      <c r="W2145">
        <v>6.7451632197382996E-2</v>
      </c>
      <c r="X2145">
        <v>-1.7077438035431356E-2</v>
      </c>
      <c r="Y2145">
        <v>2.8810321123731723E-2</v>
      </c>
    </row>
    <row r="2146" spans="1:25" x14ac:dyDescent="0.25">
      <c r="A2146" s="879"/>
      <c r="B2146" s="1133">
        <v>1896</v>
      </c>
      <c r="C2146" s="883">
        <v>0.99626604299645971</v>
      </c>
      <c r="D2146" s="883">
        <v>0.95814334436322179</v>
      </c>
      <c r="E2146" s="883">
        <v>0.98493878709721561</v>
      </c>
      <c r="F2146" s="883">
        <v>0.96235926398352334</v>
      </c>
      <c r="G2146" s="883">
        <v>1.0107268607732858</v>
      </c>
      <c r="H2146" s="883">
        <v>1.0195883165726707</v>
      </c>
      <c r="I2146" s="883">
        <v>1.0217528017846285</v>
      </c>
      <c r="K2146">
        <v>1.5816146219613127</v>
      </c>
      <c r="L2146">
        <v>0</v>
      </c>
      <c r="M2146">
        <v>6.7752452876458698E-3</v>
      </c>
      <c r="N2146">
        <v>0.12352769610136249</v>
      </c>
      <c r="O2146">
        <v>3.1510163652382371E-2</v>
      </c>
      <c r="P2146">
        <v>1.7614432393753866E-2</v>
      </c>
      <c r="Q2146">
        <v>0</v>
      </c>
      <c r="R2146">
        <v>6.7752452876458698E-3</v>
      </c>
      <c r="S2146">
        <v>0.17465084702783268</v>
      </c>
      <c r="T2146">
        <v>1.1415841545557321</v>
      </c>
      <c r="U2146">
        <v>0</v>
      </c>
      <c r="V2146">
        <v>1.5874344059516245E-2</v>
      </c>
      <c r="W2146">
        <v>6.5506055212843542E-2</v>
      </c>
      <c r="X2146">
        <v>-1.6552325187930726E-2</v>
      </c>
      <c r="Y2146">
        <v>2.7899254145820354E-2</v>
      </c>
    </row>
    <row r="2147" spans="1:25" x14ac:dyDescent="0.25">
      <c r="A2147" s="879"/>
      <c r="B2147" s="1133">
        <v>1897</v>
      </c>
      <c r="C2147" s="883">
        <v>1.0264342457574291</v>
      </c>
      <c r="D2147" s="883">
        <v>1.013608431579244</v>
      </c>
      <c r="E2147" s="883">
        <v>0.99224237331898912</v>
      </c>
      <c r="F2147" s="883">
        <v>0.98236382611186601</v>
      </c>
      <c r="G2147" s="883">
        <v>1.0228222451826257</v>
      </c>
      <c r="H2147" s="883">
        <v>1.0128653648959285</v>
      </c>
      <c r="I2147" s="883">
        <v>1.0294812190453806</v>
      </c>
      <c r="K2147">
        <v>1.5878094904943487</v>
      </c>
      <c r="L2147">
        <v>0</v>
      </c>
      <c r="M2147">
        <v>6.3302141676191866E-3</v>
      </c>
      <c r="N2147">
        <v>0.11667043549537176</v>
      </c>
      <c r="O2147">
        <v>2.9897499853998703E-2</v>
      </c>
      <c r="P2147">
        <v>1.7960136208108872E-2</v>
      </c>
      <c r="Q2147">
        <v>0</v>
      </c>
      <c r="R2147">
        <v>6.3302141676191866E-3</v>
      </c>
      <c r="S2147">
        <v>0.16980128203480391</v>
      </c>
      <c r="T2147">
        <v>1.1651805614144046</v>
      </c>
      <c r="U2147">
        <v>0</v>
      </c>
      <c r="V2147">
        <v>1.5713513335133374E-2</v>
      </c>
      <c r="W2147">
        <v>6.1644635031117605E-2</v>
      </c>
      <c r="X2147">
        <v>-1.5125268084726071E-2</v>
      </c>
      <c r="Y2147">
        <v>2.6066695206136917E-2</v>
      </c>
    </row>
    <row r="2148" spans="1:25" x14ac:dyDescent="0.25">
      <c r="A2148" s="879"/>
      <c r="B2148" s="1133">
        <v>1898</v>
      </c>
      <c r="C2148" s="883">
        <v>1.0063312641222955</v>
      </c>
      <c r="D2148" s="883">
        <v>1.0052188884857378</v>
      </c>
      <c r="E2148" s="883">
        <v>1.0152565248521748</v>
      </c>
      <c r="F2148" s="883">
        <v>0.99101381239181929</v>
      </c>
      <c r="G2148" s="883">
        <v>0.98630989987097539</v>
      </c>
      <c r="H2148" s="883">
        <v>0.97768210334481731</v>
      </c>
      <c r="I2148" s="883">
        <v>1.0082292516160849</v>
      </c>
      <c r="K2148">
        <v>1.5958699488769479</v>
      </c>
      <c r="L2148">
        <v>0</v>
      </c>
      <c r="M2148">
        <v>6.1309659195407399E-3</v>
      </c>
      <c r="N2148">
        <v>0.11691614763769854</v>
      </c>
      <c r="O2148">
        <v>3.057662268869989E-2</v>
      </c>
      <c r="P2148">
        <v>1.8380954653176178E-2</v>
      </c>
      <c r="Q2148">
        <v>0</v>
      </c>
      <c r="R2148">
        <v>6.1309659195407399E-3</v>
      </c>
      <c r="S2148">
        <v>0.16768969491230107</v>
      </c>
      <c r="T2148">
        <v>1.1750167963017479</v>
      </c>
      <c r="U2148">
        <v>0</v>
      </c>
      <c r="V2148">
        <v>1.5819613099224757E-2</v>
      </c>
      <c r="W2148">
        <v>6.1073488534431099E-2</v>
      </c>
      <c r="X2148">
        <v>-1.4849595335747217E-2</v>
      </c>
      <c r="Y2148">
        <v>2.524622638541596E-2</v>
      </c>
    </row>
    <row r="2149" spans="1:25" x14ac:dyDescent="0.25">
      <c r="A2149" s="879"/>
      <c r="B2149" s="1133">
        <v>1899</v>
      </c>
      <c r="C2149" s="883">
        <v>0.97350664976491363</v>
      </c>
      <c r="D2149" s="883">
        <v>0.9930122221779244</v>
      </c>
      <c r="E2149" s="883">
        <v>1.014046784390924</v>
      </c>
      <c r="F2149" s="883">
        <v>0.99405759928234527</v>
      </c>
      <c r="G2149" s="883">
        <v>0.98064798676083187</v>
      </c>
      <c r="H2149" s="883">
        <v>1.0223831841216011</v>
      </c>
      <c r="I2149" s="883">
        <v>1.028988504097893</v>
      </c>
      <c r="K2149">
        <v>1.6288789867895148</v>
      </c>
      <c r="L2149">
        <v>0</v>
      </c>
      <c r="M2149">
        <v>6.6707319876318939E-3</v>
      </c>
      <c r="N2149">
        <v>0.12698183097306973</v>
      </c>
      <c r="O2149">
        <v>3.1763562705557274E-2</v>
      </c>
      <c r="P2149">
        <v>1.8579627730471757E-2</v>
      </c>
      <c r="Q2149">
        <v>0</v>
      </c>
      <c r="R2149">
        <v>6.6707319876318939E-3</v>
      </c>
      <c r="S2149">
        <v>0.17978378502452938</v>
      </c>
      <c r="T2149">
        <v>1.1786479997208084</v>
      </c>
      <c r="U2149">
        <v>0</v>
      </c>
      <c r="V2149">
        <v>1.6002274080212937E-2</v>
      </c>
      <c r="W2149">
        <v>6.6371125440421438E-2</v>
      </c>
      <c r="X2149">
        <v>-1.6720105864593819E-2</v>
      </c>
      <c r="Y2149">
        <v>2.7468886979036721E-2</v>
      </c>
    </row>
    <row r="2150" spans="1:25" x14ac:dyDescent="0.25">
      <c r="A2150" s="879"/>
      <c r="B2150" s="1133">
        <v>1900</v>
      </c>
      <c r="C2150" s="883">
        <v>1.0010920472984082</v>
      </c>
      <c r="D2150" s="883">
        <v>1.0448526274102337</v>
      </c>
      <c r="E2150" s="883">
        <v>1.0100833923420864</v>
      </c>
      <c r="F2150" s="883">
        <v>0.98866310957970516</v>
      </c>
      <c r="G2150" s="883">
        <v>0.97899655862280743</v>
      </c>
      <c r="H2150" s="883">
        <v>1.0125463172025919</v>
      </c>
      <c r="I2150" s="883">
        <v>1.0425243652804477</v>
      </c>
      <c r="K2150">
        <v>1.6051266779518574</v>
      </c>
      <c r="L2150">
        <v>0</v>
      </c>
      <c r="M2150">
        <v>6.3022824499188064E-3</v>
      </c>
      <c r="N2150">
        <v>0.11926642166889236</v>
      </c>
      <c r="O2150">
        <v>3.0269370763659417E-2</v>
      </c>
      <c r="P2150">
        <v>1.8386012930626826E-2</v>
      </c>
      <c r="Q2150">
        <v>0</v>
      </c>
      <c r="R2150">
        <v>6.3022824499188064E-3</v>
      </c>
      <c r="S2150">
        <v>0.17599184839288101</v>
      </c>
      <c r="T2150">
        <v>1.1723244039154672</v>
      </c>
      <c r="U2150">
        <v>0</v>
      </c>
      <c r="V2150">
        <v>1.5847964690304809E-2</v>
      </c>
      <c r="W2150">
        <v>6.2460639877006931E-2</v>
      </c>
      <c r="X2150">
        <v>-1.5371661651288147E-2</v>
      </c>
      <c r="Y2150">
        <v>2.5951677364307164E-2</v>
      </c>
    </row>
    <row r="2151" spans="1:25" x14ac:dyDescent="0.25">
      <c r="A2151" s="879"/>
      <c r="B2151" s="1133">
        <v>1901</v>
      </c>
      <c r="C2151" s="883">
        <v>0.9923719663489563</v>
      </c>
      <c r="D2151" s="883">
        <v>0.98465539100402688</v>
      </c>
      <c r="E2151" s="883">
        <v>0.99082553167363796</v>
      </c>
      <c r="F2151" s="883">
        <v>1.0250449372605301</v>
      </c>
      <c r="G2151" s="883">
        <v>1.0073760119036372</v>
      </c>
      <c r="H2151" s="883">
        <v>1.0248251321471866</v>
      </c>
      <c r="I2151" s="883">
        <v>1.0094493890279501</v>
      </c>
      <c r="K2151">
        <v>1.6553155411060205</v>
      </c>
      <c r="L2151">
        <v>0</v>
      </c>
      <c r="M2151">
        <v>6.7193037828279087E-3</v>
      </c>
      <c r="N2151">
        <v>0.12358180232624698</v>
      </c>
      <c r="O2151">
        <v>3.1285448968574991E-2</v>
      </c>
      <c r="P2151">
        <v>1.866136980984813E-2</v>
      </c>
      <c r="Q2151">
        <v>0</v>
      </c>
      <c r="R2151">
        <v>6.7193037828279087E-3</v>
      </c>
      <c r="S2151">
        <v>0.17323066827612113</v>
      </c>
      <c r="T2151">
        <v>1.2158316220597567</v>
      </c>
      <c r="U2151">
        <v>0</v>
      </c>
      <c r="V2151">
        <v>1.5895816466061797E-2</v>
      </c>
      <c r="W2151">
        <v>6.5342484329066711E-2</v>
      </c>
      <c r="X2151">
        <v>-1.6182568115852117E-2</v>
      </c>
      <c r="Y2151">
        <v>2.7668896986196661E-2</v>
      </c>
    </row>
    <row r="2152" spans="1:25" x14ac:dyDescent="0.25">
      <c r="A2152" s="879"/>
      <c r="B2152" s="1133">
        <v>1902</v>
      </c>
      <c r="C2152" s="883">
        <v>0.98981739062664109</v>
      </c>
      <c r="D2152" s="883">
        <v>1.0034633685460872</v>
      </c>
      <c r="E2152" s="883">
        <v>0.99793380864074699</v>
      </c>
      <c r="F2152" s="883">
        <v>1.0418187007146495</v>
      </c>
      <c r="G2152" s="883">
        <v>0.98044767347660533</v>
      </c>
      <c r="H2152" s="883">
        <v>1.0130027759688904</v>
      </c>
      <c r="I2152" s="883">
        <v>1.0127365226571636</v>
      </c>
      <c r="K2152">
        <v>1.6725419117177984</v>
      </c>
      <c r="L2152">
        <v>0</v>
      </c>
      <c r="M2152">
        <v>6.5621016053177628E-3</v>
      </c>
      <c r="N2152">
        <v>0.12196874747144723</v>
      </c>
      <c r="O2152">
        <v>3.1123709829341092E-2</v>
      </c>
      <c r="P2152">
        <v>1.9028110734231291E-2</v>
      </c>
      <c r="Q2152">
        <v>0</v>
      </c>
      <c r="R2152">
        <v>6.5621016053177628E-3</v>
      </c>
      <c r="S2152">
        <v>0.17333959764783446</v>
      </c>
      <c r="T2152">
        <v>1.2355895894618523</v>
      </c>
      <c r="U2152">
        <v>0</v>
      </c>
      <c r="V2152">
        <v>1.590999447527619E-2</v>
      </c>
      <c r="W2152">
        <v>6.426181760111839E-2</v>
      </c>
      <c r="X2152">
        <v>-1.5701221903456186E-2</v>
      </c>
      <c r="Y2152">
        <v>2.7021566400154382E-2</v>
      </c>
    </row>
    <row r="2153" spans="1:25" x14ac:dyDescent="0.25">
      <c r="A2153" s="879"/>
      <c r="B2153" s="1133">
        <v>1903</v>
      </c>
      <c r="C2153" s="883">
        <v>1.0061272103010066</v>
      </c>
      <c r="D2153" s="883">
        <v>1.0393054179761452</v>
      </c>
      <c r="E2153" s="883">
        <v>0.96869307232615509</v>
      </c>
      <c r="F2153" s="883">
        <v>1.0127102813577777</v>
      </c>
      <c r="G2153" s="883">
        <v>1.0341685619593932</v>
      </c>
      <c r="H2153" s="883">
        <v>1.0046887141657568</v>
      </c>
      <c r="I2153" s="883">
        <v>0.97474146793057137</v>
      </c>
      <c r="K2153">
        <v>1.6173389675829584</v>
      </c>
      <c r="L2153">
        <v>0</v>
      </c>
      <c r="M2153">
        <v>6.4661972109489518E-3</v>
      </c>
      <c r="N2153">
        <v>0.11508475609245492</v>
      </c>
      <c r="O2153">
        <v>3.0215306133743298E-2</v>
      </c>
      <c r="P2153">
        <v>1.8028973337337658E-2</v>
      </c>
      <c r="Q2153">
        <v>0</v>
      </c>
      <c r="R2153">
        <v>6.4661972109489518E-3</v>
      </c>
      <c r="S2153">
        <v>0.16329898050519048</v>
      </c>
      <c r="T2153">
        <v>1.2016197208545583</v>
      </c>
      <c r="U2153">
        <v>0</v>
      </c>
      <c r="V2153">
        <v>1.5820711793630905E-2</v>
      </c>
      <c r="W2153">
        <v>6.1527920364390649E-2</v>
      </c>
      <c r="X2153">
        <v>-1.4884050672837587E-2</v>
      </c>
      <c r="Y2153">
        <v>2.6626649174489477E-2</v>
      </c>
    </row>
    <row r="2154" spans="1:25" x14ac:dyDescent="0.25">
      <c r="A2154" s="879"/>
      <c r="B2154" s="1133">
        <v>1904</v>
      </c>
      <c r="C2154" s="883">
        <v>1.0061675013519615</v>
      </c>
      <c r="D2154" s="883">
        <v>1.0244005658877009</v>
      </c>
      <c r="E2154" s="883">
        <v>0.99581552020372355</v>
      </c>
      <c r="F2154" s="883">
        <v>1.0115685002731449</v>
      </c>
      <c r="G2154" s="883">
        <v>1.0160441178956059</v>
      </c>
      <c r="H2154" s="883">
        <v>1.0147394994521408</v>
      </c>
      <c r="I2154" s="883">
        <v>0.96745789603611387</v>
      </c>
      <c r="K2154">
        <v>1.6198267168531693</v>
      </c>
      <c r="L2154">
        <v>0</v>
      </c>
      <c r="M2154">
        <v>6.4191567013651037E-3</v>
      </c>
      <c r="N2154">
        <v>0.11893792849037203</v>
      </c>
      <c r="O2154">
        <v>3.0367842711382282E-2</v>
      </c>
      <c r="P2154">
        <v>1.8377712336896682E-2</v>
      </c>
      <c r="Q2154">
        <v>0</v>
      </c>
      <c r="R2154">
        <v>6.4191567013651037E-3</v>
      </c>
      <c r="S2154">
        <v>0.16278919078853504</v>
      </c>
      <c r="T2154">
        <v>1.1997529199988501</v>
      </c>
      <c r="U2154">
        <v>0</v>
      </c>
      <c r="V2154">
        <v>1.5820494817751891E-2</v>
      </c>
      <c r="W2154">
        <v>6.2731009852993125E-2</v>
      </c>
      <c r="X2154">
        <v>-1.5383326872534206E-2</v>
      </c>
      <c r="Y2154">
        <v>2.6432944728921763E-2</v>
      </c>
    </row>
    <row r="2155" spans="1:25" x14ac:dyDescent="0.25">
      <c r="A2155" s="879"/>
      <c r="B2155" s="1133">
        <v>1905</v>
      </c>
      <c r="C2155" s="883">
        <v>1.0052134558235597</v>
      </c>
      <c r="D2155" s="883">
        <v>0.98531558424009602</v>
      </c>
      <c r="E2155" s="883">
        <v>0.98850324912073706</v>
      </c>
      <c r="F2155" s="883">
        <v>0.99226642125700404</v>
      </c>
      <c r="G2155" s="883">
        <v>1.048681470782117</v>
      </c>
      <c r="H2155" s="883">
        <v>1.0261732918634556</v>
      </c>
      <c r="I2155" s="883">
        <v>1.0031151004995393</v>
      </c>
      <c r="K2155">
        <v>1.6095903679432584</v>
      </c>
      <c r="L2155">
        <v>0</v>
      </c>
      <c r="M2155">
        <v>6.6536737708419585E-3</v>
      </c>
      <c r="N2155">
        <v>0.12195411319750177</v>
      </c>
      <c r="O2155">
        <v>3.0879409355995712E-2</v>
      </c>
      <c r="P2155">
        <v>1.8069792139595031E-2</v>
      </c>
      <c r="Q2155">
        <v>0</v>
      </c>
      <c r="R2155">
        <v>6.6536737708419585E-3</v>
      </c>
      <c r="S2155">
        <v>0.17001311256388804</v>
      </c>
      <c r="T2155">
        <v>1.1769951291209599</v>
      </c>
      <c r="U2155">
        <v>0</v>
      </c>
      <c r="V2155">
        <v>1.5825637226124147E-2</v>
      </c>
      <c r="W2155">
        <v>6.4556588568741802E-2</v>
      </c>
      <c r="X2155">
        <v>-1.6102058508093084E-2</v>
      </c>
      <c r="Y2155">
        <v>2.7398644278545169E-2</v>
      </c>
    </row>
    <row r="2156" spans="1:25" x14ac:dyDescent="0.25">
      <c r="A2156" s="879"/>
      <c r="B2156" s="1133">
        <v>1906</v>
      </c>
      <c r="C2156" s="883">
        <v>1.0395739289005947</v>
      </c>
      <c r="D2156" s="883">
        <v>1.0022475548658509</v>
      </c>
      <c r="E2156" s="883">
        <v>1.0242805273323092</v>
      </c>
      <c r="F2156" s="883">
        <v>1.0166311009136513</v>
      </c>
      <c r="G2156" s="883">
        <v>0.97068983698442435</v>
      </c>
      <c r="H2156" s="883">
        <v>0.99302495389964618</v>
      </c>
      <c r="I2156" s="883">
        <v>1.0054126117935613</v>
      </c>
      <c r="K2156">
        <v>1.6182243248954387</v>
      </c>
      <c r="L2156">
        <v>0</v>
      </c>
      <c r="M2156">
        <v>5.9885187173416773E-3</v>
      </c>
      <c r="N2156">
        <v>0.1157344236525478</v>
      </c>
      <c r="O2156">
        <v>2.9626057879528198E-2</v>
      </c>
      <c r="P2156">
        <v>1.8846746653216343E-2</v>
      </c>
      <c r="Q2156">
        <v>0</v>
      </c>
      <c r="R2156">
        <v>5.9885187173416773E-3</v>
      </c>
      <c r="S2156">
        <v>0.16277012123392545</v>
      </c>
      <c r="T2156">
        <v>1.2052207809346871</v>
      </c>
      <c r="U2156">
        <v>0</v>
      </c>
      <c r="V2156">
        <v>1.5646382133539395E-2</v>
      </c>
      <c r="W2156">
        <v>6.0188024724907516E-2</v>
      </c>
      <c r="X2156">
        <v>-1.4467866478330222E-2</v>
      </c>
      <c r="Y2156">
        <v>2.4659654161417029E-2</v>
      </c>
    </row>
    <row r="2157" spans="1:25" x14ac:dyDescent="0.25">
      <c r="A2157" s="879"/>
      <c r="B2157" s="1133">
        <v>1907</v>
      </c>
      <c r="C2157" s="883">
        <v>0.96820734628227556</v>
      </c>
      <c r="D2157" s="883">
        <v>0.97475932488480299</v>
      </c>
      <c r="E2157" s="883">
        <v>1.0187038078955835</v>
      </c>
      <c r="F2157" s="883">
        <v>0.98516261204183253</v>
      </c>
      <c r="G2157" s="883">
        <v>1.0239504036022982</v>
      </c>
      <c r="H2157" s="883">
        <v>1.0311985746976968</v>
      </c>
      <c r="I2157" s="883">
        <v>1.0226231750185644</v>
      </c>
      <c r="K2157">
        <v>1.6239081755193059</v>
      </c>
      <c r="L2157">
        <v>0</v>
      </c>
      <c r="M2157">
        <v>6.7935988297339748E-3</v>
      </c>
      <c r="N2157">
        <v>0.13021490118558662</v>
      </c>
      <c r="O2157">
        <v>3.2170935501654029E-2</v>
      </c>
      <c r="P2157">
        <v>1.8509223794737597E-2</v>
      </c>
      <c r="Q2157">
        <v>0</v>
      </c>
      <c r="R2157">
        <v>6.7935988297339748E-3</v>
      </c>
      <c r="S2157">
        <v>0.18041758600298458</v>
      </c>
      <c r="T2157">
        <v>1.1680163309971034</v>
      </c>
      <c r="U2157">
        <v>0</v>
      </c>
      <c r="V2157">
        <v>1.6032924578313634E-2</v>
      </c>
      <c r="W2157">
        <v>6.7904808267560596E-2</v>
      </c>
      <c r="X2157">
        <v>-1.7333365573964959E-2</v>
      </c>
      <c r="Y2157">
        <v>2.7974830765330461E-2</v>
      </c>
    </row>
    <row r="2158" spans="1:25" x14ac:dyDescent="0.25">
      <c r="A2158" s="879"/>
      <c r="B2158" s="1133">
        <v>1908</v>
      </c>
      <c r="C2158" s="883">
        <v>1.0235194145920121</v>
      </c>
      <c r="D2158" s="883">
        <v>1.0223639153699182</v>
      </c>
      <c r="E2158" s="883">
        <v>1.0221889208300055</v>
      </c>
      <c r="F2158" s="883">
        <v>0.99108943301028174</v>
      </c>
      <c r="G2158" s="883">
        <v>1.0156122145846258</v>
      </c>
      <c r="H2158" s="883">
        <v>0.968430168246594</v>
      </c>
      <c r="I2158" s="883">
        <v>1.0389688081597914</v>
      </c>
      <c r="K2158">
        <v>1.5909488967887881</v>
      </c>
      <c r="L2158">
        <v>0</v>
      </c>
      <c r="M2158">
        <v>5.8902739775232634E-3</v>
      </c>
      <c r="N2158">
        <v>0.11348415072834532</v>
      </c>
      <c r="O2158">
        <v>2.9854377259415726E-2</v>
      </c>
      <c r="P2158">
        <v>1.8495137338221869E-2</v>
      </c>
      <c r="Q2158">
        <v>0</v>
      </c>
      <c r="R2158">
        <v>5.8902739775232634E-3</v>
      </c>
      <c r="S2158">
        <v>0.16920844689092635</v>
      </c>
      <c r="T2158">
        <v>1.1749793320222655</v>
      </c>
      <c r="U2158">
        <v>0</v>
      </c>
      <c r="V2158">
        <v>1.5728638921754474E-2</v>
      </c>
      <c r="W2158">
        <v>5.9078521385042874E-2</v>
      </c>
      <c r="X2158">
        <v>-1.4134807566941956E-2</v>
      </c>
      <c r="Y2158">
        <v>2.4255099809756601E-2</v>
      </c>
    </row>
    <row r="2159" spans="1:25" x14ac:dyDescent="0.25">
      <c r="A2159" s="879"/>
      <c r="B2159" s="1133">
        <v>1909</v>
      </c>
      <c r="C2159" s="883">
        <v>1.0256415738036435</v>
      </c>
      <c r="D2159" s="883">
        <v>0.99789079706166073</v>
      </c>
      <c r="E2159" s="883">
        <v>1.048103363871121</v>
      </c>
      <c r="F2159" s="883">
        <v>1.0220601368383935</v>
      </c>
      <c r="G2159" s="883">
        <v>0.99203369524831753</v>
      </c>
      <c r="H2159" s="883">
        <v>1.019701528468258</v>
      </c>
      <c r="I2159" s="883">
        <v>1.0249380982277652</v>
      </c>
      <c r="K2159">
        <v>1.6412472911997451</v>
      </c>
      <c r="L2159">
        <v>0</v>
      </c>
      <c r="M2159">
        <v>6.1159333271600001E-3</v>
      </c>
      <c r="N2159">
        <v>0.12243131137270254</v>
      </c>
      <c r="O2159">
        <v>3.0058657923636611E-2</v>
      </c>
      <c r="P2159">
        <v>1.9360958491593347E-2</v>
      </c>
      <c r="Q2159">
        <v>0</v>
      </c>
      <c r="R2159">
        <v>6.1159333271600001E-3</v>
      </c>
      <c r="S2159">
        <v>0.16980182126983473</v>
      </c>
      <c r="T2159">
        <v>1.2112083056997462</v>
      </c>
      <c r="U2159">
        <v>0</v>
      </c>
      <c r="V2159">
        <v>1.5717618142523832E-2</v>
      </c>
      <c r="W2159">
        <v>6.2932815436200731E-2</v>
      </c>
      <c r="X2159">
        <v>-1.5448521982187118E-2</v>
      </c>
      <c r="Y2159">
        <v>2.5184324845693763E-2</v>
      </c>
    </row>
    <row r="2160" spans="1:25" x14ac:dyDescent="0.25">
      <c r="A2160" s="879"/>
      <c r="B2160" s="1133">
        <v>1910</v>
      </c>
      <c r="C2160" s="883">
        <v>0.96495726907679191</v>
      </c>
      <c r="D2160" s="883">
        <v>0.99722561540441179</v>
      </c>
      <c r="E2160" s="883">
        <v>0.9959148480136043</v>
      </c>
      <c r="F2160" s="883">
        <v>0.98027781785870527</v>
      </c>
      <c r="G2160" s="883">
        <v>1.0063289895352323</v>
      </c>
      <c r="H2160" s="883">
        <v>0.99536015934497024</v>
      </c>
      <c r="I2160" s="883">
        <v>1.004470229707056</v>
      </c>
      <c r="K2160">
        <v>1.6033055490297035</v>
      </c>
      <c r="L2160">
        <v>0</v>
      </c>
      <c r="M2160">
        <v>6.6440542121131508E-3</v>
      </c>
      <c r="N2160">
        <v>0.12312308452663175</v>
      </c>
      <c r="O2160">
        <v>3.2007041655556137E-2</v>
      </c>
      <c r="P2160">
        <v>1.8055257916870449E-2</v>
      </c>
      <c r="Q2160">
        <v>0</v>
      </c>
      <c r="R2160">
        <v>6.6440542121131508E-3</v>
      </c>
      <c r="S2160">
        <v>0.17535381626502197</v>
      </c>
      <c r="T2160">
        <v>1.1626393484232787</v>
      </c>
      <c r="U2160">
        <v>0</v>
      </c>
      <c r="V2160">
        <v>1.6051889159805429E-2</v>
      </c>
      <c r="W2160">
        <v>6.4935163142176414E-2</v>
      </c>
      <c r="X2160">
        <v>-1.6219084707555564E-2</v>
      </c>
      <c r="Y2160">
        <v>2.7359032647917572E-2</v>
      </c>
    </row>
    <row r="2161" spans="1:25" x14ac:dyDescent="0.25">
      <c r="A2161" s="879"/>
      <c r="B2161" s="1133">
        <v>1911</v>
      </c>
      <c r="C2161" s="883">
        <v>0.99795041106257854</v>
      </c>
      <c r="D2161" s="883">
        <v>0.97035234570667939</v>
      </c>
      <c r="E2161" s="883">
        <v>0.98620783028750458</v>
      </c>
      <c r="F2161" s="883">
        <v>0.99654468737018731</v>
      </c>
      <c r="G2161" s="883">
        <v>0.98979251267076696</v>
      </c>
      <c r="H2161" s="883">
        <v>1.0093899340091816</v>
      </c>
      <c r="I2161" s="883">
        <v>0.97457454642361452</v>
      </c>
      <c r="K2161">
        <v>1.6101670759087889</v>
      </c>
      <c r="L2161">
        <v>0</v>
      </c>
      <c r="M2161">
        <v>6.6509992291126259E-3</v>
      </c>
      <c r="N2161">
        <v>0.12149085574356337</v>
      </c>
      <c r="O2161">
        <v>3.1297019698033092E-2</v>
      </c>
      <c r="P2161">
        <v>1.804751001125279E-2</v>
      </c>
      <c r="Q2161">
        <v>0</v>
      </c>
      <c r="R2161">
        <v>6.6509992291126259E-3</v>
      </c>
      <c r="S2161">
        <v>0.16558100092771702</v>
      </c>
      <c r="T2161">
        <v>1.182112513438331</v>
      </c>
      <c r="U2161">
        <v>0</v>
      </c>
      <c r="V2161">
        <v>1.5865108169539784E-2</v>
      </c>
      <c r="W2161">
        <v>6.4385098438204572E-2</v>
      </c>
      <c r="X2161">
        <v>-1.59996615096063E-2</v>
      </c>
      <c r="Y2161">
        <v>2.7387630991754463E-2</v>
      </c>
    </row>
    <row r="2162" spans="1:25" x14ac:dyDescent="0.25">
      <c r="A2162" s="879"/>
      <c r="B2162" s="1133">
        <v>1912</v>
      </c>
      <c r="C2162" s="883">
        <v>1.0264794637610803</v>
      </c>
      <c r="D2162" s="883">
        <v>1.0010371800989368</v>
      </c>
      <c r="E2162" s="883">
        <v>1.0020991461878637</v>
      </c>
      <c r="F2162" s="883">
        <v>1.023799381046796</v>
      </c>
      <c r="G2162" s="883">
        <v>1.0426105235428422</v>
      </c>
      <c r="H2162" s="883">
        <v>1.0136547703040046</v>
      </c>
      <c r="I2162" s="883">
        <v>0.98674364661780467</v>
      </c>
      <c r="K2162">
        <v>1.6325869976247007</v>
      </c>
      <c r="L2162">
        <v>0</v>
      </c>
      <c r="M2162">
        <v>6.3156171856144586E-3</v>
      </c>
      <c r="N2162">
        <v>0.11811400151276058</v>
      </c>
      <c r="O2162">
        <v>3.003770716102409E-2</v>
      </c>
      <c r="P2162">
        <v>1.8658566507317571E-2</v>
      </c>
      <c r="Q2162">
        <v>0</v>
      </c>
      <c r="R2162">
        <v>6.3156171856144586E-3</v>
      </c>
      <c r="S2162">
        <v>0.16292348710982657</v>
      </c>
      <c r="T2162">
        <v>1.214139548252867</v>
      </c>
      <c r="U2162">
        <v>0</v>
      </c>
      <c r="V2162">
        <v>1.5713279367368001E-2</v>
      </c>
      <c r="W2162">
        <v>6.2102263256682361E-2</v>
      </c>
      <c r="X2162">
        <v>-1.5108442975553296E-2</v>
      </c>
      <c r="Y2162">
        <v>2.6006587432407392E-2</v>
      </c>
    </row>
    <row r="2163" spans="1:25" x14ac:dyDescent="0.25">
      <c r="A2163" s="879"/>
      <c r="B2163" s="1133">
        <v>1913</v>
      </c>
      <c r="C2163" s="883">
        <v>0.97952346317261241</v>
      </c>
      <c r="D2163" s="883">
        <v>1.0034389776533614</v>
      </c>
      <c r="E2163" s="883">
        <v>0.98131132313616409</v>
      </c>
      <c r="F2163" s="883">
        <v>1.0134439628293723</v>
      </c>
      <c r="G2163" s="883">
        <v>1.0126605297397557</v>
      </c>
      <c r="H2163" s="883">
        <v>1.0414647145892195</v>
      </c>
      <c r="I2163" s="883">
        <v>1.002058146718124</v>
      </c>
      <c r="K2163">
        <v>1.6468959674037447</v>
      </c>
      <c r="L2163">
        <v>0</v>
      </c>
      <c r="M2163">
        <v>6.9170510483215599E-3</v>
      </c>
      <c r="N2163">
        <v>0.12543636811469153</v>
      </c>
      <c r="O2163">
        <v>3.146500923619365E-2</v>
      </c>
      <c r="P2163">
        <v>1.8370695368252025E-2</v>
      </c>
      <c r="Q2163">
        <v>0</v>
      </c>
      <c r="R2163">
        <v>6.9170510483215599E-3</v>
      </c>
      <c r="S2163">
        <v>0.17498159876760241</v>
      </c>
      <c r="T2163">
        <v>1.2022512023646836</v>
      </c>
      <c r="U2163">
        <v>0</v>
      </c>
      <c r="V2163">
        <v>1.5967875634569952E-2</v>
      </c>
      <c r="W2163">
        <v>6.6638986215696527E-2</v>
      </c>
      <c r="X2163">
        <v>-1.6698953325743462E-2</v>
      </c>
      <c r="Y2163">
        <v>2.8483185027798383E-2</v>
      </c>
    </row>
    <row r="2164" spans="1:25" x14ac:dyDescent="0.25">
      <c r="A2164" s="879"/>
      <c r="B2164" s="1133">
        <v>1914</v>
      </c>
      <c r="C2164" s="883">
        <v>1.0150981251415294</v>
      </c>
      <c r="D2164" s="883">
        <v>1.0191675537688853</v>
      </c>
      <c r="E2164" s="883">
        <v>1.0185634160568151</v>
      </c>
      <c r="F2164" s="883">
        <v>1.0081955582683975</v>
      </c>
      <c r="G2164" s="883">
        <v>0.98736323076092214</v>
      </c>
      <c r="H2164" s="883">
        <v>0.99029520795264292</v>
      </c>
      <c r="I2164" s="883">
        <v>0.97769801606990903</v>
      </c>
      <c r="K2164">
        <v>1.6098833569584128</v>
      </c>
      <c r="L2164">
        <v>0</v>
      </c>
      <c r="M2164">
        <v>6.1010458379016702E-3</v>
      </c>
      <c r="N2164">
        <v>0.11691624871002911</v>
      </c>
      <c r="O2164">
        <v>3.0143004312316004E-2</v>
      </c>
      <c r="P2164">
        <v>1.8620948150479318E-2</v>
      </c>
      <c r="Q2164">
        <v>0</v>
      </c>
      <c r="R2164">
        <v>6.1010458379016702E-3</v>
      </c>
      <c r="S2164">
        <v>0.16178490841927007</v>
      </c>
      <c r="T2164">
        <v>1.1953269872657293</v>
      </c>
      <c r="U2164">
        <v>0</v>
      </c>
      <c r="V2164">
        <v>1.5772826533074089E-2</v>
      </c>
      <c r="W2164">
        <v>6.0974011018210816E-2</v>
      </c>
      <c r="X2164">
        <v>-1.4778598265499113E-2</v>
      </c>
      <c r="Y2164">
        <v>2.5123020814802267E-2</v>
      </c>
    </row>
    <row r="2165" spans="1:25" x14ac:dyDescent="0.25">
      <c r="A2165" s="879"/>
      <c r="B2165" s="1133">
        <v>1915</v>
      </c>
      <c r="C2165" s="883">
        <v>1.0208814119697061</v>
      </c>
      <c r="D2165" s="883">
        <v>0.98530322530367209</v>
      </c>
      <c r="E2165" s="883">
        <v>0.97049837307058306</v>
      </c>
      <c r="F2165" s="883">
        <v>1.0247675455550589</v>
      </c>
      <c r="G2165" s="883">
        <v>0.99287420129518766</v>
      </c>
      <c r="H2165" s="883">
        <v>0.99698345518786591</v>
      </c>
      <c r="I2165" s="883">
        <v>1.0122762924579232</v>
      </c>
      <c r="K2165">
        <v>1.6363870307327404</v>
      </c>
      <c r="L2165">
        <v>0</v>
      </c>
      <c r="M2165">
        <v>6.4659091258630957E-3</v>
      </c>
      <c r="N2165">
        <v>0.11538852006609865</v>
      </c>
      <c r="O2165">
        <v>3.0419675949772414E-2</v>
      </c>
      <c r="P2165">
        <v>1.8291297268945777E-2</v>
      </c>
      <c r="Q2165">
        <v>0</v>
      </c>
      <c r="R2165">
        <v>6.4659091258630957E-3</v>
      </c>
      <c r="S2165">
        <v>0.16722463836742804</v>
      </c>
      <c r="T2165">
        <v>1.2158915009201925</v>
      </c>
      <c r="U2165">
        <v>0</v>
      </c>
      <c r="V2165">
        <v>1.5742402453300663E-2</v>
      </c>
      <c r="W2165">
        <v>6.1634345948666333E-2</v>
      </c>
      <c r="X2165">
        <v>-1.4830813133046843E-2</v>
      </c>
      <c r="Y2165">
        <v>2.662546289138315E-2</v>
      </c>
    </row>
    <row r="2166" spans="1:25" x14ac:dyDescent="0.25">
      <c r="A2166" s="879"/>
      <c r="B2166" s="1133">
        <v>1916</v>
      </c>
      <c r="C2166" s="883">
        <v>0.99246665607197104</v>
      </c>
      <c r="D2166" s="883">
        <v>0.98710014406068214</v>
      </c>
      <c r="E2166" s="883">
        <v>1.0069349857195604</v>
      </c>
      <c r="F2166" s="883">
        <v>1.0000979183743999</v>
      </c>
      <c r="G2166" s="883">
        <v>1.0054784675891133</v>
      </c>
      <c r="H2166" s="883">
        <v>0.98633573035258948</v>
      </c>
      <c r="I2166" s="883">
        <v>0.96922312723432236</v>
      </c>
      <c r="K2166">
        <v>1.6092018104633234</v>
      </c>
      <c r="L2166">
        <v>0</v>
      </c>
      <c r="M2166">
        <v>6.3689252405783247E-3</v>
      </c>
      <c r="N2166">
        <v>0.11996707523153417</v>
      </c>
      <c r="O2166">
        <v>3.1237614873803846E-2</v>
      </c>
      <c r="P2166">
        <v>1.8366183056650501E-2</v>
      </c>
      <c r="Q2166">
        <v>0</v>
      </c>
      <c r="R2166">
        <v>6.3689252405783247E-3</v>
      </c>
      <c r="S2166">
        <v>0.16410983478322058</v>
      </c>
      <c r="T2166">
        <v>1.1859418283389322</v>
      </c>
      <c r="U2166">
        <v>0</v>
      </c>
      <c r="V2166">
        <v>1.5895292336717475E-2</v>
      </c>
      <c r="W2166">
        <v>6.2925549866786112E-2</v>
      </c>
      <c r="X2166">
        <v>-1.5467668538590301E-2</v>
      </c>
      <c r="Y2166">
        <v>2.6226100514268519E-2</v>
      </c>
    </row>
    <row r="2167" spans="1:25" x14ac:dyDescent="0.25">
      <c r="A2167" s="879"/>
      <c r="B2167" s="1133">
        <v>1917</v>
      </c>
      <c r="C2167" s="883">
        <v>0.97668601615040118</v>
      </c>
      <c r="D2167" s="883">
        <v>1.0354724339633887</v>
      </c>
      <c r="E2167" s="883">
        <v>0.96387908251764176</v>
      </c>
      <c r="F2167" s="883">
        <v>0.97598379587435369</v>
      </c>
      <c r="G2167" s="883">
        <v>1.0467834557355529</v>
      </c>
      <c r="H2167" s="883">
        <v>0.97188194304649511</v>
      </c>
      <c r="I2167" s="883">
        <v>1.0203755249322151</v>
      </c>
      <c r="K2167">
        <v>1.5847051075762946</v>
      </c>
      <c r="L2167">
        <v>0</v>
      </c>
      <c r="M2167">
        <v>6.4813083872435591E-3</v>
      </c>
      <c r="N2167">
        <v>0.11453190122709676</v>
      </c>
      <c r="O2167">
        <v>3.1175807211528808E-2</v>
      </c>
      <c r="P2167">
        <v>1.7539548018634724E-2</v>
      </c>
      <c r="Q2167">
        <v>0</v>
      </c>
      <c r="R2167">
        <v>6.4813083872435591E-3</v>
      </c>
      <c r="S2167">
        <v>0.17417263352135928</v>
      </c>
      <c r="T2167">
        <v>1.1581303421851852</v>
      </c>
      <c r="U2167">
        <v>0</v>
      </c>
      <c r="V2167">
        <v>1.5984044665414136E-2</v>
      </c>
      <c r="W2167">
        <v>6.1380952021799065E-2</v>
      </c>
      <c r="X2167">
        <v>-1.4898995583504082E-2</v>
      </c>
      <c r="Y2167">
        <v>2.668887430878155E-2</v>
      </c>
    </row>
    <row r="2168" spans="1:25" x14ac:dyDescent="0.25">
      <c r="A2168" s="879"/>
      <c r="B2168" s="1133">
        <v>1918</v>
      </c>
      <c r="C2168" s="883">
        <v>0.99336932598623662</v>
      </c>
      <c r="D2168" s="883">
        <v>1.010721311801096</v>
      </c>
      <c r="E2168" s="883">
        <v>1.0152511550050887</v>
      </c>
      <c r="F2168" s="883">
        <v>1.0018252301799355</v>
      </c>
      <c r="G2168" s="883">
        <v>1.0158385672764072</v>
      </c>
      <c r="H2168" s="883">
        <v>0.99720511015050661</v>
      </c>
      <c r="I2168" s="883">
        <v>0.98430557907716687</v>
      </c>
      <c r="K2168">
        <v>1.6140893032817876</v>
      </c>
      <c r="L2168">
        <v>0</v>
      </c>
      <c r="M2168">
        <v>6.319620638220301E-3</v>
      </c>
      <c r="N2168">
        <v>0.12051279325091961</v>
      </c>
      <c r="O2168">
        <v>3.0908041505283805E-2</v>
      </c>
      <c r="P2168">
        <v>1.8544696650044695E-2</v>
      </c>
      <c r="Q2168">
        <v>0</v>
      </c>
      <c r="R2168">
        <v>6.319620638220301E-3</v>
      </c>
      <c r="S2168">
        <v>0.16691213963320564</v>
      </c>
      <c r="T2168">
        <v>1.1878356854631811</v>
      </c>
      <c r="U2168">
        <v>0</v>
      </c>
      <c r="V2168">
        <v>1.5890300868171645E-2</v>
      </c>
      <c r="W2168">
        <v>6.2952435160060188E-2</v>
      </c>
      <c r="X2168">
        <v>-1.5489862186730362E-2</v>
      </c>
      <c r="Y2168">
        <v>2.6023072937650247E-2</v>
      </c>
    </row>
    <row r="2169" spans="1:25" x14ac:dyDescent="0.25">
      <c r="A2169" s="879"/>
      <c r="B2169" s="1133">
        <v>1919</v>
      </c>
      <c r="C2169" s="883">
        <v>1.0418519328688294</v>
      </c>
      <c r="D2169" s="883">
        <v>0.97525643275190843</v>
      </c>
      <c r="E2169" s="883">
        <v>0.98963946620151222</v>
      </c>
      <c r="F2169" s="883">
        <v>0.98041015930967135</v>
      </c>
      <c r="G2169" s="883">
        <v>0.96946818439738491</v>
      </c>
      <c r="H2169" s="883">
        <v>0.97142940730602256</v>
      </c>
      <c r="I2169" s="883">
        <v>0.98488690871640061</v>
      </c>
      <c r="K2169">
        <v>1.5663928417670447</v>
      </c>
      <c r="L2169">
        <v>0</v>
      </c>
      <c r="M2169">
        <v>6.0990732552006601E-3</v>
      </c>
      <c r="N2169">
        <v>0.11197741356713786</v>
      </c>
      <c r="O2169">
        <v>2.9915122811910621E-2</v>
      </c>
      <c r="P2169">
        <v>1.7738154524991844E-2</v>
      </c>
      <c r="Q2169">
        <v>0</v>
      </c>
      <c r="R2169">
        <v>6.0990732552006601E-3</v>
      </c>
      <c r="S2169">
        <v>0.15812965152525799</v>
      </c>
      <c r="T2169">
        <v>1.1629108487313546</v>
      </c>
      <c r="U2169">
        <v>0</v>
      </c>
      <c r="V2169">
        <v>1.5634915943484366E-2</v>
      </c>
      <c r="W2169">
        <v>5.9241819652886829E-2</v>
      </c>
      <c r="X2169">
        <v>-1.4269983060325305E-2</v>
      </c>
      <c r="Y2169">
        <v>2.5114898070346139E-2</v>
      </c>
    </row>
    <row r="2170" spans="1:25" x14ac:dyDescent="0.25">
      <c r="A2170" s="879"/>
      <c r="B2170" s="1133">
        <v>1920</v>
      </c>
      <c r="C2170" s="883">
        <v>0.97953797928578679</v>
      </c>
      <c r="D2170" s="883">
        <v>0.98737728257471691</v>
      </c>
      <c r="E2170" s="883">
        <v>0.98458931037916575</v>
      </c>
      <c r="F2170" s="883">
        <v>0.989397386167714</v>
      </c>
      <c r="G2170" s="883">
        <v>0.97787878308538001</v>
      </c>
      <c r="H2170" s="883">
        <v>1.0035118490887298</v>
      </c>
      <c r="I2170" s="883">
        <v>0.97001534240049703</v>
      </c>
      <c r="K2170">
        <v>1.6047362903526405</v>
      </c>
      <c r="L2170">
        <v>0</v>
      </c>
      <c r="M2170">
        <v>6.6938780220971144E-3</v>
      </c>
      <c r="N2170">
        <v>0.12198094845191927</v>
      </c>
      <c r="O2170">
        <v>3.1665591569440578E-2</v>
      </c>
      <c r="P2170">
        <v>1.7938588051322236E-2</v>
      </c>
      <c r="Q2170">
        <v>0</v>
      </c>
      <c r="R2170">
        <v>6.6938780220971144E-3</v>
      </c>
      <c r="S2170">
        <v>0.16737698393609471</v>
      </c>
      <c r="T2170">
        <v>1.1736641682521771</v>
      </c>
      <c r="U2170">
        <v>0</v>
      </c>
      <c r="V2170">
        <v>1.5967793156163066E-2</v>
      </c>
      <c r="W2170">
        <v>6.469712158103498E-2</v>
      </c>
      <c r="X2170">
        <v>-1.6119102874634989E-2</v>
      </c>
      <c r="Y2170">
        <v>2.7564198229123954E-2</v>
      </c>
    </row>
    <row r="2171" spans="1:25" x14ac:dyDescent="0.25">
      <c r="A2171" s="879"/>
      <c r="B2171" s="1133">
        <v>1921</v>
      </c>
      <c r="C2171" s="883">
        <v>0.95651919468048185</v>
      </c>
      <c r="D2171" s="883">
        <v>0.95463934511289794</v>
      </c>
      <c r="E2171" s="883">
        <v>0.99892929059699254</v>
      </c>
      <c r="F2171" s="883">
        <v>1.0087533038798366</v>
      </c>
      <c r="G2171" s="883">
        <v>0.99304178364848605</v>
      </c>
      <c r="H2171" s="883">
        <v>1.0258293704931074</v>
      </c>
      <c r="I2171" s="883">
        <v>0.9847582499253944</v>
      </c>
      <c r="K2171">
        <v>1.6506869369128188</v>
      </c>
      <c r="L2171">
        <v>0</v>
      </c>
      <c r="M2171">
        <v>7.0253082332460675E-3</v>
      </c>
      <c r="N2171">
        <v>0.13077103579932453</v>
      </c>
      <c r="O2171">
        <v>3.2855325827558297E-2</v>
      </c>
      <c r="P2171">
        <v>1.8553259281428969E-2</v>
      </c>
      <c r="Q2171">
        <v>0</v>
      </c>
      <c r="R2171">
        <v>7.0253082332460675E-3</v>
      </c>
      <c r="S2171">
        <v>0.17576127410773176</v>
      </c>
      <c r="T2171">
        <v>1.1963555932206889</v>
      </c>
      <c r="U2171">
        <v>0</v>
      </c>
      <c r="V2171">
        <v>1.6101727964688964E-2</v>
      </c>
      <c r="W2171">
        <v>6.8865412993248276E-2</v>
      </c>
      <c r="X2171">
        <v>-1.7505661128109105E-2</v>
      </c>
      <c r="Y2171">
        <v>2.8928968846256904E-2</v>
      </c>
    </row>
    <row r="2172" spans="1:25" x14ac:dyDescent="0.25">
      <c r="A2172" s="879"/>
      <c r="B2172" s="1133">
        <v>1922</v>
      </c>
      <c r="C2172" s="883">
        <v>1.0128913393136592</v>
      </c>
      <c r="D2172" s="883">
        <v>0.9893757761151829</v>
      </c>
      <c r="E2172" s="883">
        <v>1.0203240797936124</v>
      </c>
      <c r="F2172" s="883">
        <v>0.99830404414333718</v>
      </c>
      <c r="G2172" s="883">
        <v>1.0325622206967509</v>
      </c>
      <c r="H2172" s="883">
        <v>1.0082064969859923</v>
      </c>
      <c r="I2172" s="883">
        <v>0.98180871848279916</v>
      </c>
      <c r="K2172">
        <v>1.60695443935657</v>
      </c>
      <c r="L2172">
        <v>0</v>
      </c>
      <c r="M2172">
        <v>6.2981130358679199E-3</v>
      </c>
      <c r="N2172">
        <v>0.12100747976198231</v>
      </c>
      <c r="O2172">
        <v>3.0567711887194805E-2</v>
      </c>
      <c r="P2172">
        <v>1.8517575691658138E-2</v>
      </c>
      <c r="Q2172">
        <v>0</v>
      </c>
      <c r="R2172">
        <v>6.2981130358679199E-3</v>
      </c>
      <c r="S2172">
        <v>0.16411529465563718</v>
      </c>
      <c r="T2172">
        <v>1.1835669904557427</v>
      </c>
      <c r="U2172">
        <v>0</v>
      </c>
      <c r="V2172">
        <v>1.578452732735593E-2</v>
      </c>
      <c r="W2172">
        <v>6.3052943143398196E-2</v>
      </c>
      <c r="X2172">
        <v>-1.5592592025771792E-2</v>
      </c>
      <c r="Y2172">
        <v>2.5934508459373656E-2</v>
      </c>
    </row>
    <row r="2173" spans="1:25" x14ac:dyDescent="0.25">
      <c r="A2173" s="879"/>
      <c r="B2173" s="1133">
        <v>1923</v>
      </c>
      <c r="C2173" s="883">
        <v>0.99659302888775581</v>
      </c>
      <c r="D2173" s="883">
        <v>1.0217921263435021</v>
      </c>
      <c r="E2173" s="883">
        <v>1.0382123690286944</v>
      </c>
      <c r="F2173" s="883">
        <v>0.97241530853132985</v>
      </c>
      <c r="G2173" s="883">
        <v>0.97548669824432388</v>
      </c>
      <c r="H2173" s="883">
        <v>0.98225118739922501</v>
      </c>
      <c r="I2173" s="883">
        <v>0.99394685519092996</v>
      </c>
      <c r="K2173">
        <v>1.575294210969707</v>
      </c>
      <c r="L2173">
        <v>0</v>
      </c>
      <c r="M2173">
        <v>6.0516996412502307E-3</v>
      </c>
      <c r="N2173">
        <v>0.11938878838407882</v>
      </c>
      <c r="O2173">
        <v>3.0652898337001362E-2</v>
      </c>
      <c r="P2173">
        <v>1.8379048777579881E-2</v>
      </c>
      <c r="Q2173">
        <v>0</v>
      </c>
      <c r="R2173">
        <v>6.0516996412502307E-3</v>
      </c>
      <c r="S2173">
        <v>0.16706348818033626</v>
      </c>
      <c r="T2173">
        <v>1.152552844630462</v>
      </c>
      <c r="U2173">
        <v>0</v>
      </c>
      <c r="V2173">
        <v>1.5872548656781796E-2</v>
      </c>
      <c r="W2173">
        <v>6.1665787912471237E-2</v>
      </c>
      <c r="X2173">
        <v>-1.5201015869292171E-2</v>
      </c>
      <c r="Y2173">
        <v>2.491982196028723E-2</v>
      </c>
    </row>
    <row r="2174" spans="1:25" x14ac:dyDescent="0.25">
      <c r="A2174" s="879"/>
      <c r="B2174" s="1133">
        <v>1924</v>
      </c>
      <c r="C2174" s="883">
        <v>0.98171974042075305</v>
      </c>
      <c r="D2174" s="883">
        <v>1.0171957694167846</v>
      </c>
      <c r="E2174" s="883">
        <v>1.0264787863670579</v>
      </c>
      <c r="F2174" s="883">
        <v>1.0248200261266398</v>
      </c>
      <c r="G2174" s="883">
        <v>0.99524119339922146</v>
      </c>
      <c r="H2174" s="883">
        <v>0.98898976438073083</v>
      </c>
      <c r="I2174" s="883">
        <v>0.99624980272440555</v>
      </c>
      <c r="K2174">
        <v>1.646447440796182</v>
      </c>
      <c r="L2174">
        <v>0</v>
      </c>
      <c r="M2174">
        <v>6.2620477833787574E-3</v>
      </c>
      <c r="N2174">
        <v>0.12141468665812284</v>
      </c>
      <c r="O2174">
        <v>3.1184677945917207E-2</v>
      </c>
      <c r="P2174">
        <v>1.9117972766598091E-2</v>
      </c>
      <c r="Q2174">
        <v>0</v>
      </c>
      <c r="R2174">
        <v>6.2620477833787574E-3</v>
      </c>
      <c r="S2174">
        <v>0.17041102923559009</v>
      </c>
      <c r="T2174">
        <v>1.2148871719755434</v>
      </c>
      <c r="U2174">
        <v>0</v>
      </c>
      <c r="V2174">
        <v>1.5955424445257757E-2</v>
      </c>
      <c r="W2174">
        <v>6.3073875706553997E-2</v>
      </c>
      <c r="X2174">
        <v>-1.5383396106401553E-2</v>
      </c>
      <c r="Y2174">
        <v>2.5785998168998917E-2</v>
      </c>
    </row>
    <row r="2175" spans="1:25" x14ac:dyDescent="0.25">
      <c r="A2175" s="879"/>
      <c r="B2175" s="1133">
        <v>1925</v>
      </c>
      <c r="C2175" s="883">
        <v>0.98705446210286329</v>
      </c>
      <c r="D2175" s="883">
        <v>0.98414028360634775</v>
      </c>
      <c r="E2175" s="883">
        <v>0.96889416462868316</v>
      </c>
      <c r="F2175" s="883">
        <v>1.0080596087904112</v>
      </c>
      <c r="G2175" s="883">
        <v>0.97244455596656354</v>
      </c>
      <c r="H2175" s="883">
        <v>0.99952419340334553</v>
      </c>
      <c r="I2175" s="883">
        <v>1.0217659450263206</v>
      </c>
      <c r="K2175">
        <v>1.6318616970499102</v>
      </c>
      <c r="L2175">
        <v>0</v>
      </c>
      <c r="M2175">
        <v>6.7174538936106906E-3</v>
      </c>
      <c r="N2175">
        <v>0.11959230386805086</v>
      </c>
      <c r="O2175">
        <v>3.1478289217931367E-2</v>
      </c>
      <c r="P2175">
        <v>1.8110758492215415E-2</v>
      </c>
      <c r="Q2175">
        <v>0</v>
      </c>
      <c r="R2175">
        <v>6.7174538936106906E-3</v>
      </c>
      <c r="S2175">
        <v>0.17474136130621754</v>
      </c>
      <c r="T2175">
        <v>1.1960977238682649</v>
      </c>
      <c r="U2175">
        <v>0</v>
      </c>
      <c r="V2175">
        <v>1.5925411461876905E-2</v>
      </c>
      <c r="W2175">
        <v>6.3931329724260161E-2</v>
      </c>
      <c r="X2175">
        <v>-1.5676760360576948E-2</v>
      </c>
      <c r="Y2175">
        <v>2.766127947166816E-2</v>
      </c>
    </row>
    <row r="2176" spans="1:25" x14ac:dyDescent="0.25">
      <c r="A2176" s="879"/>
      <c r="B2176" s="1133">
        <v>1926</v>
      </c>
      <c r="C2176" s="883">
        <v>1.0066421164968635</v>
      </c>
      <c r="D2176" s="883">
        <v>0.982879631359307</v>
      </c>
      <c r="E2176" s="883">
        <v>0.99506854705805681</v>
      </c>
      <c r="F2176" s="883">
        <v>1.0040183820627449</v>
      </c>
      <c r="G2176" s="883">
        <v>0.95287237554856474</v>
      </c>
      <c r="H2176" s="883">
        <v>1.0019984072839778</v>
      </c>
      <c r="I2176" s="883">
        <v>0.97876479589611998</v>
      </c>
      <c r="K2176">
        <v>1.6137378066176424</v>
      </c>
      <c r="L2176">
        <v>0</v>
      </c>
      <c r="M2176">
        <v>6.4577678161619181E-3</v>
      </c>
      <c r="N2176">
        <v>0.119520955007157</v>
      </c>
      <c r="O2176">
        <v>3.0860698094704625E-2</v>
      </c>
      <c r="P2176">
        <v>1.8268440749911803E-2</v>
      </c>
      <c r="Q2176">
        <v>0</v>
      </c>
      <c r="R2176">
        <v>6.4577678161619181E-3</v>
      </c>
      <c r="S2176">
        <v>0.16431113032787223</v>
      </c>
      <c r="T2176">
        <v>1.1908121893365438</v>
      </c>
      <c r="U2176">
        <v>0</v>
      </c>
      <c r="V2176">
        <v>1.5817940221616058E-2</v>
      </c>
      <c r="W2176">
        <v>6.3061946939939675E-2</v>
      </c>
      <c r="X2176">
        <v>-1.5507432487235935E-2</v>
      </c>
      <c r="Y2176">
        <v>2.6591938427132807E-2</v>
      </c>
    </row>
    <row r="2177" spans="1:25" x14ac:dyDescent="0.25">
      <c r="A2177" s="879"/>
      <c r="B2177" s="1133">
        <v>1927</v>
      </c>
      <c r="C2177" s="883">
        <v>1.0260524178224777</v>
      </c>
      <c r="D2177" s="883">
        <v>1.0139817815290797</v>
      </c>
      <c r="E2177" s="883">
        <v>1.0053223038746206</v>
      </c>
      <c r="F2177" s="883">
        <v>0.99819012645162863</v>
      </c>
      <c r="G2177" s="883">
        <v>1.0032868366456764</v>
      </c>
      <c r="H2177" s="883">
        <v>1.0086207311157223</v>
      </c>
      <c r="I2177" s="883">
        <v>0.99251609096220006</v>
      </c>
      <c r="K2177">
        <v>1.6004243905122886</v>
      </c>
      <c r="L2177">
        <v>0</v>
      </c>
      <c r="M2177">
        <v>6.2333743622549048E-3</v>
      </c>
      <c r="N2177">
        <v>0.11713373801290761</v>
      </c>
      <c r="O2177">
        <v>2.989347431722519E-2</v>
      </c>
      <c r="P2177">
        <v>1.8303796467074564E-2</v>
      </c>
      <c r="Q2177">
        <v>0</v>
      </c>
      <c r="R2177">
        <v>6.2333743622549048E-3</v>
      </c>
      <c r="S2177">
        <v>0.16353862642491424</v>
      </c>
      <c r="T2177">
        <v>1.1837093941185739</v>
      </c>
      <c r="U2177">
        <v>0</v>
      </c>
      <c r="V2177">
        <v>1.571548981801953E-2</v>
      </c>
      <c r="W2177">
        <v>6.1488502049387626E-2</v>
      </c>
      <c r="X2177">
        <v>-1.5026556820303929E-2</v>
      </c>
      <c r="Y2177">
        <v>2.5667926124489593E-2</v>
      </c>
    </row>
    <row r="2178" spans="1:25" x14ac:dyDescent="0.25">
      <c r="A2178" s="879"/>
      <c r="B2178" s="1133">
        <v>1928</v>
      </c>
      <c r="C2178" s="883">
        <v>0.97946527282048212</v>
      </c>
      <c r="D2178" s="883">
        <v>1.0248163673765964</v>
      </c>
      <c r="E2178" s="883">
        <v>1.0259724092614482</v>
      </c>
      <c r="F2178" s="883">
        <v>0.96196103270597433</v>
      </c>
      <c r="G2178" s="883">
        <v>1.0027638104708194</v>
      </c>
      <c r="H2178" s="883">
        <v>0.96798814977447023</v>
      </c>
      <c r="I2178" s="883">
        <v>0.99459181157233079</v>
      </c>
      <c r="K2178">
        <v>1.565182118205559</v>
      </c>
      <c r="L2178">
        <v>0</v>
      </c>
      <c r="M2178">
        <v>6.1255011691446074E-3</v>
      </c>
      <c r="N2178">
        <v>0.11867829607193554</v>
      </c>
      <c r="O2178">
        <v>3.1163752978228747E-2</v>
      </c>
      <c r="P2178">
        <v>1.8078837418662296E-2</v>
      </c>
      <c r="Q2178">
        <v>0</v>
      </c>
      <c r="R2178">
        <v>6.1255011691446074E-3</v>
      </c>
      <c r="S2178">
        <v>0.16922331150998443</v>
      </c>
      <c r="T2178">
        <v>1.1403790996053489</v>
      </c>
      <c r="U2178">
        <v>0</v>
      </c>
      <c r="V2178">
        <v>1.5968206288082265E-2</v>
      </c>
      <c r="W2178">
        <v>6.1667685853972601E-2</v>
      </c>
      <c r="X2178">
        <v>-1.5200795036629864E-2</v>
      </c>
      <c r="Y2178">
        <v>2.5223723515973989E-2</v>
      </c>
    </row>
    <row r="2179" spans="1:25" x14ac:dyDescent="0.25">
      <c r="A2179" s="879"/>
      <c r="B2179" s="1133">
        <v>1929</v>
      </c>
      <c r="C2179" s="883">
        <v>1.0279111557790241</v>
      </c>
      <c r="D2179" s="883">
        <v>0.99660161648019852</v>
      </c>
      <c r="E2179" s="883">
        <v>0.96520807008710963</v>
      </c>
      <c r="F2179" s="883">
        <v>0.97943093233830458</v>
      </c>
      <c r="G2179" s="883">
        <v>0.99083799466534739</v>
      </c>
      <c r="H2179" s="883">
        <v>1.002012797065718</v>
      </c>
      <c r="I2179" s="883">
        <v>0.97868784501895101</v>
      </c>
      <c r="K2179">
        <v>1.5731581540236279</v>
      </c>
      <c r="L2179">
        <v>0</v>
      </c>
      <c r="M2179">
        <v>6.4509666062542324E-3</v>
      </c>
      <c r="N2179">
        <v>0.11422098444881511</v>
      </c>
      <c r="O2179">
        <v>3.0078067682315249E-2</v>
      </c>
      <c r="P2179">
        <v>1.7431769426339169E-2</v>
      </c>
      <c r="Q2179">
        <v>0</v>
      </c>
      <c r="R2179">
        <v>6.4509666062542324E-3</v>
      </c>
      <c r="S2179">
        <v>0.16073156074187911</v>
      </c>
      <c r="T2179">
        <v>1.1621964208578075</v>
      </c>
      <c r="U2179">
        <v>0</v>
      </c>
      <c r="V2179">
        <v>1.5705882125822634E-2</v>
      </c>
      <c r="W2179">
        <v>6.1173343922261376E-2</v>
      </c>
      <c r="X2179">
        <v>-1.4943807436914829E-2</v>
      </c>
      <c r="Y2179">
        <v>2.6563932255303187E-2</v>
      </c>
    </row>
    <row r="2180" spans="1:25" x14ac:dyDescent="0.25">
      <c r="A2180" s="879"/>
      <c r="B2180" s="1133">
        <v>1930</v>
      </c>
      <c r="C2180" s="883">
        <v>0.97040464109264468</v>
      </c>
      <c r="D2180" s="883">
        <v>0.98837427884035434</v>
      </c>
      <c r="E2180" s="883">
        <v>1.0012142597570621</v>
      </c>
      <c r="F2180" s="883">
        <v>1.0214401591559652</v>
      </c>
      <c r="G2180" s="883">
        <v>0.99480769230152355</v>
      </c>
      <c r="H2180" s="883">
        <v>1.0464559810401037</v>
      </c>
      <c r="I2180" s="883">
        <v>1.0120054438252564</v>
      </c>
      <c r="K2180">
        <v>1.6662157995830962</v>
      </c>
      <c r="L2180">
        <v>0</v>
      </c>
      <c r="M2180">
        <v>6.941393594864652E-3</v>
      </c>
      <c r="N2180">
        <v>0.12964715484140815</v>
      </c>
      <c r="O2180">
        <v>3.1936429348100662E-2</v>
      </c>
      <c r="P2180">
        <v>1.8826996389875342E-2</v>
      </c>
      <c r="Q2180">
        <v>0</v>
      </c>
      <c r="R2180">
        <v>6.941393594864652E-3</v>
      </c>
      <c r="S2180">
        <v>0.17888367030400387</v>
      </c>
      <c r="T2180">
        <v>1.21135850231858</v>
      </c>
      <c r="U2180">
        <v>0</v>
      </c>
      <c r="V2180">
        <v>1.6020175078923265E-2</v>
      </c>
      <c r="W2180">
        <v>6.8196135226134894E-2</v>
      </c>
      <c r="X2180">
        <v>-1.7236687225581342E-2</v>
      </c>
      <c r="Y2180">
        <v>2.8583423301651058E-2</v>
      </c>
    </row>
    <row r="2181" spans="1:25" x14ac:dyDescent="0.25">
      <c r="A2181" s="879"/>
      <c r="B2181" s="1133">
        <v>1931</v>
      </c>
      <c r="C2181" s="883">
        <v>1.0046938280679238</v>
      </c>
      <c r="D2181" s="883">
        <v>1.0002937147333137</v>
      </c>
      <c r="E2181" s="883">
        <v>1.0027288552151292</v>
      </c>
      <c r="F2181" s="883">
        <v>1.0027515240524805</v>
      </c>
      <c r="G2181" s="883">
        <v>0.99686542675505407</v>
      </c>
      <c r="H2181" s="883">
        <v>1.007598507133501</v>
      </c>
      <c r="I2181" s="883">
        <v>1.0112902232426813</v>
      </c>
      <c r="K2181">
        <v>1.6183962512809476</v>
      </c>
      <c r="L2181">
        <v>0</v>
      </c>
      <c r="M2181">
        <v>6.4126085229656909E-3</v>
      </c>
      <c r="N2181">
        <v>0.12003983641078479</v>
      </c>
      <c r="O2181">
        <v>3.0697624400869948E-2</v>
      </c>
      <c r="P2181">
        <v>1.8432762946703603E-2</v>
      </c>
      <c r="Q2181">
        <v>0</v>
      </c>
      <c r="R2181">
        <v>6.4126085229656909E-3</v>
      </c>
      <c r="S2181">
        <v>0.1702522693153232</v>
      </c>
      <c r="T2181">
        <v>1.189166839731121</v>
      </c>
      <c r="U2181">
        <v>0</v>
      </c>
      <c r="V2181">
        <v>1.5828442184066569E-2</v>
      </c>
      <c r="W2181">
        <v>6.3095117686681815E-2</v>
      </c>
      <c r="X2181">
        <v>-1.552262189040896E-2</v>
      </c>
      <c r="Y2181">
        <v>2.6405980495805285E-2</v>
      </c>
    </row>
    <row r="2182" spans="1:25" x14ac:dyDescent="0.25">
      <c r="A2182" s="879"/>
      <c r="B2182" s="1133">
        <v>1932</v>
      </c>
      <c r="C2182" s="883">
        <v>0.98570645209616048</v>
      </c>
      <c r="D2182" s="883">
        <v>1.0123425779036621</v>
      </c>
      <c r="E2182" s="883">
        <v>1.0257001012860032</v>
      </c>
      <c r="F2182" s="883">
        <v>0.97569644069947403</v>
      </c>
      <c r="G2182" s="883">
        <v>0.98631527474066027</v>
      </c>
      <c r="H2182" s="883">
        <v>1.0091018711022841</v>
      </c>
      <c r="I2182" s="883">
        <v>0.9710887728951666</v>
      </c>
      <c r="K2182">
        <v>1.5865708283538384</v>
      </c>
      <c r="L2182">
        <v>0</v>
      </c>
      <c r="M2182">
        <v>6.3814803974437716E-3</v>
      </c>
      <c r="N2182">
        <v>0.12358798361981041</v>
      </c>
      <c r="O2182">
        <v>3.1118752133872173E-2</v>
      </c>
      <c r="P2182">
        <v>1.8261226581341401E-2</v>
      </c>
      <c r="Q2182">
        <v>0</v>
      </c>
      <c r="R2182">
        <v>6.3814803974437716E-3</v>
      </c>
      <c r="S2182">
        <v>0.16662246717911994</v>
      </c>
      <c r="T2182">
        <v>1.1566669663784197</v>
      </c>
      <c r="U2182">
        <v>0</v>
      </c>
      <c r="V2182">
        <v>1.5932964652436678E-2</v>
      </c>
      <c r="W2182">
        <v>6.4227454781416615E-2</v>
      </c>
      <c r="X2182">
        <v>-1.6124787388084726E-2</v>
      </c>
      <c r="Y2182">
        <v>2.6277800415505814E-2</v>
      </c>
    </row>
    <row r="2183" spans="1:25" x14ac:dyDescent="0.25">
      <c r="A2183" s="879"/>
      <c r="B2183" s="1133">
        <v>1933</v>
      </c>
      <c r="C2183" s="883">
        <v>0.98096607456362472</v>
      </c>
      <c r="D2183" s="883">
        <v>1.0091107042696426</v>
      </c>
      <c r="E2183" s="883">
        <v>1.0033646273641419</v>
      </c>
      <c r="F2183" s="883">
        <v>0.98200995567387606</v>
      </c>
      <c r="G2183" s="883">
        <v>1.016051787398971</v>
      </c>
      <c r="H2183" s="883">
        <v>1.0299429372514894</v>
      </c>
      <c r="I2183" s="883">
        <v>1.0055848163449588</v>
      </c>
      <c r="K2183">
        <v>1.6065798888266014</v>
      </c>
      <c r="L2183">
        <v>0</v>
      </c>
      <c r="M2183">
        <v>6.6834286591926986E-3</v>
      </c>
      <c r="N2183">
        <v>0.12522727972602793</v>
      </c>
      <c r="O2183">
        <v>3.1329416230813888E-2</v>
      </c>
      <c r="P2183">
        <v>1.8172103653050026E-2</v>
      </c>
      <c r="Q2183">
        <v>0</v>
      </c>
      <c r="R2183">
        <v>6.6834286591926986E-3</v>
      </c>
      <c r="S2183">
        <v>0.17461756060823513</v>
      </c>
      <c r="T2183">
        <v>1.1645577399776128</v>
      </c>
      <c r="U2183">
        <v>0</v>
      </c>
      <c r="V2183">
        <v>1.5959690862935114E-2</v>
      </c>
      <c r="W2183">
        <v>6.5800978268749144E-2</v>
      </c>
      <c r="X2183">
        <v>-1.6606050113423896E-2</v>
      </c>
      <c r="Y2183">
        <v>2.7521169612600833E-2</v>
      </c>
    </row>
    <row r="2184" spans="1:25" x14ac:dyDescent="0.25">
      <c r="A2184" s="879"/>
      <c r="B2184" s="1133">
        <v>1934</v>
      </c>
      <c r="C2184" s="883">
        <v>0.97050349610571185</v>
      </c>
      <c r="D2184" s="883">
        <v>0.97257651376715282</v>
      </c>
      <c r="E2184" s="883">
        <v>1.0000414964838169</v>
      </c>
      <c r="F2184" s="883">
        <v>0.99757509599095062</v>
      </c>
      <c r="G2184" s="883">
        <v>0.9932521286323921</v>
      </c>
      <c r="H2184" s="883">
        <v>0.99294548654093151</v>
      </c>
      <c r="I2184" s="883">
        <v>1.007850193714358</v>
      </c>
      <c r="K2184">
        <v>1.6247829717774802</v>
      </c>
      <c r="L2184">
        <v>0</v>
      </c>
      <c r="M2184">
        <v>6.6401303718630717E-3</v>
      </c>
      <c r="N2184">
        <v>0.1238050631994415</v>
      </c>
      <c r="O2184">
        <v>3.2140695668183922E-2</v>
      </c>
      <c r="P2184">
        <v>1.8380915195069469E-2</v>
      </c>
      <c r="Q2184">
        <v>0</v>
      </c>
      <c r="R2184">
        <v>6.6401303718630717E-3</v>
      </c>
      <c r="S2184">
        <v>0.17506425399585224</v>
      </c>
      <c r="T2184">
        <v>1.1830779018430881</v>
      </c>
      <c r="U2184">
        <v>0</v>
      </c>
      <c r="V2184">
        <v>1.6019602843458977E-2</v>
      </c>
      <c r="W2184">
        <v>6.5161048208348796E-2</v>
      </c>
      <c r="X2184">
        <v>-1.6209384148147751E-2</v>
      </c>
      <c r="Y2184">
        <v>2.7342874972185283E-2</v>
      </c>
    </row>
    <row r="2185" spans="1:25" x14ac:dyDescent="0.25">
      <c r="A2185" s="879"/>
      <c r="B2185" s="1133">
        <v>1935</v>
      </c>
      <c r="C2185" s="883">
        <v>1.0143052596168165</v>
      </c>
      <c r="D2185" s="883">
        <v>1.0047013001220995</v>
      </c>
      <c r="E2185" s="883">
        <v>0.97158208365897347</v>
      </c>
      <c r="F2185" s="883">
        <v>1.009926537394928</v>
      </c>
      <c r="G2185" s="883">
        <v>0.97767381597618142</v>
      </c>
      <c r="H2185" s="883">
        <v>1.0051573093155395</v>
      </c>
      <c r="I2185" s="883">
        <v>1.0358006844779843</v>
      </c>
      <c r="K2185">
        <v>1.6249506352808787</v>
      </c>
      <c r="L2185">
        <v>0</v>
      </c>
      <c r="M2185">
        <v>6.4982247308070342E-3</v>
      </c>
      <c r="N2185">
        <v>0.11615194613901202</v>
      </c>
      <c r="O2185">
        <v>3.0378245764417753E-2</v>
      </c>
      <c r="P2185">
        <v>1.8145692747094946E-2</v>
      </c>
      <c r="Q2185">
        <v>0</v>
      </c>
      <c r="R2185">
        <v>6.4982247308070342E-3</v>
      </c>
      <c r="S2185">
        <v>0.17250156774686543</v>
      </c>
      <c r="T2185">
        <v>1.1982620960736665</v>
      </c>
      <c r="U2185">
        <v>0</v>
      </c>
      <c r="V2185">
        <v>1.5777024595305132E-2</v>
      </c>
      <c r="W2185">
        <v>6.2008347189220964E-2</v>
      </c>
      <c r="X2185">
        <v>-1.5032817775283468E-2</v>
      </c>
      <c r="Y2185">
        <v>2.6758532800579032E-2</v>
      </c>
    </row>
    <row r="2186" spans="1:25" x14ac:dyDescent="0.25">
      <c r="A2186" s="879"/>
      <c r="B2186" s="1133">
        <v>1936</v>
      </c>
      <c r="C2186" s="883">
        <v>1.0017304958611215</v>
      </c>
      <c r="D2186" s="883">
        <v>1.009636905952493</v>
      </c>
      <c r="E2186" s="883">
        <v>0.98209116806857255</v>
      </c>
      <c r="F2186" s="883">
        <v>1.0187351149703574</v>
      </c>
      <c r="G2186" s="883">
        <v>1.0085776030180411</v>
      </c>
      <c r="H2186" s="883">
        <v>1.0089097443526247</v>
      </c>
      <c r="I2186" s="883">
        <v>0.95859982856408643</v>
      </c>
      <c r="K2186">
        <v>1.6281655247166955</v>
      </c>
      <c r="L2186">
        <v>0</v>
      </c>
      <c r="M2186">
        <v>6.5298775767354744E-3</v>
      </c>
      <c r="N2186">
        <v>0.11855229396877735</v>
      </c>
      <c r="O2186">
        <v>3.0691163761398129E-2</v>
      </c>
      <c r="P2186">
        <v>1.828874551593582E-2</v>
      </c>
      <c r="Q2186">
        <v>0</v>
      </c>
      <c r="R2186">
        <v>6.5298775767354744E-3</v>
      </c>
      <c r="S2186">
        <v>0.16181902017400396</v>
      </c>
      <c r="T2186">
        <v>1.2085132812363086</v>
      </c>
      <c r="U2186">
        <v>0</v>
      </c>
      <c r="V2186">
        <v>1.5844493910610321E-2</v>
      </c>
      <c r="W2186">
        <v>6.2957200591223964E-2</v>
      </c>
      <c r="X2186">
        <v>-1.5389548027679207E-2</v>
      </c>
      <c r="Y2186">
        <v>2.6888873586115795E-2</v>
      </c>
    </row>
    <row r="2187" spans="1:25" x14ac:dyDescent="0.25">
      <c r="A2187" s="879"/>
      <c r="B2187" s="1133">
        <v>1937</v>
      </c>
      <c r="C2187" s="883">
        <v>0.98830146797753615</v>
      </c>
      <c r="D2187" s="883">
        <v>0.97979753957098559</v>
      </c>
      <c r="E2187" s="883">
        <v>1.0282939802380944</v>
      </c>
      <c r="F2187" s="883">
        <v>0.99877131418150167</v>
      </c>
      <c r="G2187" s="883">
        <v>1.0052719345094268</v>
      </c>
      <c r="H2187" s="883">
        <v>1.0090300995834367</v>
      </c>
      <c r="I2187" s="883">
        <v>0.97326473836701299</v>
      </c>
      <c r="K2187">
        <v>1.6174299406557935</v>
      </c>
      <c r="L2187">
        <v>0</v>
      </c>
      <c r="M2187">
        <v>6.4430731209978529E-3</v>
      </c>
      <c r="N2187">
        <v>0.12526029672786554</v>
      </c>
      <c r="O2187">
        <v>3.1442918084693849E-2</v>
      </c>
      <c r="P2187">
        <v>1.867279492045722E-2</v>
      </c>
      <c r="Q2187">
        <v>0</v>
      </c>
      <c r="R2187">
        <v>6.4430731209978529E-3</v>
      </c>
      <c r="S2187">
        <v>0.16689310841334165</v>
      </c>
      <c r="T2187">
        <v>1.1839738884298634</v>
      </c>
      <c r="U2187">
        <v>0</v>
      </c>
      <c r="V2187">
        <v>1.5918442565869276E-2</v>
      </c>
      <c r="W2187">
        <v>6.5013653854902112E-2</v>
      </c>
      <c r="X2187">
        <v>-1.627659062920489E-2</v>
      </c>
      <c r="Y2187">
        <v>2.6531428288005417E-2</v>
      </c>
    </row>
    <row r="2188" spans="1:25" x14ac:dyDescent="0.25">
      <c r="A2188" s="879"/>
      <c r="B2188" s="1133">
        <v>1938</v>
      </c>
      <c r="C2188" s="883">
        <v>0.99536992113460343</v>
      </c>
      <c r="D2188" s="883">
        <v>1.0301107800581053</v>
      </c>
      <c r="E2188" s="883">
        <v>0.98331354338713783</v>
      </c>
      <c r="F2188" s="883">
        <v>0.99411415799386982</v>
      </c>
      <c r="G2188" s="883">
        <v>1.0174337593394085</v>
      </c>
      <c r="H2188" s="883">
        <v>0.98892992255220746</v>
      </c>
      <c r="I2188" s="883">
        <v>1.026683196861963</v>
      </c>
      <c r="K2188">
        <v>1.60577128479461</v>
      </c>
      <c r="L2188">
        <v>0</v>
      </c>
      <c r="M2188">
        <v>6.3773051942103689E-3</v>
      </c>
      <c r="N2188">
        <v>0.11599241972316215</v>
      </c>
      <c r="O2188">
        <v>3.0639274341709904E-2</v>
      </c>
      <c r="P2188">
        <v>1.8068856833849324E-2</v>
      </c>
      <c r="Q2188">
        <v>0</v>
      </c>
      <c r="R2188">
        <v>6.3773051942103689E-3</v>
      </c>
      <c r="S2188">
        <v>0.17303430249167098</v>
      </c>
      <c r="T2188">
        <v>1.1792830582262082</v>
      </c>
      <c r="U2188">
        <v>0</v>
      </c>
      <c r="V2188">
        <v>1.5879270500367058E-2</v>
      </c>
      <c r="W2188">
        <v>6.1560131149796415E-2</v>
      </c>
      <c r="X2188">
        <v>-1.4946636143902639E-2</v>
      </c>
      <c r="Y2188">
        <v>2.6260607671749141E-2</v>
      </c>
    </row>
    <row r="2189" spans="1:25" x14ac:dyDescent="0.25">
      <c r="A2189" s="879"/>
      <c r="B2189" s="1133">
        <v>1939</v>
      </c>
      <c r="C2189" s="883">
        <v>1.0103261315975962</v>
      </c>
      <c r="D2189" s="883">
        <v>1.0395552851551699</v>
      </c>
      <c r="E2189" s="883">
        <v>1.010364227842939</v>
      </c>
      <c r="F2189" s="883">
        <v>0.99645019903955989</v>
      </c>
      <c r="G2189" s="883">
        <v>1.0270123393815482</v>
      </c>
      <c r="H2189" s="883">
        <v>0.99962624798578392</v>
      </c>
      <c r="I2189" s="883">
        <v>1.0204190669284823</v>
      </c>
      <c r="K2189">
        <v>1.6045547515507281</v>
      </c>
      <c r="L2189">
        <v>0</v>
      </c>
      <c r="M2189">
        <v>6.1774421149008787E-3</v>
      </c>
      <c r="N2189">
        <v>0.11695251445467963</v>
      </c>
      <c r="O2189">
        <v>3.0053517904087241E-2</v>
      </c>
      <c r="P2189">
        <v>1.8432582052846504E-2</v>
      </c>
      <c r="Q2189">
        <v>0</v>
      </c>
      <c r="R2189">
        <v>6.1774421149008787E-3</v>
      </c>
      <c r="S2189">
        <v>0.16999230686181191</v>
      </c>
      <c r="T2189">
        <v>1.1815528918114739</v>
      </c>
      <c r="U2189">
        <v>0</v>
      </c>
      <c r="V2189">
        <v>1.5798192783568074E-2</v>
      </c>
      <c r="W2189">
        <v>6.1240324533701172E-2</v>
      </c>
      <c r="X2189">
        <v>-1.4905185936896133E-2</v>
      </c>
      <c r="Y2189">
        <v>2.5437607085454627E-2</v>
      </c>
    </row>
    <row r="2190" spans="1:25" x14ac:dyDescent="0.25">
      <c r="A2190" s="879"/>
      <c r="B2190" s="1133">
        <v>1940</v>
      </c>
      <c r="C2190" s="883">
        <v>1.0083138177890945</v>
      </c>
      <c r="D2190" s="883">
        <v>0.95935831587193388</v>
      </c>
      <c r="E2190" s="883">
        <v>1.0323562362490919</v>
      </c>
      <c r="F2190" s="883">
        <v>1.0044834700567056</v>
      </c>
      <c r="G2190" s="883">
        <v>1.013442660849611</v>
      </c>
      <c r="H2190" s="883">
        <v>0.99467690955523591</v>
      </c>
      <c r="I2190" s="883">
        <v>1.0064492091390727</v>
      </c>
      <c r="K2190">
        <v>1.6209801045673695</v>
      </c>
      <c r="L2190">
        <v>0</v>
      </c>
      <c r="M2190">
        <v>6.2619485617007786E-3</v>
      </c>
      <c r="N2190">
        <v>0.12247224149812595</v>
      </c>
      <c r="O2190">
        <v>3.1075994261216953E-2</v>
      </c>
      <c r="P2190">
        <v>1.8841798981041508E-2</v>
      </c>
      <c r="Q2190">
        <v>0</v>
      </c>
      <c r="R2190">
        <v>6.2619485617007786E-3</v>
      </c>
      <c r="S2190">
        <v>0.16854741065160941</v>
      </c>
      <c r="T2190">
        <v>1.1906699617666801</v>
      </c>
      <c r="U2190">
        <v>0</v>
      </c>
      <c r="V2190">
        <v>1.5808961512462888E-2</v>
      </c>
      <c r="W2190">
        <v>6.3440035868230132E-2</v>
      </c>
      <c r="X2190">
        <v>-1.5661889563788101E-2</v>
      </c>
      <c r="Y2190">
        <v>2.5785589591789802E-2</v>
      </c>
    </row>
    <row r="2191" spans="1:25" x14ac:dyDescent="0.25">
      <c r="A2191" s="879"/>
      <c r="B2191" s="1133">
        <v>1941</v>
      </c>
      <c r="C2191" s="883">
        <v>1.0158240789782669</v>
      </c>
      <c r="D2191" s="883">
        <v>0.96596826525972057</v>
      </c>
      <c r="E2191" s="883">
        <v>0.9946085566941727</v>
      </c>
      <c r="F2191" s="883">
        <v>1.0031536037661353</v>
      </c>
      <c r="G2191" s="883">
        <v>1.0252103747681358</v>
      </c>
      <c r="H2191" s="883">
        <v>1.024586327424694</v>
      </c>
      <c r="I2191" s="883">
        <v>0.9746617245429402</v>
      </c>
      <c r="K2191">
        <v>1.6157468911810686</v>
      </c>
      <c r="L2191">
        <v>0</v>
      </c>
      <c r="M2191">
        <v>6.5972355953465272E-3</v>
      </c>
      <c r="N2191">
        <v>0.12201902524043599</v>
      </c>
      <c r="O2191">
        <v>3.0795180264812143E-2</v>
      </c>
      <c r="P2191">
        <v>1.8238319951421708E-2</v>
      </c>
      <c r="Q2191">
        <v>0</v>
      </c>
      <c r="R2191">
        <v>6.5972355953465272E-3</v>
      </c>
      <c r="S2191">
        <v>0.16359716648753558</v>
      </c>
      <c r="T2191">
        <v>1.1897951087491849</v>
      </c>
      <c r="U2191">
        <v>0</v>
      </c>
      <c r="V2191">
        <v>1.5768988501730256E-2</v>
      </c>
      <c r="W2191">
        <v>6.4394725177399026E-2</v>
      </c>
      <c r="X2191">
        <v>-1.6027865108927175E-2</v>
      </c>
      <c r="Y2191">
        <v>2.7166241917475735E-2</v>
      </c>
    </row>
    <row r="2192" spans="1:25" x14ac:dyDescent="0.25">
      <c r="A2192" s="879"/>
      <c r="B2192" s="1133">
        <v>1942</v>
      </c>
      <c r="C2192" s="883">
        <v>0.98652097387748472</v>
      </c>
      <c r="D2192" s="883">
        <v>0.98346965510302964</v>
      </c>
      <c r="E2192" s="883">
        <v>0.99461236161737909</v>
      </c>
      <c r="F2192" s="883">
        <v>1.0159394284897889</v>
      </c>
      <c r="G2192" s="883">
        <v>1.0195007744168008</v>
      </c>
      <c r="H2192" s="883">
        <v>0.97725539821739305</v>
      </c>
      <c r="I2192" s="883">
        <v>0.99932691315449884</v>
      </c>
      <c r="K2192">
        <v>1.6334497929884475</v>
      </c>
      <c r="L2192">
        <v>0</v>
      </c>
      <c r="M2192">
        <v>6.4276001920058681E-3</v>
      </c>
      <c r="N2192">
        <v>0.1188822077803222</v>
      </c>
      <c r="O2192">
        <v>3.1482965771867932E-2</v>
      </c>
      <c r="P2192">
        <v>1.8524070535590423E-2</v>
      </c>
      <c r="Q2192">
        <v>0</v>
      </c>
      <c r="R2192">
        <v>6.4276001920058681E-3</v>
      </c>
      <c r="S2192">
        <v>0.16971386802378768</v>
      </c>
      <c r="T2192">
        <v>1.2049597251147244</v>
      </c>
      <c r="U2192">
        <v>0</v>
      </c>
      <c r="V2192">
        <v>1.5928398243292771E-2</v>
      </c>
      <c r="W2192">
        <v>6.2739171907857258E-2</v>
      </c>
      <c r="X2192">
        <v>-1.5248327909491179E-2</v>
      </c>
      <c r="Y2192">
        <v>2.6467713520495116E-2</v>
      </c>
    </row>
    <row r="2193" spans="1:25" x14ac:dyDescent="0.25">
      <c r="A2193" s="879"/>
      <c r="B2193" s="1133">
        <v>1943</v>
      </c>
      <c r="C2193" s="883">
        <v>1.0419407933980787</v>
      </c>
      <c r="D2193" s="883">
        <v>0.98524791630694675</v>
      </c>
      <c r="E2193" s="883">
        <v>1.0018063276885121</v>
      </c>
      <c r="F2193" s="883">
        <v>0.98847183375830472</v>
      </c>
      <c r="G2193" s="883">
        <v>0.99439752890027389</v>
      </c>
      <c r="H2193" s="883">
        <v>1.0045451559394931</v>
      </c>
      <c r="I2193" s="883">
        <v>1.0130449671599138</v>
      </c>
      <c r="K2193">
        <v>1.5880470395686042</v>
      </c>
      <c r="L2193">
        <v>0</v>
      </c>
      <c r="M2193">
        <v>6.211471721427466E-3</v>
      </c>
      <c r="N2193">
        <v>0.11611590878564849</v>
      </c>
      <c r="O2193">
        <v>2.9781009445873169E-2</v>
      </c>
      <c r="P2193">
        <v>1.8112680078741727E-2</v>
      </c>
      <c r="Q2193">
        <v>0</v>
      </c>
      <c r="R2193">
        <v>6.211471721427466E-3</v>
      </c>
      <c r="S2193">
        <v>0.16443144198411824</v>
      </c>
      <c r="T2193">
        <v>1.1722494394597727</v>
      </c>
      <c r="U2193">
        <v>0</v>
      </c>
      <c r="V2193">
        <v>1.5634469685609241E-2</v>
      </c>
      <c r="W2193">
        <v>6.1060573185834584E-2</v>
      </c>
      <c r="X2193">
        <v>-1.4916218005080788E-2</v>
      </c>
      <c r="Y2193">
        <v>2.557773494808694E-2</v>
      </c>
    </row>
    <row r="2194" spans="1:25" x14ac:dyDescent="0.25">
      <c r="A2194" s="879"/>
      <c r="B2194" s="1133">
        <v>1944</v>
      </c>
      <c r="C2194" s="883">
        <v>1.007132890916469</v>
      </c>
      <c r="D2194" s="883">
        <v>1.0037656559024908</v>
      </c>
      <c r="E2194" s="883">
        <v>1.0032070083358429</v>
      </c>
      <c r="F2194" s="883">
        <v>1.0315724858560156</v>
      </c>
      <c r="G2194" s="883">
        <v>1.0045721137793704</v>
      </c>
      <c r="H2194" s="883">
        <v>1.0249871298792814</v>
      </c>
      <c r="I2194" s="883">
        <v>1.0135378684974912</v>
      </c>
      <c r="K2194">
        <v>1.6564881797711961</v>
      </c>
      <c r="L2194">
        <v>0</v>
      </c>
      <c r="M2194">
        <v>6.4947135056073191E-3</v>
      </c>
      <c r="N2194">
        <v>0.12166292149667385</v>
      </c>
      <c r="O2194">
        <v>3.0580460147195607E-2</v>
      </c>
      <c r="P2194">
        <v>1.8909941596043398E-2</v>
      </c>
      <c r="Q2194">
        <v>0</v>
      </c>
      <c r="R2194">
        <v>6.4947135056073191E-3</v>
      </c>
      <c r="S2194">
        <v>0.17119483954492615</v>
      </c>
      <c r="T2194">
        <v>1.2233365670272074</v>
      </c>
      <c r="U2194">
        <v>0</v>
      </c>
      <c r="V2194">
        <v>1.5815301180946761E-2</v>
      </c>
      <c r="W2194">
        <v>6.3933075284199184E-2</v>
      </c>
      <c r="X2194">
        <v>-1.5689000706178728E-2</v>
      </c>
      <c r="Y2194">
        <v>2.6744074200181392E-2</v>
      </c>
    </row>
    <row r="2195" spans="1:25" x14ac:dyDescent="0.25">
      <c r="A2195" s="879"/>
      <c r="B2195" s="1133">
        <v>1945</v>
      </c>
      <c r="C2195" s="883">
        <v>1.0411801738121362</v>
      </c>
      <c r="D2195" s="883">
        <v>1.0016340666493992</v>
      </c>
      <c r="E2195" s="883">
        <v>1.0251122743159968</v>
      </c>
      <c r="F2195" s="883">
        <v>1.0355972203091099</v>
      </c>
      <c r="G2195" s="883">
        <v>0.98707582301000563</v>
      </c>
      <c r="H2195" s="883">
        <v>0.99739665381922638</v>
      </c>
      <c r="I2195" s="883">
        <v>1.004472522531469</v>
      </c>
      <c r="K2195">
        <v>1.6415095368723094</v>
      </c>
      <c r="L2195">
        <v>0</v>
      </c>
      <c r="M2195">
        <v>6.002868756982479E-3</v>
      </c>
      <c r="N2195">
        <v>0.11615453176110133</v>
      </c>
      <c r="O2195">
        <v>2.9586862400082282E-2</v>
      </c>
      <c r="P2195">
        <v>1.9162353784260972E-2</v>
      </c>
      <c r="Q2195">
        <v>0</v>
      </c>
      <c r="R2195">
        <v>6.002868756982479E-3</v>
      </c>
      <c r="S2195">
        <v>0.16261817733813702</v>
      </c>
      <c r="T2195">
        <v>1.2276892868483558</v>
      </c>
      <c r="U2195">
        <v>0</v>
      </c>
      <c r="V2195">
        <v>1.5638291984232843E-2</v>
      </c>
      <c r="W2195">
        <v>6.0381806308852315E-2</v>
      </c>
      <c r="X2195">
        <v>-1.4440518623159457E-2</v>
      </c>
      <c r="Y2195">
        <v>2.4718745070446024E-2</v>
      </c>
    </row>
    <row r="2196" spans="1:25" x14ac:dyDescent="0.25">
      <c r="A2196" s="879"/>
      <c r="B2196" s="1133">
        <v>1946</v>
      </c>
      <c r="C2196" s="883">
        <v>0.95961463155242122</v>
      </c>
      <c r="D2196" s="883">
        <v>0.98887522691157903</v>
      </c>
      <c r="E2196" s="883">
        <v>0.99941312185074871</v>
      </c>
      <c r="F2196" s="883">
        <v>1.0046091408935414</v>
      </c>
      <c r="G2196" s="883">
        <v>0.98660366595174731</v>
      </c>
      <c r="H2196" s="883">
        <v>1.0072207079792379</v>
      </c>
      <c r="I2196" s="883">
        <v>1.0048637391431201</v>
      </c>
      <c r="K2196">
        <v>1.6391634777773092</v>
      </c>
      <c r="L2196">
        <v>0</v>
      </c>
      <c r="M2196">
        <v>6.7653689018213866E-3</v>
      </c>
      <c r="N2196">
        <v>0.12602275764987461</v>
      </c>
      <c r="O2196">
        <v>3.229058738606351E-2</v>
      </c>
      <c r="P2196">
        <v>1.8513494442925844E-2</v>
      </c>
      <c r="Q2196">
        <v>0</v>
      </c>
      <c r="R2196">
        <v>6.7653689018213866E-3</v>
      </c>
      <c r="S2196">
        <v>0.17721634888838458</v>
      </c>
      <c r="T2196">
        <v>1.1914316866802894</v>
      </c>
      <c r="U2196">
        <v>0</v>
      </c>
      <c r="V2196">
        <v>1.6083343226831897E-2</v>
      </c>
      <c r="W2196">
        <v>6.6348969302990737E-2</v>
      </c>
      <c r="X2196">
        <v>-1.6602294746978986E-2</v>
      </c>
      <c r="Y2196">
        <v>2.7858584946926276E-2</v>
      </c>
    </row>
    <row r="2197" spans="1:25" x14ac:dyDescent="0.25">
      <c r="A2197" s="879"/>
      <c r="B2197" s="1133">
        <v>1947</v>
      </c>
      <c r="C2197" s="883">
        <v>1.009262071661549</v>
      </c>
      <c r="D2197" s="883">
        <v>1.0195340501272738</v>
      </c>
      <c r="E2197" s="883">
        <v>1.0233054505109445</v>
      </c>
      <c r="F2197" s="883">
        <v>1.0048315612869407</v>
      </c>
      <c r="G2197" s="883">
        <v>1.0217304355001513</v>
      </c>
      <c r="H2197" s="883">
        <v>0.97095508597627067</v>
      </c>
      <c r="I2197" s="883">
        <v>0.99748106355606991</v>
      </c>
      <c r="K2197">
        <v>1.6069219896000799</v>
      </c>
      <c r="L2197">
        <v>0</v>
      </c>
      <c r="M2197">
        <v>5.990597236027754E-3</v>
      </c>
      <c r="N2197">
        <v>0.11560776462006352</v>
      </c>
      <c r="O2197">
        <v>3.0308694867265576E-2</v>
      </c>
      <c r="P2197">
        <v>1.8674403024611885E-2</v>
      </c>
      <c r="Q2197">
        <v>0</v>
      </c>
      <c r="R2197">
        <v>5.990597236027754E-3</v>
      </c>
      <c r="S2197">
        <v>0.16491575187454746</v>
      </c>
      <c r="T2197">
        <v>1.1912504799706949</v>
      </c>
      <c r="U2197">
        <v>0</v>
      </c>
      <c r="V2197">
        <v>1.5803881661221878E-2</v>
      </c>
      <c r="W2197">
        <v>6.0150995200421983E-2</v>
      </c>
      <c r="X2197">
        <v>-1.4458194750150912E-2</v>
      </c>
      <c r="Y2197">
        <v>2.4668213131403757E-2</v>
      </c>
    </row>
    <row r="2198" spans="1:25" x14ac:dyDescent="0.25">
      <c r="A2198" s="879"/>
      <c r="B2198" s="1133">
        <v>1948</v>
      </c>
      <c r="C2198" s="883">
        <v>0.98210805582967109</v>
      </c>
      <c r="D2198" s="883">
        <v>1.0209758388523145</v>
      </c>
      <c r="E2198" s="883">
        <v>0.9954671178183242</v>
      </c>
      <c r="F2198" s="883">
        <v>1.0167808159283864</v>
      </c>
      <c r="G2198" s="883">
        <v>0.98548452217626181</v>
      </c>
      <c r="H2198" s="883">
        <v>1.0154022179264075</v>
      </c>
      <c r="I2198" s="883">
        <v>0.98690082895105158</v>
      </c>
      <c r="K2198">
        <v>1.639541994703257</v>
      </c>
      <c r="L2198">
        <v>0</v>
      </c>
      <c r="M2198">
        <v>6.5925360797026043E-3</v>
      </c>
      <c r="N2198">
        <v>0.12208735184313162</v>
      </c>
      <c r="O2198">
        <v>3.1153784057447547E-2</v>
      </c>
      <c r="P2198">
        <v>1.8556042457827247E-2</v>
      </c>
      <c r="Q2198">
        <v>0</v>
      </c>
      <c r="R2198">
        <v>6.5925360797026043E-3</v>
      </c>
      <c r="S2198">
        <v>0.17020080387611453</v>
      </c>
      <c r="T2198">
        <v>1.2059414853166355</v>
      </c>
      <c r="U2198">
        <v>0</v>
      </c>
      <c r="V2198">
        <v>1.5953228791435955E-2</v>
      </c>
      <c r="W2198">
        <v>6.4403261533520703E-2</v>
      </c>
      <c r="X2198">
        <v>-1.5900853321392423E-2</v>
      </c>
      <c r="Y2198">
        <v>2.7146890148536662E-2</v>
      </c>
    </row>
    <row r="2199" spans="1:25" x14ac:dyDescent="0.25">
      <c r="A2199" s="879"/>
      <c r="B2199" s="1133">
        <v>1949</v>
      </c>
      <c r="C2199" s="883">
        <v>1.0074607914023741</v>
      </c>
      <c r="D2199" s="883">
        <v>0.98872303572130804</v>
      </c>
      <c r="E2199" s="883">
        <v>1.0029474866794095</v>
      </c>
      <c r="F2199" s="883">
        <v>0.97991170939854966</v>
      </c>
      <c r="G2199" s="883">
        <v>1.0027554161686845</v>
      </c>
      <c r="H2199" s="883">
        <v>0.99630953052308091</v>
      </c>
      <c r="I2199" s="883">
        <v>1.0394082281297949</v>
      </c>
      <c r="K2199">
        <v>1.5930172081689502</v>
      </c>
      <c r="L2199">
        <v>0</v>
      </c>
      <c r="M2199">
        <v>6.3550446695190962E-3</v>
      </c>
      <c r="N2199">
        <v>0.11900080857140431</v>
      </c>
      <c r="O2199">
        <v>3.075592991574428E-2</v>
      </c>
      <c r="P2199">
        <v>1.8122237739163802E-2</v>
      </c>
      <c r="Q2199">
        <v>0</v>
      </c>
      <c r="R2199">
        <v>6.3550446695190962E-3</v>
      </c>
      <c r="S2199">
        <v>0.17395253019481854</v>
      </c>
      <c r="T2199">
        <v>1.1620770377876986</v>
      </c>
      <c r="U2199">
        <v>0</v>
      </c>
      <c r="V2199">
        <v>1.5813539394889397E-2</v>
      </c>
      <c r="W2199">
        <v>6.2542202471700684E-2</v>
      </c>
      <c r="X2199">
        <v>-1.5416020699766168E-2</v>
      </c>
      <c r="Y2199">
        <v>2.6168942793296165E-2</v>
      </c>
    </row>
    <row r="2200" spans="1:25" x14ac:dyDescent="0.25">
      <c r="A2200" s="879"/>
      <c r="B2200" s="1133">
        <v>1950</v>
      </c>
      <c r="C2200" s="883">
        <v>1.0276027513674371</v>
      </c>
      <c r="D2200" s="883">
        <v>1.0054217658857696</v>
      </c>
      <c r="E2200" s="883">
        <v>0.99127046220860737</v>
      </c>
      <c r="F2200" s="883">
        <v>1.0055972077689097</v>
      </c>
      <c r="G2200" s="883">
        <v>0.99574476330932893</v>
      </c>
      <c r="H2200" s="883">
        <v>0.99565638826095948</v>
      </c>
      <c r="I2200" s="883">
        <v>1.0108741973638777</v>
      </c>
      <c r="K2200">
        <v>1.6090146226027418</v>
      </c>
      <c r="L2200">
        <v>0</v>
      </c>
      <c r="M2200">
        <v>6.2433906757053065E-3</v>
      </c>
      <c r="N2200">
        <v>0.11490454778507767</v>
      </c>
      <c r="O2200">
        <v>2.9961312769972132E-2</v>
      </c>
      <c r="P2200">
        <v>1.8257716134563947E-2</v>
      </c>
      <c r="Q2200">
        <v>0</v>
      </c>
      <c r="R2200">
        <v>6.2433906757053065E-3</v>
      </c>
      <c r="S2200">
        <v>0.16564486985206905</v>
      </c>
      <c r="T2200">
        <v>1.1927558472422914</v>
      </c>
      <c r="U2200">
        <v>0</v>
      </c>
      <c r="V2200">
        <v>1.570747384256712E-2</v>
      </c>
      <c r="W2200">
        <v>6.0741011371550177E-2</v>
      </c>
      <c r="X2200">
        <v>-1.466732791578931E-2</v>
      </c>
      <c r="Y2200">
        <v>2.5709171520441016E-2</v>
      </c>
    </row>
    <row r="2201" spans="1:25" x14ac:dyDescent="0.25">
      <c r="A2201" s="879"/>
      <c r="B2201" s="1133">
        <v>1951</v>
      </c>
      <c r="C2201" s="883">
        <v>0.994184992517265</v>
      </c>
      <c r="D2201" s="883">
        <v>1.0301947758749255</v>
      </c>
      <c r="E2201" s="883">
        <v>1.0247750707262344</v>
      </c>
      <c r="F2201" s="883">
        <v>1.0132890395079512</v>
      </c>
      <c r="G2201" s="883">
        <v>1.0103048185460264</v>
      </c>
      <c r="H2201" s="883">
        <v>1.0122681602221117</v>
      </c>
      <c r="I2201" s="883">
        <v>1.0131034133212675</v>
      </c>
      <c r="K2201">
        <v>1.6346965958728372</v>
      </c>
      <c r="L2201">
        <v>0</v>
      </c>
      <c r="M2201">
        <v>6.3027790886152884E-3</v>
      </c>
      <c r="N2201">
        <v>0.12189694998503471</v>
      </c>
      <c r="O2201">
        <v>3.06392318417773E-2</v>
      </c>
      <c r="P2201">
        <v>1.8933640431722711E-2</v>
      </c>
      <c r="Q2201">
        <v>0</v>
      </c>
      <c r="R2201">
        <v>6.3027790886152884E-3</v>
      </c>
      <c r="S2201">
        <v>0.17235439523545981</v>
      </c>
      <c r="T2201">
        <v>1.2012494928491015</v>
      </c>
      <c r="U2201">
        <v>0</v>
      </c>
      <c r="V2201">
        <v>1.5885798295459785E-2</v>
      </c>
      <c r="W2201">
        <v>6.3377451867805412E-2</v>
      </c>
      <c r="X2201">
        <v>-1.5594087067585981E-2</v>
      </c>
      <c r="Y2201">
        <v>2.5953722434060886E-2</v>
      </c>
    </row>
    <row r="2202" spans="1:25" x14ac:dyDescent="0.25">
      <c r="A2202" s="879"/>
      <c r="B2202" s="1133">
        <v>1952</v>
      </c>
      <c r="C2202" s="883">
        <v>1.0198671475555314</v>
      </c>
      <c r="D2202" s="883">
        <v>1.0134051234259227</v>
      </c>
      <c r="E2202" s="883">
        <v>1.0065776333673346</v>
      </c>
      <c r="F2202" s="883">
        <v>0.9536552277997864</v>
      </c>
      <c r="G2202" s="883">
        <v>0.97782027321994969</v>
      </c>
      <c r="H2202" s="883">
        <v>0.97391854951591161</v>
      </c>
      <c r="I2202" s="883">
        <v>1.0090485222107626</v>
      </c>
      <c r="K2202">
        <v>1.543624365321691</v>
      </c>
      <c r="L2202">
        <v>0</v>
      </c>
      <c r="M2202">
        <v>6.0503075865184905E-3</v>
      </c>
      <c r="N2202">
        <v>0.11390520463497031</v>
      </c>
      <c r="O2202">
        <v>3.0080552523909072E-2</v>
      </c>
      <c r="P2202">
        <v>1.7635238519870512E-2</v>
      </c>
      <c r="Q2202">
        <v>0</v>
      </c>
      <c r="R2202">
        <v>6.0503075865184905E-3</v>
      </c>
      <c r="S2202">
        <v>0.16529919612663158</v>
      </c>
      <c r="T2202">
        <v>1.130875215184693</v>
      </c>
      <c r="U2202">
        <v>0</v>
      </c>
      <c r="V2202">
        <v>1.5747713233541145E-2</v>
      </c>
      <c r="W2202">
        <v>5.9756531318877239E-2</v>
      </c>
      <c r="X2202">
        <v>-1.4589375947480106E-2</v>
      </c>
      <c r="Y2202">
        <v>2.4914089726678412E-2</v>
      </c>
    </row>
    <row r="2203" spans="1:25" x14ac:dyDescent="0.25">
      <c r="A2203" s="879"/>
      <c r="B2203" s="1133">
        <v>1953</v>
      </c>
      <c r="C2203" s="883">
        <v>0.99876711399240181</v>
      </c>
      <c r="D2203" s="883">
        <v>0.95265737175454446</v>
      </c>
      <c r="E2203" s="883">
        <v>0.98983784686577958</v>
      </c>
      <c r="F2203" s="883">
        <v>0.98126786677658295</v>
      </c>
      <c r="G2203" s="883">
        <v>0.99698892567481268</v>
      </c>
      <c r="H2203" s="883">
        <v>1.0100887509529604</v>
      </c>
      <c r="I2203" s="883">
        <v>0.98756419444022669</v>
      </c>
      <c r="K2203">
        <v>1.5960053456753804</v>
      </c>
      <c r="L2203">
        <v>0</v>
      </c>
      <c r="M2203">
        <v>6.683900631052348E-3</v>
      </c>
      <c r="N2203">
        <v>0.12275079176696012</v>
      </c>
      <c r="O2203">
        <v>3.1499460094738647E-2</v>
      </c>
      <c r="P2203">
        <v>1.7887171404152979E-2</v>
      </c>
      <c r="Q2203">
        <v>0</v>
      </c>
      <c r="R2203">
        <v>6.683900631052348E-3</v>
      </c>
      <c r="S2203">
        <v>0.16789849059996212</v>
      </c>
      <c r="T2203">
        <v>1.1639245894853356</v>
      </c>
      <c r="U2203">
        <v>0</v>
      </c>
      <c r="V2203">
        <v>1.5860641159185965E-2</v>
      </c>
      <c r="W2203">
        <v>6.4935066881295758E-2</v>
      </c>
      <c r="X2203">
        <v>-1.6273978824962353E-2</v>
      </c>
      <c r="Y2203">
        <v>2.7523113108710993E-2</v>
      </c>
    </row>
    <row r="2204" spans="1:25" x14ac:dyDescent="0.25">
      <c r="A2204" s="879"/>
      <c r="B2204" s="1133">
        <v>1954</v>
      </c>
      <c r="C2204" s="883">
        <v>1.0148417203309748</v>
      </c>
      <c r="D2204" s="883">
        <v>1.0267341235620557</v>
      </c>
      <c r="E2204" s="883">
        <v>1.0401656375895798</v>
      </c>
      <c r="F2204" s="883">
        <v>0.98003828412843552</v>
      </c>
      <c r="G2204" s="883">
        <v>0.96435846207490183</v>
      </c>
      <c r="H2204" s="883">
        <v>1.0135812740942816</v>
      </c>
      <c r="I2204" s="883">
        <v>1.007596405111217</v>
      </c>
      <c r="K2204">
        <v>1.5868777576151669</v>
      </c>
      <c r="L2204">
        <v>0</v>
      </c>
      <c r="M2204">
        <v>6.1087924525425876E-3</v>
      </c>
      <c r="N2204">
        <v>0.12086335455709094</v>
      </c>
      <c r="O2204">
        <v>3.0041827816329802E-2</v>
      </c>
      <c r="P2204">
        <v>1.8541664554065647E-2</v>
      </c>
      <c r="Q2204">
        <v>0</v>
      </c>
      <c r="R2204">
        <v>6.1087924525425876E-3</v>
      </c>
      <c r="S2204">
        <v>0.16805289668453333</v>
      </c>
      <c r="T2204">
        <v>1.1615527123283</v>
      </c>
      <c r="U2204">
        <v>0</v>
      </c>
      <c r="V2204">
        <v>1.5774183426915972E-2</v>
      </c>
      <c r="W2204">
        <v>6.2367851102793748E-2</v>
      </c>
      <c r="X2204">
        <v>-1.5471652849910356E-2</v>
      </c>
      <c r="Y2204">
        <v>2.515491999504756E-2</v>
      </c>
    </row>
    <row r="2205" spans="1:25" x14ac:dyDescent="0.25">
      <c r="A2205" s="879"/>
      <c r="B2205" s="1133">
        <v>1955</v>
      </c>
      <c r="C2205" s="883">
        <v>0.99112364051538859</v>
      </c>
      <c r="D2205" s="883">
        <v>0.99966839855420619</v>
      </c>
      <c r="E2205" s="883">
        <v>0.95734787996263571</v>
      </c>
      <c r="F2205" s="883">
        <v>0.99023637621897753</v>
      </c>
      <c r="G2205" s="883">
        <v>0.99903356827828582</v>
      </c>
      <c r="H2205" s="883">
        <v>1.0176419670820767</v>
      </c>
      <c r="I2205" s="883">
        <v>0.99510631852665454</v>
      </c>
      <c r="K2205">
        <v>1.6062736662693784</v>
      </c>
      <c r="L2205">
        <v>0</v>
      </c>
      <c r="M2205">
        <v>6.8320075522687682E-3</v>
      </c>
      <c r="N2205">
        <v>0.11956323444030711</v>
      </c>
      <c r="O2205">
        <v>3.1162006446489501E-2</v>
      </c>
      <c r="P2205">
        <v>1.7619811759319527E-2</v>
      </c>
      <c r="Q2205">
        <v>0</v>
      </c>
      <c r="R2205">
        <v>6.8320075522687682E-3</v>
      </c>
      <c r="S2205">
        <v>0.17036357155673729</v>
      </c>
      <c r="T2205">
        <v>1.1751641681475937</v>
      </c>
      <c r="U2205">
        <v>0</v>
      </c>
      <c r="V2205">
        <v>1.590273559902888E-2</v>
      </c>
      <c r="W2205">
        <v>6.428895335583687E-2</v>
      </c>
      <c r="X2205">
        <v>-1.5923806084165548E-2</v>
      </c>
      <c r="Y2205">
        <v>2.8132991048230981E-2</v>
      </c>
    </row>
    <row r="2206" spans="1:25" x14ac:dyDescent="0.25">
      <c r="A2206" s="879"/>
      <c r="B2206" s="1133">
        <v>1956</v>
      </c>
      <c r="C2206" s="883">
        <v>0.99918710858956272</v>
      </c>
      <c r="D2206" s="883">
        <v>0.99109708963779308</v>
      </c>
      <c r="E2206" s="883">
        <v>0.97483205869887801</v>
      </c>
      <c r="F2206" s="883">
        <v>1.0255540421460578</v>
      </c>
      <c r="G2206" s="883">
        <v>0.98632288930613488</v>
      </c>
      <c r="H2206" s="883">
        <v>0.97092711896602768</v>
      </c>
      <c r="I2206" s="883">
        <v>1.0054014618302014</v>
      </c>
      <c r="K2206">
        <v>1.6378096236931454</v>
      </c>
      <c r="L2206">
        <v>0</v>
      </c>
      <c r="M2206">
        <v>6.3926515346447972E-3</v>
      </c>
      <c r="N2206">
        <v>0.11481747329960981</v>
      </c>
      <c r="O2206">
        <v>3.1003986175243126E-2</v>
      </c>
      <c r="P2206">
        <v>1.8377302979037363E-2</v>
      </c>
      <c r="Q2206">
        <v>0</v>
      </c>
      <c r="R2206">
        <v>6.3926515346447972E-3</v>
      </c>
      <c r="S2206">
        <v>0.16811301665583789</v>
      </c>
      <c r="T2206">
        <v>1.2167415525833769</v>
      </c>
      <c r="U2206">
        <v>0</v>
      </c>
      <c r="V2206">
        <v>1.5858346814369959E-2</v>
      </c>
      <c r="W2206">
        <v>6.119598922854709E-2</v>
      </c>
      <c r="X2206">
        <v>-1.4621845212987775E-2</v>
      </c>
      <c r="Y2206">
        <v>2.6323801170111343E-2</v>
      </c>
    </row>
    <row r="2207" spans="1:25" x14ac:dyDescent="0.25">
      <c r="A2207" s="879"/>
      <c r="B2207" s="1133">
        <v>1957</v>
      </c>
      <c r="C2207" s="883">
        <v>0.95541588047521975</v>
      </c>
      <c r="D2207" s="883">
        <v>0.99271020263282939</v>
      </c>
      <c r="E2207" s="883">
        <v>1.004742818900068</v>
      </c>
      <c r="F2207" s="883">
        <v>0.98622904601663963</v>
      </c>
      <c r="G2207" s="883">
        <v>0.97855184104567905</v>
      </c>
      <c r="H2207" s="883">
        <v>0.96786483105890786</v>
      </c>
      <c r="I2207" s="883">
        <v>0.99316680636077714</v>
      </c>
      <c r="K2207">
        <v>1.6064575046717682</v>
      </c>
      <c r="L2207">
        <v>0</v>
      </c>
      <c r="M2207">
        <v>6.4880367911236188E-3</v>
      </c>
      <c r="N2207">
        <v>0.12181461449040988</v>
      </c>
      <c r="O2207">
        <v>3.2377523325095935E-2</v>
      </c>
      <c r="P2207">
        <v>1.8244900252671174E-2</v>
      </c>
      <c r="Q2207">
        <v>0</v>
      </c>
      <c r="R2207">
        <v>6.4880367911236188E-3</v>
      </c>
      <c r="S2207">
        <v>0.17350713588179487</v>
      </c>
      <c r="T2207">
        <v>1.1695358883160425</v>
      </c>
      <c r="U2207">
        <v>0</v>
      </c>
      <c r="V2207">
        <v>1.6108309680188566E-2</v>
      </c>
      <c r="W2207">
        <v>6.3964061926362045E-2</v>
      </c>
      <c r="X2207">
        <v>-1.581150987914608E-2</v>
      </c>
      <c r="Y2207">
        <v>2.6716580678348388E-2</v>
      </c>
    </row>
    <row r="2208" spans="1:25" x14ac:dyDescent="0.25">
      <c r="A2208" s="879"/>
      <c r="B2208" s="1133">
        <v>1958</v>
      </c>
      <c r="C2208" s="883">
        <v>0.99430635502072928</v>
      </c>
      <c r="D2208" s="883">
        <v>1.0155634354276579</v>
      </c>
      <c r="E2208" s="883">
        <v>1.0116115945859274</v>
      </c>
      <c r="F2208" s="883">
        <v>0.99243416901147974</v>
      </c>
      <c r="G2208" s="883">
        <v>1.0047211535140383</v>
      </c>
      <c r="H2208" s="883">
        <v>0.96865781349799818</v>
      </c>
      <c r="I2208" s="883">
        <v>0.99119132309630409</v>
      </c>
      <c r="K2208">
        <v>1.5959349825473892</v>
      </c>
      <c r="L2208">
        <v>0</v>
      </c>
      <c r="M2208">
        <v>6.1393884047232583E-3</v>
      </c>
      <c r="N2208">
        <v>0.11644688906999977</v>
      </c>
      <c r="O2208">
        <v>3.0823176594419337E-2</v>
      </c>
      <c r="P2208">
        <v>1.8335648855149919E-2</v>
      </c>
      <c r="Q2208">
        <v>0</v>
      </c>
      <c r="R2208">
        <v>6.1393884047232583E-3</v>
      </c>
      <c r="S2208">
        <v>0.16623185466521034</v>
      </c>
      <c r="T2208">
        <v>1.1767678881676922</v>
      </c>
      <c r="U2208">
        <v>0</v>
      </c>
      <c r="V2208">
        <v>1.5885128991877825E-2</v>
      </c>
      <c r="W2208">
        <v>6.0937969193946007E-2</v>
      </c>
      <c r="X2208">
        <v>-1.477448167115687E-2</v>
      </c>
      <c r="Y2208">
        <v>2.5280908680251093E-2</v>
      </c>
    </row>
    <row r="2209" spans="1:25" x14ac:dyDescent="0.25">
      <c r="A2209" s="879"/>
      <c r="B2209" s="1133">
        <v>1959</v>
      </c>
      <c r="C2209" s="883">
        <v>1.0158750624614374</v>
      </c>
      <c r="D2209" s="883">
        <v>0.9932583210826853</v>
      </c>
      <c r="E2209" s="883">
        <v>1.0008510193023872</v>
      </c>
      <c r="F2209" s="883">
        <v>0.96334909497138432</v>
      </c>
      <c r="G2209" s="883">
        <v>0.99608037702263175</v>
      </c>
      <c r="H2209" s="883">
        <v>1.0394682563049273</v>
      </c>
      <c r="I2209" s="883">
        <v>1.0190144952246047</v>
      </c>
      <c r="K2209">
        <v>1.5761276369161417</v>
      </c>
      <c r="L2209">
        <v>0</v>
      </c>
      <c r="M2209">
        <v>6.5740340643091416E-3</v>
      </c>
      <c r="N2209">
        <v>0.12271978312005348</v>
      </c>
      <c r="O2209">
        <v>3.0447173334088876E-2</v>
      </c>
      <c r="P2209">
        <v>1.7798995651538037E-2</v>
      </c>
      <c r="Q2209">
        <v>0</v>
      </c>
      <c r="R2209">
        <v>6.5740340643091416E-3</v>
      </c>
      <c r="S2209">
        <v>0.17159525555921409</v>
      </c>
      <c r="T2209">
        <v>1.1424729561836389</v>
      </c>
      <c r="U2209">
        <v>0</v>
      </c>
      <c r="V2209">
        <v>1.576871916428188E-2</v>
      </c>
      <c r="W2209">
        <v>6.4563886367374715E-2</v>
      </c>
      <c r="X2209">
        <v>-1.6309834606431598E-2</v>
      </c>
      <c r="Y2209">
        <v>2.7070702142382372E-2</v>
      </c>
    </row>
    <row r="2210" spans="1:25" x14ac:dyDescent="0.25">
      <c r="A2210" s="879"/>
      <c r="B2210" s="1133">
        <v>1960</v>
      </c>
      <c r="C2210" s="883">
        <v>1.0146742347819782</v>
      </c>
      <c r="D2210" s="883">
        <v>0.98523625549316007</v>
      </c>
      <c r="E2210" s="883">
        <v>0.98447727589681011</v>
      </c>
      <c r="F2210" s="883">
        <v>1.0233979672855738</v>
      </c>
      <c r="G2210" s="883">
        <v>0.99136239088606903</v>
      </c>
      <c r="H2210" s="883">
        <v>0.98934099163840228</v>
      </c>
      <c r="I2210" s="883">
        <v>1.0224123826798417</v>
      </c>
      <c r="K2210">
        <v>1.6376215327209205</v>
      </c>
      <c r="L2210">
        <v>0</v>
      </c>
      <c r="M2210">
        <v>6.3776283357973281E-3</v>
      </c>
      <c r="N2210">
        <v>0.11619869553481636</v>
      </c>
      <c r="O2210">
        <v>3.0595716098556866E-2</v>
      </c>
      <c r="P2210">
        <v>1.8495598658295833E-2</v>
      </c>
      <c r="Q2210">
        <v>0</v>
      </c>
      <c r="R2210">
        <v>6.3776283357973281E-3</v>
      </c>
      <c r="S2210">
        <v>0.16949869878362905</v>
      </c>
      <c r="T2210">
        <v>1.2139992048086019</v>
      </c>
      <c r="U2210">
        <v>0</v>
      </c>
      <c r="V2210">
        <v>1.5775070130444425E-2</v>
      </c>
      <c r="W2210">
        <v>6.1633740177286199E-2</v>
      </c>
      <c r="X2210">
        <v>-1.4837129781997943E-2</v>
      </c>
      <c r="Y2210">
        <v>2.6261938311287175E-2</v>
      </c>
    </row>
    <row r="2211" spans="1:25" x14ac:dyDescent="0.25">
      <c r="A2211" s="879"/>
      <c r="B2211" s="1133">
        <v>1961</v>
      </c>
      <c r="C2211" s="883">
        <v>1.0005501101566301</v>
      </c>
      <c r="D2211" s="883">
        <v>1.0137971771264915</v>
      </c>
      <c r="E2211" s="883">
        <v>1.0427647489976166</v>
      </c>
      <c r="F2211" s="883">
        <v>0.98028509465578806</v>
      </c>
      <c r="G2211" s="883">
        <v>1.0271116080427056</v>
      </c>
      <c r="H2211" s="883">
        <v>1.0180984864516265</v>
      </c>
      <c r="I2211" s="883">
        <v>0.99019312446586016</v>
      </c>
      <c r="K2211">
        <v>1.5923789540168698</v>
      </c>
      <c r="L2211">
        <v>0</v>
      </c>
      <c r="M2211">
        <v>6.2446642770776746E-3</v>
      </c>
      <c r="N2211">
        <v>0.12402679307283065</v>
      </c>
      <c r="O2211">
        <v>3.0623373507555209E-2</v>
      </c>
      <c r="P2211">
        <v>1.8579222046346978E-2</v>
      </c>
      <c r="Q2211">
        <v>0</v>
      </c>
      <c r="R2211">
        <v>6.2446642770776746E-3</v>
      </c>
      <c r="S2211">
        <v>0.16789694250952381</v>
      </c>
      <c r="T2211">
        <v>1.1617983500273759</v>
      </c>
      <c r="U2211">
        <v>0</v>
      </c>
      <c r="V2211">
        <v>1.5850914283359854E-2</v>
      </c>
      <c r="W2211">
        <v>6.3919073658193659E-2</v>
      </c>
      <c r="X2211">
        <v>-1.6030131072515271E-2</v>
      </c>
      <c r="Y2211">
        <v>2.5714415984199837E-2</v>
      </c>
    </row>
    <row r="2212" spans="1:25" x14ac:dyDescent="0.25">
      <c r="A2212" s="879"/>
      <c r="B2212" s="1133">
        <v>1962</v>
      </c>
      <c r="C2212" s="883">
        <v>0.98040203488034894</v>
      </c>
      <c r="D2212" s="883">
        <v>1.0140211043465372</v>
      </c>
      <c r="E2212" s="883">
        <v>0.97982408513106323</v>
      </c>
      <c r="F2212" s="883">
        <v>1.0004350316615076</v>
      </c>
      <c r="G2212" s="883">
        <v>1.0380958615092475</v>
      </c>
      <c r="H2212" s="883">
        <v>1.043411671209256</v>
      </c>
      <c r="I2212" s="883">
        <v>1.0105699656966833</v>
      </c>
      <c r="K2212">
        <v>1.6315651258728348</v>
      </c>
      <c r="L2212">
        <v>0</v>
      </c>
      <c r="M2212">
        <v>6.9004056518383533E-3</v>
      </c>
      <c r="N2212">
        <v>0.1248587104536738</v>
      </c>
      <c r="O2212">
        <v>3.1306369754797614E-2</v>
      </c>
      <c r="P2212">
        <v>1.8164183511247409E-2</v>
      </c>
      <c r="Q2212">
        <v>0</v>
      </c>
      <c r="R2212">
        <v>6.9004056518383533E-3</v>
      </c>
      <c r="S2212">
        <v>0.17630409763333763</v>
      </c>
      <c r="T2212">
        <v>1.1868464525191575</v>
      </c>
      <c r="U2212">
        <v>0</v>
      </c>
      <c r="V2212">
        <v>1.5962888119655769E-2</v>
      </c>
      <c r="W2212">
        <v>6.6381504134527702E-2</v>
      </c>
      <c r="X2212">
        <v>-1.6673722501413506E-2</v>
      </c>
      <c r="Y2212">
        <v>2.8414642247850647E-2</v>
      </c>
    </row>
    <row r="2213" spans="1:25" x14ac:dyDescent="0.25">
      <c r="A2213" s="879"/>
      <c r="B2213" s="1133">
        <v>1963</v>
      </c>
      <c r="C2213" s="883">
        <v>1.0131151649481855</v>
      </c>
      <c r="D2213" s="883">
        <v>1.0185443502927554</v>
      </c>
      <c r="E2213" s="883">
        <v>0.97006703863273069</v>
      </c>
      <c r="F2213" s="883">
        <v>0.99932991356747192</v>
      </c>
      <c r="G2213" s="883">
        <v>0.98378256936955033</v>
      </c>
      <c r="H2213" s="883">
        <v>0.95935869239264093</v>
      </c>
      <c r="I2213" s="883">
        <v>1.01829535905097</v>
      </c>
      <c r="K2213">
        <v>1.5972403985976273</v>
      </c>
      <c r="L2213">
        <v>0</v>
      </c>
      <c r="M2213">
        <v>6.179814633727799E-3</v>
      </c>
      <c r="N2213">
        <v>0.11021236519967136</v>
      </c>
      <c r="O2213">
        <v>3.024904518563467E-2</v>
      </c>
      <c r="P2213">
        <v>1.7888418522979437E-2</v>
      </c>
      <c r="Q2213">
        <v>0</v>
      </c>
      <c r="R2213">
        <v>6.179814633727799E-3</v>
      </c>
      <c r="S2213">
        <v>0.16699862999698831</v>
      </c>
      <c r="T2213">
        <v>1.1857176980917168</v>
      </c>
      <c r="U2213">
        <v>0</v>
      </c>
      <c r="V2213">
        <v>1.5783338238821814E-2</v>
      </c>
      <c r="W2213">
        <v>5.8882288458084818E-2</v>
      </c>
      <c r="X2213">
        <v>-1.3938761791961653E-2</v>
      </c>
      <c r="Y2213">
        <v>2.5447376695691276E-2</v>
      </c>
    </row>
    <row r="2214" spans="1:25" x14ac:dyDescent="0.25">
      <c r="A2214" s="879"/>
      <c r="B2214" s="1133">
        <v>1964</v>
      </c>
      <c r="C2214" s="883">
        <v>1.0088445343923176</v>
      </c>
      <c r="D2214" s="883">
        <v>0.99501720051613152</v>
      </c>
      <c r="E2214" s="883">
        <v>1.0269182650825883</v>
      </c>
      <c r="F2214" s="883">
        <v>1.0026591350333105</v>
      </c>
      <c r="G2214" s="883">
        <v>1.0170735836182361</v>
      </c>
      <c r="H2214" s="883">
        <v>0.97233464024563554</v>
      </c>
      <c r="I2214" s="883">
        <v>1.0104007011629095</v>
      </c>
      <c r="K2214">
        <v>1.6096255886015569</v>
      </c>
      <c r="L2214">
        <v>0</v>
      </c>
      <c r="M2214">
        <v>6.047909723600046E-3</v>
      </c>
      <c r="N2214">
        <v>0.11733899067770724</v>
      </c>
      <c r="O2214">
        <v>3.0614585476906816E-2</v>
      </c>
      <c r="P2214">
        <v>1.8722855104300887E-2</v>
      </c>
      <c r="Q2214">
        <v>0</v>
      </c>
      <c r="R2214">
        <v>6.047909723600046E-3</v>
      </c>
      <c r="S2214">
        <v>0.16743135726636757</v>
      </c>
      <c r="T2214">
        <v>1.1886080973925688</v>
      </c>
      <c r="U2214">
        <v>0</v>
      </c>
      <c r="V2214">
        <v>1.5806117256014777E-2</v>
      </c>
      <c r="W2214">
        <v>6.0943428347194135E-2</v>
      </c>
      <c r="X2214">
        <v>-1.4744058673488202E-2</v>
      </c>
      <c r="Y2214">
        <v>2.4904215753983949E-2</v>
      </c>
    </row>
    <row r="2215" spans="1:25" x14ac:dyDescent="0.25">
      <c r="A2215" s="879"/>
      <c r="B2215" s="1133">
        <v>1965</v>
      </c>
      <c r="C2215" s="883">
        <v>1.0087576107236689</v>
      </c>
      <c r="D2215" s="883">
        <v>1.0261186289999586</v>
      </c>
      <c r="E2215" s="883">
        <v>1.0050464852782299</v>
      </c>
      <c r="F2215" s="883">
        <v>1.0316048090826753</v>
      </c>
      <c r="G2215" s="883">
        <v>1.0458405628326932</v>
      </c>
      <c r="H2215" s="883">
        <v>0.99622316155445878</v>
      </c>
      <c r="I2215" s="883">
        <v>0.9906915784058733</v>
      </c>
      <c r="K2215">
        <v>1.6428329815418825</v>
      </c>
      <c r="L2215">
        <v>0</v>
      </c>
      <c r="M2215">
        <v>6.2307038010484157E-3</v>
      </c>
      <c r="N2215">
        <v>0.11703573990199174</v>
      </c>
      <c r="O2215">
        <v>3.0261852420723226E-2</v>
      </c>
      <c r="P2215">
        <v>1.8855814067387788E-2</v>
      </c>
      <c r="Q2215">
        <v>0</v>
      </c>
      <c r="R2215">
        <v>6.2307038010484157E-3</v>
      </c>
      <c r="S2215">
        <v>0.16522149198428598</v>
      </c>
      <c r="T2215">
        <v>1.2233396657596212</v>
      </c>
      <c r="U2215">
        <v>0</v>
      </c>
      <c r="V2215">
        <v>1.580658289895066E-2</v>
      </c>
      <c r="W2215">
        <v>6.1445457122599051E-2</v>
      </c>
      <c r="X2215">
        <v>-1.4790551842461577E-2</v>
      </c>
      <c r="Y2215">
        <v>2.5656929228783456E-2</v>
      </c>
    </row>
    <row r="2216" spans="1:25" x14ac:dyDescent="0.25">
      <c r="A2216" s="879"/>
      <c r="B2216" s="1133">
        <v>1966</v>
      </c>
      <c r="C2216" s="883">
        <v>0.98831233522357675</v>
      </c>
      <c r="D2216" s="883">
        <v>1.006544723210766</v>
      </c>
      <c r="E2216" s="883">
        <v>0.99979412042544646</v>
      </c>
      <c r="F2216" s="883">
        <v>0.98962178017618585</v>
      </c>
      <c r="G2216" s="883">
        <v>0.98569300995473308</v>
      </c>
      <c r="H2216" s="883">
        <v>1.0370850806099174</v>
      </c>
      <c r="I2216" s="883">
        <v>1.0149395748028194</v>
      </c>
      <c r="K2216">
        <v>1.6162266819593964</v>
      </c>
      <c r="L2216">
        <v>0</v>
      </c>
      <c r="M2216">
        <v>6.708232759463563E-3</v>
      </c>
      <c r="N2216">
        <v>0.12502900081158239</v>
      </c>
      <c r="O2216">
        <v>3.1131309756895868E-2</v>
      </c>
      <c r="P2216">
        <v>1.8254297037357516E-2</v>
      </c>
      <c r="Q2216">
        <v>0</v>
      </c>
      <c r="R2216">
        <v>6.708232759463563E-3</v>
      </c>
      <c r="S2216">
        <v>0.17538019375256375</v>
      </c>
      <c r="T2216">
        <v>1.1736501872381035</v>
      </c>
      <c r="U2216">
        <v>0</v>
      </c>
      <c r="V2216">
        <v>1.5918381911528827E-2</v>
      </c>
      <c r="W2216">
        <v>6.581331601967215E-2</v>
      </c>
      <c r="X2216">
        <v>-1.6573313050858459E-2</v>
      </c>
      <c r="Y2216">
        <v>2.7623308482550988E-2</v>
      </c>
    </row>
    <row r="2217" spans="1:25" x14ac:dyDescent="0.25">
      <c r="A2217" s="879"/>
      <c r="B2217" s="1133">
        <v>1967</v>
      </c>
      <c r="C2217" s="883">
        <v>0.98961516537768857</v>
      </c>
      <c r="D2217" s="883">
        <v>1.0029071106500862</v>
      </c>
      <c r="E2217" s="883">
        <v>1.0073165488792295</v>
      </c>
      <c r="F2217" s="883">
        <v>0.95802773639413374</v>
      </c>
      <c r="G2217" s="883">
        <v>0.9857744687336385</v>
      </c>
      <c r="H2217" s="883">
        <v>1.0161225581947231</v>
      </c>
      <c r="I2217" s="883">
        <v>1.013982333871537</v>
      </c>
      <c r="K2217">
        <v>1.5729714330937901</v>
      </c>
      <c r="L2217">
        <v>0</v>
      </c>
      <c r="M2217">
        <v>6.531513871291101E-3</v>
      </c>
      <c r="N2217">
        <v>0.12309917471611825</v>
      </c>
      <c r="O2217">
        <v>3.1128841636961051E-2</v>
      </c>
      <c r="P2217">
        <v>1.7831184251741596E-2</v>
      </c>
      <c r="Q2217">
        <v>0</v>
      </c>
      <c r="R2217">
        <v>6.531513871291101E-3</v>
      </c>
      <c r="S2217">
        <v>0.17378970199028276</v>
      </c>
      <c r="T2217">
        <v>1.1360471423903113</v>
      </c>
      <c r="U2217">
        <v>0</v>
      </c>
      <c r="V2217">
        <v>1.5911119961018756E-2</v>
      </c>
      <c r="W2217">
        <v>6.4556210832443284E-2</v>
      </c>
      <c r="X2217">
        <v>-1.6287554240934372E-2</v>
      </c>
      <c r="Y2217">
        <v>2.6895611555846292E-2</v>
      </c>
    </row>
    <row r="2218" spans="1:25" x14ac:dyDescent="0.25">
      <c r="A2218" s="879"/>
      <c r="B2218" s="1133">
        <v>1968</v>
      </c>
      <c r="C2218" s="883">
        <v>1.0081383890187896</v>
      </c>
      <c r="D2218" s="883">
        <v>0.96914382073355154</v>
      </c>
      <c r="E2218" s="883">
        <v>1.0248066686116373</v>
      </c>
      <c r="F2218" s="883">
        <v>1.0111603034424737</v>
      </c>
      <c r="G2218" s="883">
        <v>1.0311759391564181</v>
      </c>
      <c r="H2218" s="883">
        <v>1.0008716045739163</v>
      </c>
      <c r="I2218" s="883">
        <v>1.0024572943029684</v>
      </c>
      <c r="K2218">
        <v>1.6284926366815271</v>
      </c>
      <c r="L2218">
        <v>0</v>
      </c>
      <c r="M2218">
        <v>6.3151609347381855E-3</v>
      </c>
      <c r="N2218">
        <v>0.122142124315679</v>
      </c>
      <c r="O2218">
        <v>3.0962568433346657E-2</v>
      </c>
      <c r="P2218">
        <v>1.8841331514816619E-2</v>
      </c>
      <c r="Q2218">
        <v>0</v>
      </c>
      <c r="R2218">
        <v>6.3151609347381855E-3</v>
      </c>
      <c r="S2218">
        <v>0.16815412660133203</v>
      </c>
      <c r="T2218">
        <v>1.1987252957265793</v>
      </c>
      <c r="U2218">
        <v>0</v>
      </c>
      <c r="V2218">
        <v>1.5809902342098048E-2</v>
      </c>
      <c r="W2218">
        <v>6.3503937985189704E-2</v>
      </c>
      <c r="X2218">
        <v>-1.5651358910023672E-2</v>
      </c>
      <c r="Y2218">
        <v>2.6004708672508522E-2</v>
      </c>
    </row>
    <row r="2219" spans="1:25" x14ac:dyDescent="0.25">
      <c r="A2219" s="879"/>
      <c r="B2219" s="1133">
        <v>1969</v>
      </c>
      <c r="C2219" s="883">
        <v>0.96876966914816565</v>
      </c>
      <c r="D2219" s="883">
        <v>0.9863650575257964</v>
      </c>
      <c r="E2219" s="883">
        <v>1.020549973581143</v>
      </c>
      <c r="F2219" s="883">
        <v>0.96687576018877153</v>
      </c>
      <c r="G2219" s="883">
        <v>1.01082833212333</v>
      </c>
      <c r="H2219" s="883">
        <v>0.9636164680345165</v>
      </c>
      <c r="I2219" s="883">
        <v>0.98503470294783502</v>
      </c>
      <c r="K2219">
        <v>1.5764570269703999</v>
      </c>
      <c r="L2219">
        <v>0</v>
      </c>
      <c r="M2219">
        <v>6.3010423030493579E-3</v>
      </c>
      <c r="N2219">
        <v>0.12110422103499802</v>
      </c>
      <c r="O2219">
        <v>3.1998660411973731E-2</v>
      </c>
      <c r="P2219">
        <v>1.8091792465279144E-2</v>
      </c>
      <c r="Q2219">
        <v>0</v>
      </c>
      <c r="R2219">
        <v>6.3010423030493579E-3</v>
      </c>
      <c r="S2219">
        <v>0.16954157346838164</v>
      </c>
      <c r="T2219">
        <v>1.1463022789922588</v>
      </c>
      <c r="U2219">
        <v>0</v>
      </c>
      <c r="V2219">
        <v>1.602965627105871E-2</v>
      </c>
      <c r="W2219">
        <v>6.3096331675979347E-2</v>
      </c>
      <c r="X2219">
        <v>-1.5654058009766634E-2</v>
      </c>
      <c r="Y2219">
        <v>2.594657066023669E-2</v>
      </c>
    </row>
    <row r="2220" spans="1:25" x14ac:dyDescent="0.25">
      <c r="A2220" s="879"/>
      <c r="B2220" s="1133">
        <v>1970</v>
      </c>
      <c r="C2220" s="883">
        <v>0.99207560935426919</v>
      </c>
      <c r="D2220" s="883">
        <v>0.97904013602770379</v>
      </c>
      <c r="E2220" s="883">
        <v>0.98916418866612876</v>
      </c>
      <c r="F2220" s="883">
        <v>0.99813518064632767</v>
      </c>
      <c r="G2220" s="883">
        <v>1.0410188584445279</v>
      </c>
      <c r="H2220" s="883">
        <v>0.99844445803668436</v>
      </c>
      <c r="I2220" s="883">
        <v>1.0364024070567264</v>
      </c>
      <c r="K2220">
        <v>1.6216220278921902</v>
      </c>
      <c r="L2220">
        <v>0</v>
      </c>
      <c r="M2220">
        <v>6.5745609796648979E-3</v>
      </c>
      <c r="N2220">
        <v>0.12062221710157466</v>
      </c>
      <c r="O2220">
        <v>3.13678560173139E-2</v>
      </c>
      <c r="P2220">
        <v>1.825639995401394E-2</v>
      </c>
      <c r="Q2220">
        <v>0</v>
      </c>
      <c r="R2220">
        <v>6.5745609796648979E-3</v>
      </c>
      <c r="S2220">
        <v>0.1763610593729634</v>
      </c>
      <c r="T2220">
        <v>1.1839441733429328</v>
      </c>
      <c r="U2220">
        <v>0</v>
      </c>
      <c r="V2220">
        <v>1.5897457516627786E-2</v>
      </c>
      <c r="W2220">
        <v>6.3830496088214797E-2</v>
      </c>
      <c r="X2220">
        <v>-1.5730503387481835E-2</v>
      </c>
      <c r="Y2220">
        <v>2.7072871886029935E-2</v>
      </c>
    </row>
    <row r="2221" spans="1:25" x14ac:dyDescent="0.25">
      <c r="A2221" s="879"/>
      <c r="B2221" s="1133">
        <v>1971</v>
      </c>
      <c r="C2221" s="883">
        <v>0.98519061707474553</v>
      </c>
      <c r="D2221" s="883">
        <v>0.98439097039784107</v>
      </c>
      <c r="E2221" s="883">
        <v>1.0037305406038399</v>
      </c>
      <c r="F2221" s="883">
        <v>0.97925407700061473</v>
      </c>
      <c r="G2221" s="883">
        <v>0.99724003059376021</v>
      </c>
      <c r="H2221" s="883">
        <v>0.97702108494872075</v>
      </c>
      <c r="I2221" s="883">
        <v>1.0170956004801286</v>
      </c>
      <c r="K2221">
        <v>1.5930471176717778</v>
      </c>
      <c r="L2221">
        <v>0</v>
      </c>
      <c r="M2221">
        <v>6.3810218308674761E-3</v>
      </c>
      <c r="N2221">
        <v>0.11962590239733449</v>
      </c>
      <c r="O2221">
        <v>3.1505768002158908E-2</v>
      </c>
      <c r="P2221">
        <v>1.8110502579997041E-2</v>
      </c>
      <c r="Q2221">
        <v>0</v>
      </c>
      <c r="R2221">
        <v>6.3810218308674761E-3</v>
      </c>
      <c r="S2221">
        <v>0.1729511137927765</v>
      </c>
      <c r="T2221">
        <v>1.1612829116140542</v>
      </c>
      <c r="U2221">
        <v>0</v>
      </c>
      <c r="V2221">
        <v>1.5935860455338128E-2</v>
      </c>
      <c r="W2221">
        <v>6.2846315714779943E-2</v>
      </c>
      <c r="X2221">
        <v>-1.5487169004627736E-2</v>
      </c>
      <c r="Y2221">
        <v>2.6275912119966448E-2</v>
      </c>
    </row>
    <row r="2222" spans="1:25" x14ac:dyDescent="0.25">
      <c r="A2222" s="879"/>
      <c r="B2222" s="1133">
        <v>1972</v>
      </c>
      <c r="C2222" s="883">
        <v>0.99741488057720806</v>
      </c>
      <c r="D2222" s="883">
        <v>1.017582887879835</v>
      </c>
      <c r="E2222" s="883">
        <v>0.98506115060476063</v>
      </c>
      <c r="F2222" s="883">
        <v>1.0205576834168715</v>
      </c>
      <c r="G2222" s="883">
        <v>0.99042923428850305</v>
      </c>
      <c r="H2222" s="883">
        <v>0.9625137985079194</v>
      </c>
      <c r="I2222" s="883">
        <v>0.96711162896842262</v>
      </c>
      <c r="K2222">
        <v>1.6216918403934049</v>
      </c>
      <c r="L2222">
        <v>0</v>
      </c>
      <c r="M2222">
        <v>6.2185995603543211E-3</v>
      </c>
      <c r="N2222">
        <v>0.11339939216420659</v>
      </c>
      <c r="O2222">
        <v>3.0725078993999101E-2</v>
      </c>
      <c r="P2222">
        <v>1.8351841642953413E-2</v>
      </c>
      <c r="Q2222">
        <v>0</v>
      </c>
      <c r="R2222">
        <v>6.2185995603543211E-3</v>
      </c>
      <c r="S2222">
        <v>0.16130053291574156</v>
      </c>
      <c r="T2222">
        <v>1.2106188222790364</v>
      </c>
      <c r="U2222">
        <v>0</v>
      </c>
      <c r="V2222">
        <v>1.5868041259846838E-2</v>
      </c>
      <c r="W2222">
        <v>6.0131394798638507E-2</v>
      </c>
      <c r="X2222">
        <v>-1.4310349781098148E-2</v>
      </c>
      <c r="Y2222">
        <v>2.5607086120079697E-2</v>
      </c>
    </row>
    <row r="2223" spans="1:25" x14ac:dyDescent="0.25">
      <c r="A2223" s="879"/>
      <c r="B2223" s="1133">
        <v>1973</v>
      </c>
      <c r="C2223" s="883">
        <v>0.97848826111669029</v>
      </c>
      <c r="D2223" s="883">
        <v>0.9723462714741149</v>
      </c>
      <c r="E2223" s="883">
        <v>1.0078234503943684</v>
      </c>
      <c r="F2223" s="883">
        <v>1.0056741204012849</v>
      </c>
      <c r="G2223" s="883">
        <v>1.0224074527737317</v>
      </c>
      <c r="H2223" s="883">
        <v>1.0114287522522902</v>
      </c>
      <c r="I2223" s="883">
        <v>1.0193995854553481</v>
      </c>
      <c r="K2223">
        <v>1.6383447310863006</v>
      </c>
      <c r="L2223">
        <v>0</v>
      </c>
      <c r="M2223">
        <v>6.6637746234944617E-3</v>
      </c>
      <c r="N2223">
        <v>0.12568618536606468</v>
      </c>
      <c r="O2223">
        <v>3.1874498706987366E-2</v>
      </c>
      <c r="P2223">
        <v>1.8638839609673854E-2</v>
      </c>
      <c r="Q2223">
        <v>0</v>
      </c>
      <c r="R2223">
        <v>6.6637746234944617E-3</v>
      </c>
      <c r="S2223">
        <v>0.17676727657519617</v>
      </c>
      <c r="T2223">
        <v>1.1925376550375437</v>
      </c>
      <c r="U2223">
        <v>0</v>
      </c>
      <c r="V2223">
        <v>1.597376380949694E-2</v>
      </c>
      <c r="W2223">
        <v>6.5896362447341608E-2</v>
      </c>
      <c r="X2223">
        <v>-1.6470088257887299E-2</v>
      </c>
      <c r="Y2223">
        <v>2.7440237791883426E-2</v>
      </c>
    </row>
    <row r="2224" spans="1:25" x14ac:dyDescent="0.25">
      <c r="A2224" s="879"/>
      <c r="B2224" s="1133">
        <v>1974</v>
      </c>
      <c r="C2224" s="883">
        <v>1.0078742467737796</v>
      </c>
      <c r="D2224" s="883">
        <v>1.0196370934293535</v>
      </c>
      <c r="E2224" s="883">
        <v>1.0001163109487519</v>
      </c>
      <c r="F2224" s="883">
        <v>1.0003025914182444</v>
      </c>
      <c r="G2224" s="883">
        <v>0.98371925783082403</v>
      </c>
      <c r="H2224" s="883">
        <v>0.99781386434272767</v>
      </c>
      <c r="I2224" s="883">
        <v>0.99377974371490374</v>
      </c>
      <c r="K2224">
        <v>1.6067105722128943</v>
      </c>
      <c r="L2224">
        <v>0</v>
      </c>
      <c r="M2224">
        <v>6.2908211496233782E-3</v>
      </c>
      <c r="N2224">
        <v>0.11730520243826285</v>
      </c>
      <c r="O2224">
        <v>3.0369411427832841E-2</v>
      </c>
      <c r="P2224">
        <v>1.8301316546930031E-2</v>
      </c>
      <c r="Q2224">
        <v>0</v>
      </c>
      <c r="R2224">
        <v>6.2908211496233782E-3</v>
      </c>
      <c r="S2224">
        <v>0.16602697718653817</v>
      </c>
      <c r="T2224">
        <v>1.1863111943673701</v>
      </c>
      <c r="U2224">
        <v>0</v>
      </c>
      <c r="V2224">
        <v>1.5811319562529826E-2</v>
      </c>
      <c r="W2224">
        <v>6.1737749348037767E-2</v>
      </c>
      <c r="X2224">
        <v>-1.5057080434333701E-2</v>
      </c>
      <c r="Y2224">
        <v>2.5904481769725995E-2</v>
      </c>
    </row>
    <row r="2225" spans="1:25" x14ac:dyDescent="0.25">
      <c r="A2225" s="879"/>
      <c r="B2225" s="1133">
        <v>1975</v>
      </c>
      <c r="C2225" s="883">
        <v>0.99577976606511098</v>
      </c>
      <c r="D2225" s="883">
        <v>1.0018539394509933</v>
      </c>
      <c r="E2225" s="883">
        <v>0.99571760300077272</v>
      </c>
      <c r="F2225" s="883">
        <v>1.0289472156236403</v>
      </c>
      <c r="G2225" s="883">
        <v>1.0092102339996456</v>
      </c>
      <c r="H2225" s="883">
        <v>1.0204234356861261</v>
      </c>
      <c r="I2225" s="883">
        <v>1.0038401545218751</v>
      </c>
      <c r="K2225">
        <v>1.6549226701341391</v>
      </c>
      <c r="L2225">
        <v>0</v>
      </c>
      <c r="M2225">
        <v>6.5880353119206888E-3</v>
      </c>
      <c r="N2225">
        <v>0.12204929956029661</v>
      </c>
      <c r="O2225">
        <v>3.095909478699738E-2</v>
      </c>
      <c r="P2225">
        <v>1.8764652575406857E-2</v>
      </c>
      <c r="Q2225">
        <v>0</v>
      </c>
      <c r="R2225">
        <v>6.5880353119206888E-3</v>
      </c>
      <c r="S2225">
        <v>0.17123596032913543</v>
      </c>
      <c r="T2225">
        <v>1.2203665121857787</v>
      </c>
      <c r="U2225">
        <v>0</v>
      </c>
      <c r="V2225">
        <v>1.5877016272582062E-2</v>
      </c>
      <c r="W2225">
        <v>6.4375165105863788E-2</v>
      </c>
      <c r="X2225">
        <v>-1.5833387469839109E-2</v>
      </c>
      <c r="Y2225">
        <v>2.7128356787917536E-2</v>
      </c>
    </row>
    <row r="2226" spans="1:25" x14ac:dyDescent="0.25">
      <c r="A2226" s="879"/>
      <c r="B2226" s="1133">
        <v>1976</v>
      </c>
      <c r="C2226" s="883">
        <v>1.0305069619583027</v>
      </c>
      <c r="D2226" s="883">
        <v>1.0296341446181665</v>
      </c>
      <c r="E2226" s="883">
        <v>1.0072310820806498</v>
      </c>
      <c r="F2226" s="883">
        <v>0.96808292638586135</v>
      </c>
      <c r="G2226" s="883">
        <v>1.0287658842334686</v>
      </c>
      <c r="H2226" s="883">
        <v>1.0079549789182805</v>
      </c>
      <c r="I2226" s="883">
        <v>1.046253716113533</v>
      </c>
      <c r="K2226">
        <v>1.5697433023783796</v>
      </c>
      <c r="L2226">
        <v>0</v>
      </c>
      <c r="M2226">
        <v>6.1498800836624692E-3</v>
      </c>
      <c r="N2226">
        <v>0.11589187137142898</v>
      </c>
      <c r="O2226">
        <v>2.95808413448236E-2</v>
      </c>
      <c r="P2226">
        <v>1.7955994321572841E-2</v>
      </c>
      <c r="Q2226">
        <v>0</v>
      </c>
      <c r="R2226">
        <v>6.1498800836624692E-3</v>
      </c>
      <c r="S2226">
        <v>0.17145603073985946</v>
      </c>
      <c r="T2226">
        <v>1.147972309137111</v>
      </c>
      <c r="U2226">
        <v>0</v>
      </c>
      <c r="V2226">
        <v>1.5692522576941384E-2</v>
      </c>
      <c r="W2226">
        <v>6.0779097202847729E-2</v>
      </c>
      <c r="X2226">
        <v>-1.4909475862879976E-2</v>
      </c>
      <c r="Y2226">
        <v>2.5324111546673529E-2</v>
      </c>
    </row>
    <row r="2227" spans="1:25" x14ac:dyDescent="0.25">
      <c r="A2227" s="879"/>
      <c r="B2227" s="1133">
        <v>1977</v>
      </c>
      <c r="C2227" s="883">
        <v>0.99541714936516068</v>
      </c>
      <c r="D2227" s="883">
        <v>1.0176959158167154</v>
      </c>
      <c r="E2227" s="883">
        <v>1.0252924744898326</v>
      </c>
      <c r="F2227" s="883">
        <v>0.98213812746374907</v>
      </c>
      <c r="G2227" s="883">
        <v>0.97447356352622372</v>
      </c>
      <c r="H2227" s="883">
        <v>1.0197491045723548</v>
      </c>
      <c r="I2227" s="883">
        <v>0.98510527986122198</v>
      </c>
      <c r="K2227">
        <v>1.5948967145956772</v>
      </c>
      <c r="L2227">
        <v>0</v>
      </c>
      <c r="M2227">
        <v>6.3731848661646934E-3</v>
      </c>
      <c r="N2227">
        <v>0.1233529530595842</v>
      </c>
      <c r="O2227">
        <v>3.0750611260915422E-2</v>
      </c>
      <c r="P2227">
        <v>1.8377019260828398E-2</v>
      </c>
      <c r="Q2227">
        <v>0</v>
      </c>
      <c r="R2227">
        <v>6.3731848661646934E-3</v>
      </c>
      <c r="S2227">
        <v>0.1679315190621363</v>
      </c>
      <c r="T2227">
        <v>1.1643108417966705</v>
      </c>
      <c r="U2227">
        <v>0</v>
      </c>
      <c r="V2227">
        <v>1.5879010641174741E-2</v>
      </c>
      <c r="W2227">
        <v>6.4118156127862924E-2</v>
      </c>
      <c r="X2227">
        <v>-1.6067037507744141E-2</v>
      </c>
      <c r="Y2227">
        <v>2.6243640894248091E-2</v>
      </c>
    </row>
    <row r="2228" spans="1:25" x14ac:dyDescent="0.25">
      <c r="A2228" s="879"/>
      <c r="B2228" s="1133">
        <v>1978</v>
      </c>
      <c r="C2228" s="883">
        <v>0.98351090958070642</v>
      </c>
      <c r="D2228" s="883">
        <v>0.97894970836616368</v>
      </c>
      <c r="E2228" s="883">
        <v>1.0109993099862489</v>
      </c>
      <c r="F2228" s="883">
        <v>1.0302441011669681</v>
      </c>
      <c r="G2228" s="883">
        <v>0.97346500997782615</v>
      </c>
      <c r="H2228" s="883">
        <v>1.0017323743427482</v>
      </c>
      <c r="I2228" s="883">
        <v>1.00971856214838</v>
      </c>
      <c r="K2228">
        <v>1.6611651010937571</v>
      </c>
      <c r="L2228">
        <v>0</v>
      </c>
      <c r="M2228">
        <v>6.5282095636250035E-3</v>
      </c>
      <c r="N2228">
        <v>0.12370955781716579</v>
      </c>
      <c r="O2228">
        <v>3.1623121335527894E-2</v>
      </c>
      <c r="P2228">
        <v>1.9031420142810219E-2</v>
      </c>
      <c r="Q2228">
        <v>0</v>
      </c>
      <c r="R2228">
        <v>6.5282095636250035E-3</v>
      </c>
      <c r="S2228">
        <v>0.1735393069670319</v>
      </c>
      <c r="T2228">
        <v>1.2216122911487874</v>
      </c>
      <c r="U2228">
        <v>0</v>
      </c>
      <c r="V2228">
        <v>1.5945311074275954E-2</v>
      </c>
      <c r="W2228">
        <v>6.4758203638950559E-2</v>
      </c>
      <c r="X2228">
        <v>-1.5936116035815736E-2</v>
      </c>
      <c r="Y2228">
        <v>2.6882005005022146E-2</v>
      </c>
    </row>
    <row r="2229" spans="1:25" x14ac:dyDescent="0.25">
      <c r="A2229" s="879"/>
      <c r="B2229" s="1133">
        <v>1979</v>
      </c>
      <c r="C2229" s="883">
        <v>0.99827845165081641</v>
      </c>
      <c r="D2229" s="883">
        <v>1.0059815117062154</v>
      </c>
      <c r="E2229" s="883">
        <v>0.96133560138418062</v>
      </c>
      <c r="F2229" s="883">
        <v>1.0169505152223242</v>
      </c>
      <c r="G2229" s="883">
        <v>1.0018624536064344</v>
      </c>
      <c r="H2229" s="883">
        <v>1.0209024672983504</v>
      </c>
      <c r="I2229" s="883">
        <v>0.96467323242389547</v>
      </c>
      <c r="K2229">
        <v>1.6306931366430715</v>
      </c>
      <c r="L2229">
        <v>0</v>
      </c>
      <c r="M2229">
        <v>6.7622050105595397E-3</v>
      </c>
      <c r="N2229">
        <v>0.11904498317482574</v>
      </c>
      <c r="O2229">
        <v>3.0857939183882306E-2</v>
      </c>
      <c r="P2229">
        <v>1.8003538469112089E-2</v>
      </c>
      <c r="Q2229">
        <v>0</v>
      </c>
      <c r="R2229">
        <v>6.7622050105595397E-3</v>
      </c>
      <c r="S2229">
        <v>0.16409172661790497</v>
      </c>
      <c r="T2229">
        <v>1.20679111835859</v>
      </c>
      <c r="U2229">
        <v>0</v>
      </c>
      <c r="V2229">
        <v>1.5863313051692095E-2</v>
      </c>
      <c r="W2229">
        <v>6.3881527125473403E-2</v>
      </c>
      <c r="X2229">
        <v>-1.568656594427123E-2</v>
      </c>
      <c r="Y2229">
        <v>2.7845556605861639E-2</v>
      </c>
    </row>
    <row r="2230" spans="1:25" x14ac:dyDescent="0.25">
      <c r="A2230" s="879"/>
      <c r="B2230" s="1133">
        <v>1980</v>
      </c>
      <c r="C2230" s="883">
        <v>1.0105580426338427</v>
      </c>
      <c r="D2230" s="883">
        <v>0.98473603345940652</v>
      </c>
      <c r="E2230" s="883">
        <v>1.0480218357308491</v>
      </c>
      <c r="F2230" s="883">
        <v>1.0208930440491804</v>
      </c>
      <c r="G2230" s="883">
        <v>0.97335002435809914</v>
      </c>
      <c r="H2230" s="883">
        <v>1.0006266104888244</v>
      </c>
      <c r="I2230" s="883">
        <v>1.0249767660961677</v>
      </c>
      <c r="K2230">
        <v>1.6425031011758051</v>
      </c>
      <c r="L2230">
        <v>0</v>
      </c>
      <c r="M2230">
        <v>6.1277221079323171E-3</v>
      </c>
      <c r="N2230">
        <v>0.12265254151113092</v>
      </c>
      <c r="O2230">
        <v>3.0669758534935913E-2</v>
      </c>
      <c r="P2230">
        <v>1.9363384131866033E-2</v>
      </c>
      <c r="Q2230">
        <v>0</v>
      </c>
      <c r="R2230">
        <v>6.1277221079323171E-3</v>
      </c>
      <c r="S2230">
        <v>0.17135884837331447</v>
      </c>
      <c r="T2230">
        <v>1.2098267533269924</v>
      </c>
      <c r="U2230">
        <v>0</v>
      </c>
      <c r="V2230">
        <v>1.5796954487172724E-2</v>
      </c>
      <c r="W2230">
        <v>6.3049036544832265E-2</v>
      </c>
      <c r="X2230">
        <v>-1.5447044681029559E-2</v>
      </c>
      <c r="Y2230">
        <v>2.5232868946589423E-2</v>
      </c>
    </row>
    <row r="2231" spans="1:25" x14ac:dyDescent="0.25">
      <c r="A2231" s="879"/>
      <c r="B2231" s="1133">
        <v>1981</v>
      </c>
      <c r="C2231" s="883">
        <v>0.99013091951923959</v>
      </c>
      <c r="D2231" s="883">
        <v>1.0002575444158914</v>
      </c>
      <c r="E2231" s="883">
        <v>1.0008991966945375</v>
      </c>
      <c r="F2231" s="883">
        <v>0.97687013982002402</v>
      </c>
      <c r="G2231" s="883">
        <v>0.99330462101843309</v>
      </c>
      <c r="H2231" s="883">
        <v>1.0206006835190851</v>
      </c>
      <c r="I2231" s="883">
        <v>0.99593183890003034</v>
      </c>
      <c r="K2231">
        <v>1.5934337336635263</v>
      </c>
      <c r="L2231">
        <v>0</v>
      </c>
      <c r="M2231">
        <v>6.6015431332747182E-3</v>
      </c>
      <c r="N2231">
        <v>0.12324209987682201</v>
      </c>
      <c r="O2231">
        <v>3.1151160129006917E-2</v>
      </c>
      <c r="P2231">
        <v>1.8006608581574456E-2</v>
      </c>
      <c r="Q2231">
        <v>0</v>
      </c>
      <c r="R2231">
        <v>6.6015431332747182E-3</v>
      </c>
      <c r="S2231">
        <v>0.17088927186410971</v>
      </c>
      <c r="T2231">
        <v>1.1585072117957325</v>
      </c>
      <c r="U2231">
        <v>0</v>
      </c>
      <c r="V2231">
        <v>1.5908250437422625E-2</v>
      </c>
      <c r="W2231">
        <v>6.48371307143982E-2</v>
      </c>
      <c r="X2231">
        <v>-1.6291979327490484E-2</v>
      </c>
      <c r="Y2231">
        <v>2.718397959195086E-2</v>
      </c>
    </row>
    <row r="2232" spans="1:25" x14ac:dyDescent="0.25">
      <c r="A2232" s="879"/>
      <c r="B2232" s="1133">
        <v>1982</v>
      </c>
      <c r="C2232" s="883">
        <v>0.99923219087752735</v>
      </c>
      <c r="D2232" s="883">
        <v>1.0116431813231428</v>
      </c>
      <c r="E2232" s="883">
        <v>1.0017099585458717</v>
      </c>
      <c r="F2232" s="883">
        <v>0.99080785408190331</v>
      </c>
      <c r="G2232" s="883">
        <v>1.0017714930317976</v>
      </c>
      <c r="H2232" s="883">
        <v>1.0158086107732254</v>
      </c>
      <c r="I2232" s="883">
        <v>1.0159018811319809</v>
      </c>
      <c r="K2232">
        <v>1.607690402946464</v>
      </c>
      <c r="L2232">
        <v>0</v>
      </c>
      <c r="M2232">
        <v>6.4733381688636092E-3</v>
      </c>
      <c r="N2232">
        <v>0.12099391033571623</v>
      </c>
      <c r="O2232">
        <v>3.0727304072561686E-2</v>
      </c>
      <c r="P2232">
        <v>1.8257385937140713E-2</v>
      </c>
      <c r="Q2232">
        <v>0</v>
      </c>
      <c r="R2232">
        <v>6.4733381688636092E-3</v>
      </c>
      <c r="S2232">
        <v>0.1723262560222929</v>
      </c>
      <c r="T2232">
        <v>1.1750215487053743</v>
      </c>
      <c r="U2232">
        <v>0</v>
      </c>
      <c r="V2232">
        <v>1.5858100653651432E-2</v>
      </c>
      <c r="W2232">
        <v>6.3628756281817814E-2</v>
      </c>
      <c r="X2232">
        <v>-1.5778913430228806E-2</v>
      </c>
      <c r="Y2232">
        <v>2.6656054368138886E-2</v>
      </c>
    </row>
    <row r="2233" spans="1:25" x14ac:dyDescent="0.25">
      <c r="A2233" s="879"/>
      <c r="B2233" s="1133">
        <v>1983</v>
      </c>
      <c r="C2233" s="883">
        <v>0.97982671577118974</v>
      </c>
      <c r="D2233" s="883">
        <v>0.98076123313700991</v>
      </c>
      <c r="E2233" s="883">
        <v>0.99936713718763848</v>
      </c>
      <c r="F2233" s="883">
        <v>0.99248849831563479</v>
      </c>
      <c r="G2233" s="883">
        <v>1.0267755819271138</v>
      </c>
      <c r="H2233" s="883">
        <v>1.0126786891448667</v>
      </c>
      <c r="I2233" s="883">
        <v>0.99836633100237804</v>
      </c>
      <c r="K2233">
        <v>1.6170856125040634</v>
      </c>
      <c r="L2233">
        <v>0</v>
      </c>
      <c r="M2233">
        <v>6.6865325048051805E-3</v>
      </c>
      <c r="N2233">
        <v>0.12454573737385859</v>
      </c>
      <c r="O2233">
        <v>3.1728925507978158E-2</v>
      </c>
      <c r="P2233">
        <v>1.8260731395148451E-2</v>
      </c>
      <c r="Q2233">
        <v>0</v>
      </c>
      <c r="R2233">
        <v>6.6865325048051805E-3</v>
      </c>
      <c r="S2233">
        <v>0.17285294562997905</v>
      </c>
      <c r="T2233">
        <v>1.1770578722346914</v>
      </c>
      <c r="U2233">
        <v>0</v>
      </c>
      <c r="V2233">
        <v>1.5966153105928273E-2</v>
      </c>
      <c r="W2233">
        <v>6.5572839594148252E-2</v>
      </c>
      <c r="X2233">
        <v>-1.6433543034037868E-2</v>
      </c>
      <c r="Y2233">
        <v>2.7533950696369106E-2</v>
      </c>
    </row>
    <row r="2234" spans="1:25" x14ac:dyDescent="0.25">
      <c r="A2234" s="879"/>
      <c r="B2234" s="1133">
        <v>1984</v>
      </c>
      <c r="C2234" s="883">
        <v>0.99315196724023969</v>
      </c>
      <c r="D2234" s="883">
        <v>1.033090444732248</v>
      </c>
      <c r="E2234" s="883">
        <v>0.95341766564056862</v>
      </c>
      <c r="F2234" s="883">
        <v>0.97504612958979986</v>
      </c>
      <c r="G2234" s="883">
        <v>1.0064648158023741</v>
      </c>
      <c r="H2234" s="883">
        <v>1.026764270250865</v>
      </c>
      <c r="I2234" s="883">
        <v>0.97093678861542454</v>
      </c>
      <c r="K2234">
        <v>1.5814076568406714</v>
      </c>
      <c r="L2234">
        <v>0</v>
      </c>
      <c r="M2234">
        <v>6.8022917109642807E-3</v>
      </c>
      <c r="N2234">
        <v>0.11834978895853891</v>
      </c>
      <c r="O2234">
        <v>3.0694767243870713E-2</v>
      </c>
      <c r="P2234">
        <v>1.7277914670381117E-2</v>
      </c>
      <c r="Q2234">
        <v>0</v>
      </c>
      <c r="R2234">
        <v>6.8022917109642807E-3</v>
      </c>
      <c r="S2234">
        <v>0.16606003803564814</v>
      </c>
      <c r="T2234">
        <v>1.157209088573137</v>
      </c>
      <c r="U2234">
        <v>0</v>
      </c>
      <c r="V2234">
        <v>1.589150196137178E-2</v>
      </c>
      <c r="W2234">
        <v>6.3763108664904034E-2</v>
      </c>
      <c r="X2234">
        <v>-1.5849177770143021E-2</v>
      </c>
      <c r="Y2234">
        <v>2.8010626502961676E-2</v>
      </c>
    </row>
    <row r="2235" spans="1:25" x14ac:dyDescent="0.25">
      <c r="A2235" s="879"/>
      <c r="B2235" s="1133">
        <v>1985</v>
      </c>
      <c r="C2235" s="883">
        <v>0.95811815598313144</v>
      </c>
      <c r="D2235" s="883">
        <v>0.9789185469778664</v>
      </c>
      <c r="E2235" s="883">
        <v>0.96160455094195763</v>
      </c>
      <c r="F2235" s="883">
        <v>1.0056227295576528</v>
      </c>
      <c r="G2235" s="883">
        <v>1.0232034902524674</v>
      </c>
      <c r="H2235" s="883">
        <v>0.9950558224290027</v>
      </c>
      <c r="I2235" s="883">
        <v>0.99215712318694982</v>
      </c>
      <c r="K2235">
        <v>1.6349174946374672</v>
      </c>
      <c r="L2235">
        <v>0</v>
      </c>
      <c r="M2235">
        <v>6.9497233779300602E-3</v>
      </c>
      <c r="N2235">
        <v>0.12239504056188864</v>
      </c>
      <c r="O2235">
        <v>3.2503800366525067E-2</v>
      </c>
      <c r="P2235">
        <v>1.7972179944988665E-2</v>
      </c>
      <c r="Q2235">
        <v>0</v>
      </c>
      <c r="R2235">
        <v>6.9497233779300602E-3</v>
      </c>
      <c r="S2235">
        <v>0.17458115878722463</v>
      </c>
      <c r="T2235">
        <v>1.1933436312037355</v>
      </c>
      <c r="U2235">
        <v>0</v>
      </c>
      <c r="V2235">
        <v>1.6092216416013203E-2</v>
      </c>
      <c r="W2235">
        <v>6.5670312490660465E-2</v>
      </c>
      <c r="X2235">
        <v>-1.6258568999237527E-2</v>
      </c>
      <c r="Y2235">
        <v>2.8617723865668299E-2</v>
      </c>
    </row>
    <row r="2236" spans="1:25" x14ac:dyDescent="0.25">
      <c r="A2236" s="879"/>
      <c r="B2236" s="1133">
        <v>1986</v>
      </c>
      <c r="C2236" s="883">
        <v>1.0068830413102274</v>
      </c>
      <c r="D2236" s="883">
        <v>0.98186462768839033</v>
      </c>
      <c r="E2236" s="883">
        <v>0.98614790657463547</v>
      </c>
      <c r="F2236" s="883">
        <v>1.0084095138169973</v>
      </c>
      <c r="G2236" s="883">
        <v>1.0130333125334667</v>
      </c>
      <c r="H2236" s="883">
        <v>1.0141634490914664</v>
      </c>
      <c r="I2236" s="883">
        <v>0.96214440192085882</v>
      </c>
      <c r="K2236">
        <v>1.6187294351687382</v>
      </c>
      <c r="L2236">
        <v>0</v>
      </c>
      <c r="M2236">
        <v>6.5887139545333321E-3</v>
      </c>
      <c r="N2236">
        <v>0.12034242330424061</v>
      </c>
      <c r="O2236">
        <v>3.0873419640648811E-2</v>
      </c>
      <c r="P2236">
        <v>1.8186963876680954E-2</v>
      </c>
      <c r="Q2236">
        <v>0</v>
      </c>
      <c r="R2236">
        <v>6.5887139545333321E-3</v>
      </c>
      <c r="S2236">
        <v>0.16216299587990524</v>
      </c>
      <c r="T2236">
        <v>1.1961878306934677</v>
      </c>
      <c r="U2236">
        <v>0</v>
      </c>
      <c r="V2236">
        <v>1.5816644375446543E-2</v>
      </c>
      <c r="W2236">
        <v>6.3778385807220103E-2</v>
      </c>
      <c r="X2236">
        <v>-1.5750379726274345E-2</v>
      </c>
      <c r="Y2236">
        <v>2.7131151317402527E-2</v>
      </c>
    </row>
    <row r="2237" spans="1:25" x14ac:dyDescent="0.25">
      <c r="A2237" s="879"/>
      <c r="B2237" s="1133">
        <v>1987</v>
      </c>
      <c r="C2237" s="883">
        <v>1.0342384722737183</v>
      </c>
      <c r="D2237" s="883">
        <v>0.97923360759047029</v>
      </c>
      <c r="E2237" s="883">
        <v>1.0210411974270266</v>
      </c>
      <c r="F2237" s="883">
        <v>0.99896842988113288</v>
      </c>
      <c r="G2237" s="883">
        <v>0.98332981463454627</v>
      </c>
      <c r="H2237" s="883">
        <v>0.97044892910877401</v>
      </c>
      <c r="I2237" s="883">
        <v>1.043260023462202</v>
      </c>
      <c r="K2237">
        <v>1.6019301132000989</v>
      </c>
      <c r="L2237">
        <v>0</v>
      </c>
      <c r="M2237">
        <v>5.9607507894673629E-3</v>
      </c>
      <c r="N2237">
        <v>0.114647190656923</v>
      </c>
      <c r="O2237">
        <v>3.0059786002317589E-2</v>
      </c>
      <c r="P2237">
        <v>1.8598468351220698E-2</v>
      </c>
      <c r="Q2237">
        <v>0</v>
      </c>
      <c r="R2237">
        <v>5.9607507894673629E-3</v>
      </c>
      <c r="S2237">
        <v>0.16867031348700756</v>
      </c>
      <c r="T2237">
        <v>1.1843414226022899</v>
      </c>
      <c r="U2237">
        <v>0</v>
      </c>
      <c r="V2237">
        <v>1.5673435515633861E-2</v>
      </c>
      <c r="W2237">
        <v>5.9717716635883128E-2</v>
      </c>
      <c r="X2237">
        <v>-1.4323530828113664E-2</v>
      </c>
      <c r="Y2237">
        <v>2.4545310776937512E-2</v>
      </c>
    </row>
    <row r="2238" spans="1:25" x14ac:dyDescent="0.25">
      <c r="A2238" s="879"/>
      <c r="B2238" s="1133">
        <v>1988</v>
      </c>
      <c r="C2238" s="883">
        <v>1.0249949815149517</v>
      </c>
      <c r="D2238" s="883">
        <v>0.99677159011435412</v>
      </c>
      <c r="E2238" s="883">
        <v>1.0191801971357191</v>
      </c>
      <c r="F2238" s="883">
        <v>1.0458411479027721</v>
      </c>
      <c r="G2238" s="883">
        <v>0.99566809581216109</v>
      </c>
      <c r="H2238" s="883">
        <v>0.9962632023392296</v>
      </c>
      <c r="I2238" s="883">
        <v>0.99568489439698382</v>
      </c>
      <c r="K2238">
        <v>1.6583688247194752</v>
      </c>
      <c r="L2238">
        <v>0</v>
      </c>
      <c r="M2238">
        <v>6.1357524833851708E-3</v>
      </c>
      <c r="N2238">
        <v>0.11768868191255251</v>
      </c>
      <c r="O2238">
        <v>3.0117917166587384E-2</v>
      </c>
      <c r="P2238">
        <v>1.9260432277858317E-2</v>
      </c>
      <c r="Q2238">
        <v>0</v>
      </c>
      <c r="R2238">
        <v>6.1357524833851708E-3</v>
      </c>
      <c r="S2238">
        <v>0.16371852888215221</v>
      </c>
      <c r="T2238">
        <v>1.2399480493072252</v>
      </c>
      <c r="U2238">
        <v>0</v>
      </c>
      <c r="V2238">
        <v>1.5720971186168348E-2</v>
      </c>
      <c r="W2238">
        <v>6.1358195977956526E-2</v>
      </c>
      <c r="X2238">
        <v>-1.4709888594375347E-2</v>
      </c>
      <c r="Y2238">
        <v>2.5265936603350719E-2</v>
      </c>
    </row>
    <row r="2239" spans="1:25" x14ac:dyDescent="0.25">
      <c r="A2239" s="879"/>
      <c r="B2239" s="1133">
        <v>1989</v>
      </c>
      <c r="C2239" s="883">
        <v>0.99953587023785551</v>
      </c>
      <c r="D2239" s="883">
        <v>0.95865224562041396</v>
      </c>
      <c r="E2239" s="883">
        <v>1.0032529309877731</v>
      </c>
      <c r="F2239" s="883">
        <v>0.98307122784081002</v>
      </c>
      <c r="G2239" s="883">
        <v>0.99696244919385668</v>
      </c>
      <c r="H2239" s="883">
        <v>0.9727354596417408</v>
      </c>
      <c r="I2239" s="883">
        <v>0.97881043988325089</v>
      </c>
      <c r="K2239">
        <v>1.5870854394286635</v>
      </c>
      <c r="L2239">
        <v>0</v>
      </c>
      <c r="M2239">
        <v>6.3390638748654785E-3</v>
      </c>
      <c r="N2239">
        <v>0.11875527513152175</v>
      </c>
      <c r="O2239">
        <v>3.1384872364961396E-2</v>
      </c>
      <c r="P2239">
        <v>1.8044365488163693E-2</v>
      </c>
      <c r="Q2239">
        <v>0</v>
      </c>
      <c r="R2239">
        <v>6.3390638748654785E-3</v>
      </c>
      <c r="S2239">
        <v>0.1640659571277942</v>
      </c>
      <c r="T2239">
        <v>1.1658183333057381</v>
      </c>
      <c r="U2239">
        <v>0</v>
      </c>
      <c r="V2239">
        <v>1.5856443065949001E-2</v>
      </c>
      <c r="W2239">
        <v>6.240370463439273E-2</v>
      </c>
      <c r="X2239">
        <v>-1.5346648415246539E-2</v>
      </c>
      <c r="Y2239">
        <v>2.6103136725387974E-2</v>
      </c>
    </row>
    <row r="2240" spans="1:25" x14ac:dyDescent="0.25">
      <c r="A2240" s="879"/>
      <c r="B2240" s="1133">
        <v>1990</v>
      </c>
      <c r="C2240" s="883">
        <v>1.0021542069726688</v>
      </c>
      <c r="D2240" s="883">
        <v>0.96709593221641366</v>
      </c>
      <c r="E2240" s="883">
        <v>1.014357261340584</v>
      </c>
      <c r="F2240" s="883">
        <v>1.0388739150690487</v>
      </c>
      <c r="G2240" s="883">
        <v>1.0142214961911293</v>
      </c>
      <c r="H2240" s="883">
        <v>0.99645197445408784</v>
      </c>
      <c r="I2240" s="883">
        <v>1.0123631154921018</v>
      </c>
      <c r="K2240">
        <v>1.6646407597033814</v>
      </c>
      <c r="L2240">
        <v>0</v>
      </c>
      <c r="M2240">
        <v>6.3889767085195809E-3</v>
      </c>
      <c r="N2240">
        <v>0.1216743257581097</v>
      </c>
      <c r="O2240">
        <v>3.1183416753922551E-2</v>
      </c>
      <c r="P2240">
        <v>1.9175330901418031E-2</v>
      </c>
      <c r="Q2240">
        <v>0</v>
      </c>
      <c r="R2240">
        <v>6.3889767085195809E-3</v>
      </c>
      <c r="S2240">
        <v>0.17057867573708083</v>
      </c>
      <c r="T2240">
        <v>1.231780456083768</v>
      </c>
      <c r="U2240">
        <v>0</v>
      </c>
      <c r="V2240">
        <v>1.5842192943319691E-2</v>
      </c>
      <c r="W2240">
        <v>6.3587238903247731E-2</v>
      </c>
      <c r="X2240">
        <v>-1.5489546267707576E-2</v>
      </c>
      <c r="Y2240">
        <v>2.6308668890222361E-2</v>
      </c>
    </row>
    <row r="2241" spans="1:25" x14ac:dyDescent="0.25">
      <c r="A2241" s="879"/>
      <c r="B2241" s="1133">
        <v>1991</v>
      </c>
      <c r="C2241" s="883">
        <v>0.97965921724933747</v>
      </c>
      <c r="D2241" s="883">
        <v>0.97955072931879517</v>
      </c>
      <c r="E2241" s="883">
        <v>0.99033612691943917</v>
      </c>
      <c r="F2241" s="883">
        <v>0.96240529186747326</v>
      </c>
      <c r="G2241" s="883">
        <v>1.0403677911423117</v>
      </c>
      <c r="H2241" s="883">
        <v>0.96583963674760365</v>
      </c>
      <c r="I2241" s="883">
        <v>0.98011012392663444</v>
      </c>
      <c r="K2241">
        <v>1.5656202895858242</v>
      </c>
      <c r="L2241">
        <v>0</v>
      </c>
      <c r="M2241">
        <v>6.4323901238811255E-3</v>
      </c>
      <c r="N2241">
        <v>0.11821906562980027</v>
      </c>
      <c r="O2241">
        <v>3.1757803577916535E-2</v>
      </c>
      <c r="P2241">
        <v>1.7586115845212458E-2</v>
      </c>
      <c r="Q2241">
        <v>0</v>
      </c>
      <c r="R2241">
        <v>6.4323901238811255E-3</v>
      </c>
      <c r="S2241">
        <v>0.16698298341937468</v>
      </c>
      <c r="T2241">
        <v>1.1415419338728474</v>
      </c>
      <c r="U2241">
        <v>0</v>
      </c>
      <c r="V2241">
        <v>1.5967104395452375E-2</v>
      </c>
      <c r="W2241">
        <v>6.2522250861754586E-2</v>
      </c>
      <c r="X2241">
        <v>-1.5444405623916409E-2</v>
      </c>
      <c r="Y2241">
        <v>2.6487437607381332E-2</v>
      </c>
    </row>
    <row r="2242" spans="1:25" x14ac:dyDescent="0.25">
      <c r="A2242" s="879"/>
      <c r="B2242" s="1133">
        <v>1992</v>
      </c>
      <c r="C2242" s="883">
        <v>0.98983301158541159</v>
      </c>
      <c r="D2242" s="883">
        <v>1.013979959461448</v>
      </c>
      <c r="E2242" s="883">
        <v>0.99014101623239847</v>
      </c>
      <c r="F2242" s="883">
        <v>1.032590826479616</v>
      </c>
      <c r="G2242" s="883">
        <v>1.0261012294564689</v>
      </c>
      <c r="H2242" s="883">
        <v>1.0476342734532444</v>
      </c>
      <c r="I2242" s="883">
        <v>1.0062359121004028</v>
      </c>
      <c r="K2242">
        <v>1.667235247598136</v>
      </c>
      <c r="L2242">
        <v>0</v>
      </c>
      <c r="M2242">
        <v>6.8009737950961088E-3</v>
      </c>
      <c r="N2242">
        <v>0.12495700937513875</v>
      </c>
      <c r="O2242">
        <v>3.1000223467045018E-2</v>
      </c>
      <c r="P2242">
        <v>1.8782782374182884E-2</v>
      </c>
      <c r="Q2242">
        <v>0</v>
      </c>
      <c r="R2242">
        <v>6.8009737950961088E-3</v>
      </c>
      <c r="S2242">
        <v>0.17413455679579928</v>
      </c>
      <c r="T2242">
        <v>1.2247951572943223</v>
      </c>
      <c r="U2242">
        <v>0</v>
      </c>
      <c r="V2242">
        <v>1.5909907555877428E-2</v>
      </c>
      <c r="W2242">
        <v>6.6092161507359831E-2</v>
      </c>
      <c r="X2242">
        <v>-1.6441750331585556E-2</v>
      </c>
      <c r="Y2242">
        <v>2.8005199559996825E-2</v>
      </c>
    </row>
    <row r="2243" spans="1:25" x14ac:dyDescent="0.25">
      <c r="A2243" s="879"/>
      <c r="B2243" s="1133">
        <v>1993</v>
      </c>
      <c r="C2243" s="883">
        <v>0.99827953538225978</v>
      </c>
      <c r="D2243" s="883">
        <v>0.99866175624951148</v>
      </c>
      <c r="E2243" s="883">
        <v>0.97630258155800265</v>
      </c>
      <c r="F2243" s="883">
        <v>1.0237012415893674</v>
      </c>
      <c r="G2243" s="883">
        <v>0.99307009326253393</v>
      </c>
      <c r="H2243" s="883">
        <v>0.98476349274716501</v>
      </c>
      <c r="I2243" s="883">
        <v>1.0366199196479566</v>
      </c>
      <c r="K2243">
        <v>1.6439212568410104</v>
      </c>
      <c r="L2243">
        <v>0</v>
      </c>
      <c r="M2243">
        <v>6.4593860753139913E-3</v>
      </c>
      <c r="N2243">
        <v>0.11626956444559984</v>
      </c>
      <c r="O2243">
        <v>3.0936784406250896E-2</v>
      </c>
      <c r="P2243">
        <v>1.8449828032970603E-2</v>
      </c>
      <c r="Q2243">
        <v>0</v>
      </c>
      <c r="R2243">
        <v>6.4593860753139913E-3</v>
      </c>
      <c r="S2243">
        <v>0.17425059007459634</v>
      </c>
      <c r="T2243">
        <v>1.2145152080318653</v>
      </c>
      <c r="U2243">
        <v>0</v>
      </c>
      <c r="V2243">
        <v>1.5863307123205408E-2</v>
      </c>
      <c r="W2243">
        <v>6.1924237304274439E-2</v>
      </c>
      <c r="X2243">
        <v>-1.4886864708036351E-2</v>
      </c>
      <c r="Y2243">
        <v>2.6598602130281649E-2</v>
      </c>
    </row>
    <row r="2244" spans="1:25" x14ac:dyDescent="0.25">
      <c r="A2244" s="879"/>
      <c r="B2244" s="1133">
        <v>1994</v>
      </c>
      <c r="C2244" s="883">
        <v>0.98584041881110529</v>
      </c>
      <c r="D2244" s="883">
        <v>0.97858803811620299</v>
      </c>
      <c r="E2244" s="883">
        <v>0.99166844288392619</v>
      </c>
      <c r="F2244" s="883">
        <v>1.0291282105188917</v>
      </c>
      <c r="G2244" s="883">
        <v>0.96653697952943451</v>
      </c>
      <c r="H2244" s="883">
        <v>1.0271157354869997</v>
      </c>
      <c r="I2244" s="883">
        <v>0.99606903185955997</v>
      </c>
      <c r="K2244">
        <v>1.6618902045287578</v>
      </c>
      <c r="L2244">
        <v>0</v>
      </c>
      <c r="M2244">
        <v>6.7926757490880067E-3</v>
      </c>
      <c r="N2244">
        <v>0.12508747116525643</v>
      </c>
      <c r="O2244">
        <v>3.1569972957522632E-2</v>
      </c>
      <c r="P2244">
        <v>1.872526363257971E-2</v>
      </c>
      <c r="Q2244">
        <v>0</v>
      </c>
      <c r="R2244">
        <v>6.7926757490880067E-3</v>
      </c>
      <c r="S2244">
        <v>0.17227306723873914</v>
      </c>
      <c r="T2244">
        <v>1.2206587400722488</v>
      </c>
      <c r="U2244">
        <v>0</v>
      </c>
      <c r="V2244">
        <v>1.5932213083659452E-2</v>
      </c>
      <c r="W2244">
        <v>6.6110809560689252E-2</v>
      </c>
      <c r="X2244">
        <v>-1.6438362865469524E-2</v>
      </c>
      <c r="Y2244">
        <v>2.7971029683532586E-2</v>
      </c>
    </row>
    <row r="2245" spans="1:25" x14ac:dyDescent="0.25">
      <c r="A2245" s="879"/>
      <c r="B2245" s="1133">
        <v>1995</v>
      </c>
      <c r="C2245" s="883">
        <v>1.0021127056887791</v>
      </c>
      <c r="D2245" s="883">
        <v>0.98806695720359972</v>
      </c>
      <c r="E2245" s="883">
        <v>0.97624506608171147</v>
      </c>
      <c r="F2245" s="883">
        <v>0.96360971174691357</v>
      </c>
      <c r="G2245" s="883">
        <v>1.0234048114737317</v>
      </c>
      <c r="H2245" s="883">
        <v>1.0315998620115174</v>
      </c>
      <c r="I2245" s="883">
        <v>0.98601913070094394</v>
      </c>
      <c r="K2245">
        <v>1.5736958573233415</v>
      </c>
      <c r="L2245">
        <v>0</v>
      </c>
      <c r="M2245">
        <v>6.7732141235483864E-3</v>
      </c>
      <c r="N2245">
        <v>0.12190809290694499</v>
      </c>
      <c r="O2245">
        <v>3.0950254465234049E-2</v>
      </c>
      <c r="P2245">
        <v>1.7429057772881971E-2</v>
      </c>
      <c r="Q2245">
        <v>0</v>
      </c>
      <c r="R2245">
        <v>6.7732141235483864E-3</v>
      </c>
      <c r="S2245">
        <v>0.16790038329868195</v>
      </c>
      <c r="T2245">
        <v>1.1432238843745042</v>
      </c>
      <c r="U2245">
        <v>0</v>
      </c>
      <c r="V2245">
        <v>1.5842418230485166E-2</v>
      </c>
      <c r="W2245">
        <v>6.4929145020284296E-2</v>
      </c>
      <c r="X2245">
        <v>-1.6378268919276913E-2</v>
      </c>
      <c r="Y2245">
        <v>2.7890890173600656E-2</v>
      </c>
    </row>
    <row r="2246" spans="1:25" x14ac:dyDescent="0.25">
      <c r="A2246" s="879"/>
      <c r="B2246" s="1133">
        <v>1996</v>
      </c>
      <c r="C2246" s="883">
        <v>0.98514567039541423</v>
      </c>
      <c r="D2246" s="883">
        <v>0.99664608665259291</v>
      </c>
      <c r="E2246" s="883">
        <v>1.002951508620038</v>
      </c>
      <c r="F2246" s="883">
        <v>1.0334108785688434</v>
      </c>
      <c r="G2246" s="883">
        <v>1.0032315979951221</v>
      </c>
      <c r="H2246" s="883">
        <v>0.98987280776029674</v>
      </c>
      <c r="I2246" s="883">
        <v>1.0081318407430211</v>
      </c>
      <c r="K2246">
        <v>1.658743902042634</v>
      </c>
      <c r="L2246">
        <v>0</v>
      </c>
      <c r="M2246">
        <v>6.4340306777471859E-3</v>
      </c>
      <c r="N2246">
        <v>0.1204805715710917</v>
      </c>
      <c r="O2246">
        <v>3.1352341855223904E-2</v>
      </c>
      <c r="P2246">
        <v>1.8949002990152893E-2</v>
      </c>
      <c r="Q2246">
        <v>0</v>
      </c>
      <c r="R2246">
        <v>6.4340306777471859E-3</v>
      </c>
      <c r="S2246">
        <v>0.1720741181075032</v>
      </c>
      <c r="T2246">
        <v>1.2255216112074698</v>
      </c>
      <c r="U2246">
        <v>0</v>
      </c>
      <c r="V2246">
        <v>1.5936112921357465E-2</v>
      </c>
      <c r="W2246">
        <v>6.3319782099109614E-2</v>
      </c>
      <c r="X2246">
        <v>-1.5383831825469601E-2</v>
      </c>
      <c r="Y2246">
        <v>2.6494193116194067E-2</v>
      </c>
    </row>
    <row r="2247" spans="1:25" x14ac:dyDescent="0.25">
      <c r="A2247" s="879"/>
      <c r="B2247" s="1133">
        <v>1997</v>
      </c>
      <c r="C2247" s="883">
        <v>0.95873514983600527</v>
      </c>
      <c r="D2247" s="883">
        <v>0.99237079705384101</v>
      </c>
      <c r="E2247" s="883">
        <v>1.0202639934167987</v>
      </c>
      <c r="F2247" s="883">
        <v>0.97796979914873372</v>
      </c>
      <c r="G2247" s="883">
        <v>0.97777644412025755</v>
      </c>
      <c r="H2247" s="883">
        <v>0.98685671904862449</v>
      </c>
      <c r="I2247" s="883">
        <v>0.99530697214696839</v>
      </c>
      <c r="K2247">
        <v>1.6011218116745563</v>
      </c>
      <c r="L2247">
        <v>0</v>
      </c>
      <c r="M2247">
        <v>6.5045355288541754E-3</v>
      </c>
      <c r="N2247">
        <v>0.12496242767069003</v>
      </c>
      <c r="O2247">
        <v>3.2255429343112492E-2</v>
      </c>
      <c r="P2247">
        <v>1.8334116565969515E-2</v>
      </c>
      <c r="Q2247">
        <v>0</v>
      </c>
      <c r="R2247">
        <v>6.5045355288541754E-3</v>
      </c>
      <c r="S2247">
        <v>0.17444670921937369</v>
      </c>
      <c r="T2247">
        <v>1.1594602503567624</v>
      </c>
      <c r="U2247">
        <v>0</v>
      </c>
      <c r="V2247">
        <v>1.60885546620682E-2</v>
      </c>
      <c r="W2247">
        <v>6.5115661024140264E-2</v>
      </c>
      <c r="X2247">
        <v>-1.6325856711216717E-2</v>
      </c>
      <c r="Y2247">
        <v>2.678451954365698E-2</v>
      </c>
    </row>
    <row r="2248" spans="1:25" x14ac:dyDescent="0.25">
      <c r="A2248" s="879"/>
      <c r="B2248" s="1133">
        <v>1998</v>
      </c>
      <c r="C2248" s="883">
        <v>0.98483234711396805</v>
      </c>
      <c r="D2248" s="883">
        <v>1.0108397680768402</v>
      </c>
      <c r="E2248" s="883">
        <v>0.97996470352221865</v>
      </c>
      <c r="F2248" s="883">
        <v>1.0207076425107757</v>
      </c>
      <c r="G2248" s="883">
        <v>1.0175834126185652</v>
      </c>
      <c r="H2248" s="883">
        <v>1.0060115657493625</v>
      </c>
      <c r="I2248" s="883">
        <v>0.99424584978358732</v>
      </c>
      <c r="K2248">
        <v>1.6424876761144476</v>
      </c>
      <c r="L2248">
        <v>0</v>
      </c>
      <c r="M2248">
        <v>6.6316079579588324E-3</v>
      </c>
      <c r="N2248">
        <v>0.12002001473065368</v>
      </c>
      <c r="O2248">
        <v>3.1204621050230953E-2</v>
      </c>
      <c r="P2248">
        <v>1.8406349822301334E-2</v>
      </c>
      <c r="Q2248">
        <v>0</v>
      </c>
      <c r="R2248">
        <v>6.6316079579588324E-3</v>
      </c>
      <c r="S2248">
        <v>0.17053278029872898</v>
      </c>
      <c r="T2248">
        <v>1.2108937861283045</v>
      </c>
      <c r="U2248">
        <v>0</v>
      </c>
      <c r="V2248">
        <v>1.593787350210971E-2</v>
      </c>
      <c r="W2248">
        <v>6.3804504422062244E-2</v>
      </c>
      <c r="X2248">
        <v>-1.5620035028604169E-2</v>
      </c>
      <c r="Y2248">
        <v>2.730778118866074E-2</v>
      </c>
    </row>
    <row r="2249" spans="1:25" x14ac:dyDescent="0.25">
      <c r="A2249" s="879"/>
      <c r="B2249" s="1133">
        <v>1999</v>
      </c>
      <c r="C2249" s="883">
        <v>0.98817768975068898</v>
      </c>
      <c r="D2249" s="883">
        <v>1.0445456198121754</v>
      </c>
      <c r="E2249" s="883">
        <v>0.99016887498894468</v>
      </c>
      <c r="F2249" s="883">
        <v>0.97622575726989769</v>
      </c>
      <c r="G2249" s="883">
        <v>0.98278860236621268</v>
      </c>
      <c r="H2249" s="883">
        <v>1.0045727606540908</v>
      </c>
      <c r="I2249" s="883">
        <v>0.99890170646397447</v>
      </c>
      <c r="K2249">
        <v>1.5849044055939254</v>
      </c>
      <c r="L2249">
        <v>0</v>
      </c>
      <c r="M2249">
        <v>6.4463736519877329E-3</v>
      </c>
      <c r="N2249">
        <v>0.11844669126472882</v>
      </c>
      <c r="O2249">
        <v>3.0685426527359432E-2</v>
      </c>
      <c r="P2249">
        <v>1.7845678547807352E-2</v>
      </c>
      <c r="Q2249">
        <v>0</v>
      </c>
      <c r="R2249">
        <v>6.4463736519877329E-3</v>
      </c>
      <c r="S2249">
        <v>0.17035446173771343</v>
      </c>
      <c r="T2249">
        <v>1.1579379035073487</v>
      </c>
      <c r="U2249">
        <v>0</v>
      </c>
      <c r="V2249">
        <v>1.5919133514583572E-2</v>
      </c>
      <c r="W2249">
        <v>6.2647858985933821E-2</v>
      </c>
      <c r="X2249">
        <v>-1.547776777869873E-2</v>
      </c>
      <c r="Y2249">
        <v>2.6545019287149123E-2</v>
      </c>
    </row>
    <row r="2250" spans="1:25" x14ac:dyDescent="0.25">
      <c r="A2250" s="879"/>
      <c r="B2250" s="1133">
        <v>2000</v>
      </c>
      <c r="C2250" s="883">
        <v>0.96337862741894764</v>
      </c>
      <c r="D2250" s="883">
        <v>1.0016998605610516</v>
      </c>
      <c r="E2250" s="883">
        <v>0.9630947650708751</v>
      </c>
      <c r="F2250" s="883">
        <v>0.97983273077636301</v>
      </c>
      <c r="G2250" s="883">
        <v>0.99658076017440489</v>
      </c>
      <c r="H2250" s="883">
        <v>1.0377168569579651</v>
      </c>
      <c r="I2250" s="883">
        <v>1.0019030657792423</v>
      </c>
      <c r="K2250">
        <v>1.6115468612490444</v>
      </c>
      <c r="L2250">
        <v>0</v>
      </c>
      <c r="M2250">
        <v>7.1252330935536595E-3</v>
      </c>
      <c r="N2250">
        <v>0.12576415074708358</v>
      </c>
      <c r="O2250">
        <v>3.2029064719434119E-2</v>
      </c>
      <c r="P2250">
        <v>1.7634753103243018E-2</v>
      </c>
      <c r="Q2250">
        <v>0</v>
      </c>
      <c r="R2250">
        <v>7.1252330935536595E-3</v>
      </c>
      <c r="S2250">
        <v>0.1776603766728917</v>
      </c>
      <c r="T2250">
        <v>1.1627120034158054</v>
      </c>
      <c r="U2250">
        <v>0</v>
      </c>
      <c r="V2250">
        <v>1.6061146889808829E-2</v>
      </c>
      <c r="W2250">
        <v>6.7427292651131829E-2</v>
      </c>
      <c r="X2250">
        <v>-1.7082368585397138E-2</v>
      </c>
      <c r="Y2250">
        <v>2.9340441635041462E-2</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P63" zoomScaleNormal="100" workbookViewId="0">
      <selection activeCell="X81" sqref="X81"/>
    </sheetView>
  </sheetViews>
  <sheetFormatPr defaultColWidth="11" defaultRowHeight="13.2" x14ac:dyDescent="0.25"/>
  <cols>
    <col min="1" max="1" width="27.33203125" style="51" customWidth="1"/>
    <col min="2" max="2" width="28.6640625" style="51" customWidth="1"/>
    <col min="3" max="3" width="25.33203125" style="51" customWidth="1"/>
    <col min="4" max="4" width="18.6640625" style="51" customWidth="1"/>
    <col min="5" max="5" width="49.6640625" style="51" customWidth="1"/>
    <col min="6" max="6" width="24.6640625" style="51" customWidth="1"/>
    <col min="7" max="7" width="25.6640625" style="51" customWidth="1"/>
    <col min="8" max="8" width="21.33203125" style="51" customWidth="1"/>
    <col min="9" max="9" width="29.6640625" style="51" customWidth="1"/>
    <col min="10" max="10" width="27.33203125" style="51" customWidth="1"/>
    <col min="11" max="11" width="25" style="51" customWidth="1"/>
    <col min="12" max="12" width="25.6640625" style="51" customWidth="1"/>
    <col min="13" max="13" width="21" style="51" customWidth="1"/>
    <col min="14" max="14" width="22.6640625" style="51" customWidth="1"/>
    <col min="15" max="15" width="28.33203125" style="51" customWidth="1"/>
    <col min="16" max="16" width="28.6640625" style="51" customWidth="1"/>
    <col min="17" max="17" width="26.6640625" style="51" customWidth="1"/>
    <col min="18" max="18" width="23.5546875" style="51" customWidth="1"/>
    <col min="19" max="19" width="22.33203125" style="51" customWidth="1"/>
    <col min="20" max="20" width="20.6640625" style="51" customWidth="1"/>
    <col min="21" max="21" width="21.44140625" style="51" customWidth="1"/>
    <col min="22" max="22" width="18.6640625" style="51" customWidth="1"/>
    <col min="23" max="23" width="20.44140625" style="51" customWidth="1"/>
    <col min="24" max="24" width="19.33203125" style="51" customWidth="1"/>
    <col min="25" max="25" width="14.6640625" style="51" customWidth="1"/>
    <col min="26" max="26" width="15.6640625" style="51" customWidth="1"/>
    <col min="27" max="27" width="15.5546875" style="51" customWidth="1"/>
    <col min="28" max="28" width="15.6640625" style="51" customWidth="1"/>
    <col min="29" max="29" width="16.6640625" style="51" customWidth="1"/>
    <col min="30" max="30" width="14.6640625" style="51" customWidth="1"/>
    <col min="31" max="31" width="15.44140625" style="51" customWidth="1"/>
    <col min="32" max="32" width="11" style="51"/>
    <col min="33" max="33" width="14.6640625" style="51" customWidth="1"/>
    <col min="34" max="16384" width="11" style="51"/>
  </cols>
  <sheetData>
    <row r="1" spans="1:23" ht="15" customHeight="1" thickBot="1" x14ac:dyDescent="0.3">
      <c r="D1" s="39"/>
    </row>
    <row r="2" spans="1:23" ht="15" customHeight="1" thickTop="1" x14ac:dyDescent="0.25">
      <c r="A2" s="503" t="s">
        <v>483</v>
      </c>
      <c r="B2" s="497"/>
      <c r="C2" s="498"/>
      <c r="D2" s="39"/>
    </row>
    <row r="3" spans="1:23" ht="15" customHeight="1" x14ac:dyDescent="0.25">
      <c r="A3" s="504" t="s">
        <v>484</v>
      </c>
      <c r="B3" s="499"/>
      <c r="C3" s="500"/>
      <c r="E3" s="146"/>
      <c r="F3" s="38"/>
      <c r="G3" s="39"/>
    </row>
    <row r="4" spans="1:23" ht="30.75" customHeight="1" x14ac:dyDescent="0.25">
      <c r="A4" s="504" t="s">
        <v>485</v>
      </c>
      <c r="B4" s="499"/>
      <c r="C4" s="500"/>
      <c r="T4" s="149"/>
      <c r="U4" s="132"/>
      <c r="V4" s="132"/>
      <c r="W4" s="132"/>
    </row>
    <row r="5" spans="1:23" ht="26.25" customHeight="1" x14ac:dyDescent="0.25">
      <c r="A5" s="504" t="s">
        <v>78</v>
      </c>
      <c r="B5" s="499"/>
      <c r="C5" s="500"/>
      <c r="T5" s="149"/>
      <c r="U5" s="132"/>
      <c r="V5" s="132"/>
      <c r="W5" s="132"/>
    </row>
    <row r="6" spans="1:23" ht="15" customHeight="1" thickBot="1" x14ac:dyDescent="0.3">
      <c r="A6" s="505" t="s">
        <v>486</v>
      </c>
      <c r="B6" s="501"/>
      <c r="C6" s="502"/>
      <c r="T6" s="149"/>
      <c r="U6" s="132"/>
      <c r="V6" s="132"/>
      <c r="W6" s="132"/>
    </row>
    <row r="7" spans="1:23" ht="15" customHeight="1" thickTop="1" x14ac:dyDescent="0.25">
      <c r="T7" s="149"/>
      <c r="U7" s="132"/>
      <c r="V7" s="132"/>
      <c r="W7" s="132"/>
    </row>
    <row r="8" spans="1:23" ht="15" customHeight="1" x14ac:dyDescent="0.25">
      <c r="T8" s="149"/>
      <c r="U8" s="132"/>
      <c r="V8" s="132"/>
      <c r="W8" s="132"/>
    </row>
    <row r="9" spans="1:23" ht="15" customHeight="1" x14ac:dyDescent="0.25">
      <c r="T9" s="149"/>
      <c r="U9" s="132"/>
      <c r="V9" s="132"/>
      <c r="W9" s="132"/>
    </row>
    <row r="10" spans="1:23" ht="15" customHeight="1" x14ac:dyDescent="0.25">
      <c r="T10" s="149"/>
      <c r="U10" s="132"/>
      <c r="V10" s="132"/>
      <c r="W10" s="132"/>
    </row>
    <row r="11" spans="1:23" ht="15" customHeight="1" x14ac:dyDescent="0.25">
      <c r="T11" s="149"/>
      <c r="U11" s="132"/>
      <c r="V11" s="132"/>
      <c r="W11" s="132"/>
    </row>
    <row r="12" spans="1:23" ht="29.25" customHeight="1" x14ac:dyDescent="0.25">
      <c r="T12" s="149"/>
      <c r="U12" s="132"/>
      <c r="V12" s="132"/>
      <c r="W12" s="132"/>
    </row>
    <row r="13" spans="1:23" ht="15" customHeight="1" x14ac:dyDescent="0.3">
      <c r="A13" s="135"/>
      <c r="B13" s="145"/>
      <c r="C13" s="145"/>
      <c r="D13" s="145"/>
      <c r="E13" s="145"/>
      <c r="F13" s="132"/>
      <c r="G13" s="38"/>
      <c r="H13" s="39"/>
    </row>
    <row r="14" spans="1:23" ht="15" customHeight="1" thickBot="1" x14ac:dyDescent="0.35">
      <c r="A14" s="131"/>
    </row>
    <row r="15" spans="1:23" ht="29.25" customHeight="1" thickTop="1" thickBot="1" x14ac:dyDescent="0.35">
      <c r="A15" s="153" t="s">
        <v>88</v>
      </c>
      <c r="B15" s="148"/>
      <c r="D15" s="1644" t="s">
        <v>64</v>
      </c>
      <c r="E15" s="1645"/>
    </row>
    <row r="16" spans="1:23" ht="40.200000000000003" thickTop="1" x14ac:dyDescent="0.25">
      <c r="A16" s="154" t="s">
        <v>89</v>
      </c>
      <c r="B16" s="155"/>
      <c r="D16" s="311" t="str">
        <f>"Hydrogen Cost (Year "&amp;TEXT(ref_year,"0")&amp;" Real $/kg)"</f>
        <v>Hydrogen Cost (Year 2016 Real $/kg)</v>
      </c>
      <c r="E16" s="992">
        <f ca="1">H2_price_nominal/INFLATION_FACTOR</f>
        <v>1.613041943883486</v>
      </c>
    </row>
    <row r="17" spans="1:10" ht="39.6" x14ac:dyDescent="0.25">
      <c r="A17" s="156" t="s">
        <v>90</v>
      </c>
      <c r="B17" s="157">
        <f ca="1">output_kgyear</f>
        <v>470850</v>
      </c>
      <c r="D17" s="136" t="s">
        <v>922</v>
      </c>
      <c r="E17" s="868">
        <f ca="1">+SUM(X57:AB57)/AC57*(1+inflation_rate)^construct</f>
        <v>2.5341135823238425</v>
      </c>
    </row>
    <row r="18" spans="1:10" ht="26.4" x14ac:dyDescent="0.25">
      <c r="A18" s="156" t="s">
        <v>91</v>
      </c>
      <c r="B18" s="157">
        <f ca="1">B17*H2_LHV_MJ_p_kg/1000/mmBTU_to_GJ</f>
        <v>53650.852977513299</v>
      </c>
      <c r="D18" s="137" t="s">
        <v>966</v>
      </c>
      <c r="E18" s="138">
        <f ca="1">((E20+1)/(1+B30))-1</f>
        <v>8.0000000000001181E-2</v>
      </c>
    </row>
    <row r="19" spans="1:10" ht="28.5" customHeight="1" x14ac:dyDescent="0.25">
      <c r="A19" s="156" t="s">
        <v>92</v>
      </c>
      <c r="B19" s="157">
        <f ca="1">B17*H2_LHV_MJ_p_kg</f>
        <v>56601649.891276531</v>
      </c>
      <c r="C19" s="134"/>
      <c r="D19" s="137" t="s">
        <v>974</v>
      </c>
      <c r="E19" s="138">
        <f ca="1">((E21+1)/(1+B30))-1</f>
        <v>5.2621766729273212E-2</v>
      </c>
    </row>
    <row r="20" spans="1:10" ht="15" customHeight="1" x14ac:dyDescent="0.25">
      <c r="A20" s="158" t="s">
        <v>93</v>
      </c>
      <c r="B20" s="157">
        <f ca="1">design_cap</f>
        <v>1500</v>
      </c>
      <c r="D20" s="139" t="s">
        <v>965</v>
      </c>
      <c r="E20" s="140">
        <f ca="1">IRR(AA65:AA113)</f>
        <v>0.10052000000000105</v>
      </c>
    </row>
    <row r="21" spans="1:10" ht="15" customHeight="1" x14ac:dyDescent="0.25">
      <c r="A21" s="158" t="s">
        <v>94</v>
      </c>
      <c r="B21" s="157">
        <f ca="1">B20*365</f>
        <v>547500</v>
      </c>
      <c r="D21" s="139" t="s">
        <v>973</v>
      </c>
      <c r="E21" s="140">
        <f ca="1">IRR(AC65:AC113)</f>
        <v>7.2621580297129285E-2</v>
      </c>
    </row>
    <row r="22" spans="1:10" ht="15" customHeight="1" x14ac:dyDescent="0.25">
      <c r="A22" s="159" t="s">
        <v>95</v>
      </c>
      <c r="B22" s="160">
        <f ca="1">cap_factor</f>
        <v>0.86</v>
      </c>
      <c r="D22" s="142" t="s">
        <v>65</v>
      </c>
      <c r="E22" s="143">
        <f ca="1">(real_irr*(1+real_irr)^anal_period)/(((1+real_irr)^anal_period)-1)</f>
        <v>0.10185220882315059</v>
      </c>
    </row>
    <row r="23" spans="1:10" ht="15" customHeight="1" x14ac:dyDescent="0.25">
      <c r="A23" s="158"/>
      <c r="B23" s="161"/>
      <c r="D23" s="142" t="s">
        <v>75</v>
      </c>
      <c r="E23" s="143">
        <f ca="1">(nominal_irr*(1+nominal_irr)^anal_period)/(((1+nominal_irr)^anal_period)-1)</f>
        <v>0.11787679477462062</v>
      </c>
    </row>
    <row r="24" spans="1:10" ht="24.75" customHeight="1" x14ac:dyDescent="0.25">
      <c r="A24" s="154" t="s">
        <v>96</v>
      </c>
      <c r="B24" s="155"/>
      <c r="D24" s="139" t="s">
        <v>76</v>
      </c>
      <c r="E24" s="143">
        <f ca="1">(E22*(1-total_tax_rate*INDEX(Depreciation!B12:H37,MATCH("NPV - Real IRR",Depreciation!B12:B37,0),MATCH(depr_length,recovery_period,0))))/(1-total_tax_rate)</f>
        <v>0.11010937660003045</v>
      </c>
    </row>
    <row r="25" spans="1:10" ht="15" customHeight="1" x14ac:dyDescent="0.25">
      <c r="A25" s="137" t="s">
        <v>97</v>
      </c>
      <c r="B25" s="162">
        <f>startup_year</f>
        <v>2040</v>
      </c>
      <c r="D25" s="142" t="s">
        <v>77</v>
      </c>
      <c r="E25" s="143">
        <f ca="1">(E23*(1-total_tax_rate*INDEX(Depreciation!B12:H37,MATCH("NPV - Nominal IRR",Depreciation!B12:B37,0),MATCH(depr_length,recovery_period,0))))/(1-total_tax_rate)</f>
        <v>0.12930300426323382</v>
      </c>
    </row>
    <row r="26" spans="1:10" ht="15" customHeight="1" thickBot="1" x14ac:dyDescent="0.3">
      <c r="A26" s="158" t="s">
        <v>98</v>
      </c>
      <c r="B26" s="152">
        <f ca="1">real_irr</f>
        <v>0.08</v>
      </c>
      <c r="C26" s="163"/>
      <c r="D26" s="144" t="s">
        <v>248</v>
      </c>
      <c r="E26" s="867">
        <f ca="1">NPV(nominal_irr,AA65:AA113)</f>
        <v>2.5123249858155253E-9</v>
      </c>
    </row>
    <row r="27" spans="1:10" ht="15" customHeight="1" thickTop="1" x14ac:dyDescent="0.25">
      <c r="A27" s="137" t="s">
        <v>971</v>
      </c>
      <c r="B27" s="152">
        <f ca="1">((1+B26)*(1+B30))-1</f>
        <v>0.10051999999999994</v>
      </c>
      <c r="C27" s="163"/>
      <c r="D27" s="164"/>
    </row>
    <row r="28" spans="1:10" ht="15" customHeight="1" x14ac:dyDescent="0.25">
      <c r="A28" s="158" t="s">
        <v>99</v>
      </c>
      <c r="B28" s="162">
        <f>anal_period</f>
        <v>20</v>
      </c>
      <c r="C28" s="163"/>
      <c r="D28" s="164"/>
      <c r="F28" s="164"/>
    </row>
    <row r="29" spans="1:10" ht="15" customHeight="1" x14ac:dyDescent="0.25">
      <c r="A29" s="158" t="s">
        <v>100</v>
      </c>
      <c r="B29" s="162">
        <f>plant_life</f>
        <v>20</v>
      </c>
      <c r="C29" s="163"/>
      <c r="D29" s="164"/>
    </row>
    <row r="30" spans="1:10" ht="15" customHeight="1" x14ac:dyDescent="0.25">
      <c r="A30" s="158" t="s">
        <v>101</v>
      </c>
      <c r="B30" s="152">
        <f>inflation_rate</f>
        <v>1.9E-2</v>
      </c>
      <c r="F30" s="866"/>
      <c r="G30" s="865"/>
      <c r="H30" s="865"/>
      <c r="I30" s="865"/>
      <c r="J30" s="865"/>
    </row>
    <row r="31" spans="1:10" ht="15" customHeight="1" x14ac:dyDescent="0.25">
      <c r="A31" s="158" t="s">
        <v>102</v>
      </c>
      <c r="B31" s="165">
        <f>100%-equity</f>
        <v>0.6</v>
      </c>
    </row>
    <row r="32" spans="1:10" ht="15" customHeight="1" x14ac:dyDescent="0.25">
      <c r="A32" s="137" t="s">
        <v>103</v>
      </c>
      <c r="B32" s="166">
        <f>equity</f>
        <v>0.4</v>
      </c>
    </row>
    <row r="33" spans="1:12" ht="15" customHeight="1" x14ac:dyDescent="0.25">
      <c r="A33" s="137" t="s">
        <v>104</v>
      </c>
      <c r="B33" s="152">
        <f>total_tax_rate</f>
        <v>0.25739999999999996</v>
      </c>
    </row>
    <row r="34" spans="1:12" ht="15" customHeight="1" x14ac:dyDescent="0.25">
      <c r="A34" s="137"/>
      <c r="B34" s="167"/>
    </row>
    <row r="35" spans="1:12" ht="28.5" customHeight="1" x14ac:dyDescent="0.25">
      <c r="A35" s="168" t="s">
        <v>105</v>
      </c>
      <c r="B35" s="169"/>
    </row>
    <row r="36" spans="1:12" ht="15" customHeight="1" x14ac:dyDescent="0.25">
      <c r="A36" s="158" t="s">
        <v>106</v>
      </c>
      <c r="B36" s="162">
        <f>debt_period</f>
        <v>0</v>
      </c>
    </row>
    <row r="37" spans="1:12" ht="15" customHeight="1" x14ac:dyDescent="0.25">
      <c r="A37" s="158" t="s">
        <v>107</v>
      </c>
      <c r="B37" s="170">
        <f>debt_interest</f>
        <v>3.6999999999999998E-2</v>
      </c>
      <c r="K37" s="865"/>
    </row>
    <row r="38" spans="1:12" ht="15" customHeight="1" x14ac:dyDescent="0.25">
      <c r="A38" s="137"/>
      <c r="B38" s="155"/>
      <c r="K38" s="865"/>
    </row>
    <row r="39" spans="1:12" ht="28.5" customHeight="1" x14ac:dyDescent="0.25">
      <c r="A39" s="168" t="s">
        <v>108</v>
      </c>
      <c r="B39" s="155"/>
      <c r="F39" s="865"/>
      <c r="G39" s="865"/>
      <c r="H39" s="865"/>
      <c r="I39" s="865"/>
      <c r="J39" s="865"/>
      <c r="K39" s="865"/>
      <c r="L39" s="865"/>
    </row>
    <row r="40" spans="1:12" ht="15" customHeight="1" x14ac:dyDescent="0.25">
      <c r="A40" s="137" t="s">
        <v>109</v>
      </c>
      <c r="B40" s="162">
        <f>construct</f>
        <v>1</v>
      </c>
      <c r="G40" s="865"/>
      <c r="H40" s="865"/>
    </row>
    <row r="41" spans="1:12" ht="15" customHeight="1" x14ac:dyDescent="0.25">
      <c r="A41" s="137" t="s">
        <v>110</v>
      </c>
      <c r="B41" s="160">
        <f>start_time</f>
        <v>0.5</v>
      </c>
    </row>
    <row r="42" spans="1:12" ht="15" customHeight="1" x14ac:dyDescent="0.25">
      <c r="A42" s="156" t="s">
        <v>111</v>
      </c>
      <c r="B42" s="165">
        <f>percnt_revs</f>
        <v>0.5</v>
      </c>
    </row>
    <row r="43" spans="1:12" ht="15" customHeight="1" x14ac:dyDescent="0.25">
      <c r="A43" s="156" t="s">
        <v>112</v>
      </c>
      <c r="B43" s="165">
        <f>percnt_var</f>
        <v>0.5</v>
      </c>
    </row>
    <row r="44" spans="1:12" ht="15" customHeight="1" x14ac:dyDescent="0.25">
      <c r="A44" s="156" t="s">
        <v>113</v>
      </c>
      <c r="B44" s="165">
        <f>percnt_fixed</f>
        <v>0.75</v>
      </c>
    </row>
    <row r="45" spans="1:12" ht="15" customHeight="1" x14ac:dyDescent="0.25">
      <c r="A45" s="137"/>
      <c r="B45" s="155"/>
    </row>
    <row r="46" spans="1:12" ht="28.5" customHeight="1" x14ac:dyDescent="0.25">
      <c r="A46" s="168" t="s">
        <v>114</v>
      </c>
      <c r="B46" s="155"/>
      <c r="F46" s="171"/>
    </row>
    <row r="47" spans="1:12" ht="15" customHeight="1" x14ac:dyDescent="0.25">
      <c r="A47" s="137" t="s">
        <v>386</v>
      </c>
      <c r="B47" s="172" t="str">
        <f>depr_type</f>
        <v>MACRS</v>
      </c>
      <c r="F47" s="171"/>
    </row>
    <row r="48" spans="1:12" ht="15" customHeight="1" x14ac:dyDescent="0.25">
      <c r="A48" s="137" t="s">
        <v>52</v>
      </c>
      <c r="B48" s="162">
        <f>depr_length</f>
        <v>7</v>
      </c>
      <c r="F48" s="171"/>
    </row>
    <row r="49" spans="1:32" ht="15" customHeight="1" x14ac:dyDescent="0.25">
      <c r="A49" s="137"/>
      <c r="B49" s="155"/>
      <c r="F49" s="171"/>
    </row>
    <row r="50" spans="1:32" ht="28.5" customHeight="1" x14ac:dyDescent="0.25">
      <c r="A50" s="168" t="s">
        <v>115</v>
      </c>
      <c r="B50" s="155"/>
    </row>
    <row r="51" spans="1:32" ht="30.75" customHeight="1" x14ac:dyDescent="0.25">
      <c r="A51" s="136" t="s">
        <v>962</v>
      </c>
      <c r="B51" s="173">
        <f ca="1">(total_cap-non_dep_cap)*INFLATION_FACTOR</f>
        <v>2118746.3539922992</v>
      </c>
      <c r="F51" s="171"/>
    </row>
    <row r="52" spans="1:32" ht="30" customHeight="1" thickBot="1" x14ac:dyDescent="0.3">
      <c r="A52" s="136" t="s">
        <v>964</v>
      </c>
      <c r="B52" s="173">
        <f ca="1">non_dep_cap*INFLATION_FACTOR</f>
        <v>0</v>
      </c>
      <c r="F52" s="171"/>
    </row>
    <row r="53" spans="1:32" ht="15" customHeight="1" thickBot="1" x14ac:dyDescent="0.35">
      <c r="A53" s="136" t="s">
        <v>116</v>
      </c>
      <c r="B53" s="173">
        <f ca="1">SUM(B51:B52)</f>
        <v>2118746.3539922992</v>
      </c>
      <c r="F53" s="171"/>
      <c r="W53" s="1646" t="s">
        <v>1153</v>
      </c>
      <c r="X53" s="1647"/>
      <c r="Y53" s="915"/>
      <c r="Z53" s="915"/>
      <c r="AA53" s="915"/>
      <c r="AB53" s="915"/>
      <c r="AC53" s="916"/>
    </row>
    <row r="54" spans="1:32" ht="15" customHeight="1" thickTop="1" x14ac:dyDescent="0.25">
      <c r="A54" s="136" t="s">
        <v>967</v>
      </c>
      <c r="B54" s="173">
        <f ca="1">decom_percent*depr_cap_infl</f>
        <v>211874.63539922994</v>
      </c>
      <c r="F54" s="171"/>
      <c r="W54" s="917"/>
      <c r="X54" s="910" t="s">
        <v>82</v>
      </c>
      <c r="Y54" s="911" t="s">
        <v>1103</v>
      </c>
      <c r="Z54" s="911" t="s">
        <v>1104</v>
      </c>
      <c r="AA54" s="910" t="s">
        <v>1105</v>
      </c>
      <c r="AB54" s="911" t="s">
        <v>1110</v>
      </c>
      <c r="AC54" s="918" t="s">
        <v>1106</v>
      </c>
    </row>
    <row r="55" spans="1:32" ht="15" customHeight="1" x14ac:dyDescent="0.25">
      <c r="A55" s="136" t="s">
        <v>976</v>
      </c>
      <c r="B55" s="173">
        <f ca="1">salvage_perct*B53</f>
        <v>211874.63539922994</v>
      </c>
      <c r="F55" s="171"/>
      <c r="W55" s="919" t="s">
        <v>1101</v>
      </c>
      <c r="X55" s="912">
        <f ca="1">-SUM(H116:K116)</f>
        <v>1173940.5454721367</v>
      </c>
      <c r="Y55" s="912">
        <f ca="1">-U116</f>
        <v>1667957.5872410205</v>
      </c>
      <c r="Z55" s="912">
        <f ca="1">-Z116</f>
        <v>183694.96164390448</v>
      </c>
      <c r="AA55" s="912">
        <f ca="1">-SUM(L116:S116)</f>
        <v>9975334.413066918</v>
      </c>
      <c r="AB55" s="912">
        <f ca="1">+AF116</f>
        <v>0</v>
      </c>
      <c r="AC55" s="920">
        <f ca="1">+AE116</f>
        <v>4513881.6512419414</v>
      </c>
    </row>
    <row r="56" spans="1:32" ht="15" customHeight="1" x14ac:dyDescent="0.25">
      <c r="A56" s="158" t="s">
        <v>968</v>
      </c>
      <c r="B56" s="58">
        <f ca="1">fixed*INFLATION_FACTOR</f>
        <v>123301.84716607032</v>
      </c>
      <c r="F56" s="171"/>
      <c r="W56" s="919" t="s">
        <v>1111</v>
      </c>
      <c r="X56" s="913">
        <v>1</v>
      </c>
      <c r="Y56" s="913">
        <f>-total_tax_rate</f>
        <v>-0.25739999999999996</v>
      </c>
      <c r="Z56" s="913">
        <v>1</v>
      </c>
      <c r="AA56" s="913">
        <f>1-total_tax_rate</f>
        <v>0.74260000000000004</v>
      </c>
      <c r="AB56" s="913">
        <v>-1</v>
      </c>
      <c r="AC56" s="921">
        <f>1-total_tax_rate</f>
        <v>0.74260000000000004</v>
      </c>
    </row>
    <row r="57" spans="1:32" ht="15" customHeight="1" x14ac:dyDescent="0.25">
      <c r="A57" s="158" t="s">
        <v>969</v>
      </c>
      <c r="B57" s="58">
        <f ca="1">total_other_raw*INFLATION_FACTOR</f>
        <v>0</v>
      </c>
      <c r="F57" s="171"/>
      <c r="W57" s="919" t="s">
        <v>1102</v>
      </c>
      <c r="X57" s="914">
        <f t="shared" ref="X57:Z57" ca="1" si="0">+X55*X56</f>
        <v>1173940.5454721367</v>
      </c>
      <c r="Y57" s="914">
        <f t="shared" ca="1" si="0"/>
        <v>-429332.2829558386</v>
      </c>
      <c r="Z57" s="914">
        <f t="shared" ca="1" si="0"/>
        <v>183694.96164390448</v>
      </c>
      <c r="AA57" s="914">
        <f ca="1">+AA55*AA56</f>
        <v>7407683.3351434935</v>
      </c>
      <c r="AB57" s="914">
        <f ca="1">+AB55*AB56</f>
        <v>0</v>
      </c>
      <c r="AC57" s="922">
        <f ca="1">+AC55*AC56</f>
        <v>3352008.5142122656</v>
      </c>
    </row>
    <row r="58" spans="1:32" ht="45.75" customHeight="1" thickBot="1" x14ac:dyDescent="0.3">
      <c r="A58" s="174" t="s">
        <v>970</v>
      </c>
      <c r="B58" s="60">
        <f ca="1">(var_misc+royalties+operator_profit+CO2_OandMcost+waste_treat+solidwaste_treat)*INFLATION_FACTOR</f>
        <v>4032.636084351198</v>
      </c>
      <c r="F58" s="171"/>
      <c r="G58" s="1468"/>
      <c r="W58" s="923"/>
      <c r="X58" s="924"/>
      <c r="Y58" s="924"/>
      <c r="Z58" s="924"/>
      <c r="AA58" s="924"/>
      <c r="AB58" s="924"/>
      <c r="AC58" s="925"/>
    </row>
    <row r="59" spans="1:32" ht="15" customHeight="1" thickTop="1" x14ac:dyDescent="0.25">
      <c r="F59" s="171"/>
      <c r="W59" s="926" t="s">
        <v>1100</v>
      </c>
      <c r="X59" s="868">
        <f ca="1">+(1+real_irr)*(1+inflation_rate)-1</f>
        <v>0.10051999999999994</v>
      </c>
      <c r="Y59" s="924"/>
      <c r="Z59" s="924"/>
      <c r="AA59" s="924"/>
      <c r="AB59" s="924"/>
      <c r="AC59" s="925"/>
    </row>
    <row r="60" spans="1:32" ht="15" customHeight="1" thickBot="1" x14ac:dyDescent="0.3">
      <c r="F60" s="171"/>
      <c r="W60" s="927" t="str">
        <f>+D16</f>
        <v>Hydrogen Cost (Year 2016 Real $/kg)</v>
      </c>
      <c r="X60" s="928">
        <f ca="1">+SUM(X57:AB57)/AC57*(1+inflation_rate)^construct/INFLATION_FACTOR</f>
        <v>1.613041943883486</v>
      </c>
      <c r="Y60" s="929"/>
      <c r="Z60" s="929"/>
      <c r="AA60" s="929"/>
      <c r="AB60" s="929"/>
      <c r="AC60" s="930"/>
    </row>
    <row r="61" spans="1:32" ht="39.75" customHeight="1" x14ac:dyDescent="0.25">
      <c r="F61" s="171"/>
    </row>
    <row r="62" spans="1:32" ht="17.25" customHeight="1" thickBot="1" x14ac:dyDescent="0.3">
      <c r="F62" s="171"/>
    </row>
    <row r="63" spans="1:32" ht="29.25" customHeight="1" thickTop="1" thickBot="1" x14ac:dyDescent="0.35">
      <c r="A63" s="47" t="s">
        <v>117</v>
      </c>
      <c r="B63" s="175"/>
      <c r="C63" s="175"/>
      <c r="D63" s="175"/>
      <c r="E63" s="175"/>
      <c r="F63" s="175"/>
      <c r="G63" s="175"/>
      <c r="H63" s="954"/>
      <c r="I63" s="954"/>
      <c r="J63" s="954"/>
      <c r="K63" s="954"/>
      <c r="L63" s="954"/>
      <c r="M63" s="954"/>
      <c r="N63" s="954"/>
      <c r="O63" s="954"/>
      <c r="P63" s="954"/>
      <c r="Q63" s="954"/>
      <c r="R63" s="954"/>
      <c r="S63" s="954"/>
      <c r="T63" s="954"/>
      <c r="U63" s="954"/>
      <c r="V63" s="954"/>
      <c r="W63" s="954"/>
      <c r="X63" s="954"/>
      <c r="Y63" s="954"/>
      <c r="Z63" s="954"/>
      <c r="AA63" s="954"/>
      <c r="AB63" s="954"/>
      <c r="AC63" s="955"/>
    </row>
    <row r="64" spans="1:32" ht="67.2" thickTop="1" thickBot="1" x14ac:dyDescent="0.3">
      <c r="A64" s="931" t="s">
        <v>1108</v>
      </c>
      <c r="B64" s="932" t="s">
        <v>39</v>
      </c>
      <c r="C64" s="932" t="s">
        <v>55</v>
      </c>
      <c r="D64" s="932" t="s">
        <v>118</v>
      </c>
      <c r="E64" s="933" t="s">
        <v>119</v>
      </c>
      <c r="F64" s="933" t="s">
        <v>1113</v>
      </c>
      <c r="G64" s="934" t="s">
        <v>120</v>
      </c>
      <c r="H64" s="956" t="s">
        <v>121</v>
      </c>
      <c r="I64" s="957" t="s">
        <v>122</v>
      </c>
      <c r="J64" s="957" t="s">
        <v>1107</v>
      </c>
      <c r="K64" s="957" t="s">
        <v>134</v>
      </c>
      <c r="L64" s="957" t="s">
        <v>976</v>
      </c>
      <c r="M64" s="957" t="s">
        <v>83</v>
      </c>
      <c r="N64" s="957" t="s">
        <v>135</v>
      </c>
      <c r="O64" s="957" t="s">
        <v>1112</v>
      </c>
      <c r="P64" s="957" t="s">
        <v>136</v>
      </c>
      <c r="Q64" s="957" t="s">
        <v>1114</v>
      </c>
      <c r="R64" s="957" t="s">
        <v>137</v>
      </c>
      <c r="S64" s="957" t="s">
        <v>138</v>
      </c>
      <c r="T64" s="957" t="s">
        <v>139</v>
      </c>
      <c r="U64" s="957" t="s">
        <v>59</v>
      </c>
      <c r="V64" s="957" t="s">
        <v>140</v>
      </c>
      <c r="W64" s="957" t="s">
        <v>141</v>
      </c>
      <c r="X64" s="957" t="s">
        <v>143</v>
      </c>
      <c r="Y64" s="957" t="s">
        <v>144</v>
      </c>
      <c r="Z64" s="957" t="s">
        <v>44</v>
      </c>
      <c r="AA64" s="958" t="s">
        <v>145</v>
      </c>
      <c r="AB64" s="958" t="s">
        <v>146</v>
      </c>
      <c r="AC64" s="936" t="s">
        <v>147</v>
      </c>
      <c r="AD64" s="176"/>
      <c r="AE64" s="935" t="s">
        <v>1099</v>
      </c>
      <c r="AF64" s="936" t="s">
        <v>1109</v>
      </c>
    </row>
    <row r="65" spans="1:32" ht="13.8" thickTop="1" x14ac:dyDescent="0.25">
      <c r="A65" s="177">
        <f>startup_year-construct</f>
        <v>2039</v>
      </c>
      <c r="B65" s="178">
        <v>1</v>
      </c>
      <c r="C65" s="178">
        <f>IF(construct=0,1,-construct)</f>
        <v>-1</v>
      </c>
      <c r="D65" s="178">
        <f t="shared" ref="D65:D96" si="1">IF(C65="","",IF(C65&lt;=plant_life,C65,IF(D64=plant_life,1,D64+1)))</f>
        <v>-1</v>
      </c>
      <c r="E65" s="179">
        <f t="shared" ref="E65:E96" si="2">IF(C65="","",(1+inflation_rate)^(A65-$B$25))</f>
        <v>0.9813542688910698</v>
      </c>
      <c r="F65" s="180">
        <f t="shared" ref="F65:F96" si="3">IF(C65="","",IF(C65&lt;0,0,IF(AND(C65=1,start_time&lt;1),E65*(H2_price_nominal*output_kgyear*start_time*percnt_revs+H2_price_nominal*output_kgyear*(1-start_time)),IF(C65&lt;=start_time,H2_price_nominal*E65*output_kgyear*percnt_revs,H2_price_nominal*output_kgyear*E65))))</f>
        <v>0</v>
      </c>
      <c r="G65" s="950">
        <f ca="1">-$B$31*depr_cap_infl*E65</f>
        <v>-1247544.4675126395</v>
      </c>
      <c r="H65" s="959">
        <f ca="1">IF(C65&lt;0,-E65*equity*depr_cap_infl*percent_cap1,IF(C65=1,-E65*equity*depr_cap_infl,0))</f>
        <v>-831696.31167509302</v>
      </c>
      <c r="I65" s="181" t="str">
        <f>IF(OR(C65&lt;0,C65=""),"",-E65*INDEX('Replacement Costs'!$A$16:$H$57,MATCH(C65,'Replacement Costs'!$C$16:$C$57,0),MATCH("Total Yearly Replacement Costs",'Replacement Costs'!$A$16:$H$16,0)))</f>
        <v/>
      </c>
      <c r="J65" s="181">
        <f>IF(AND(C65&gt;=1,C65&lt;anal_period),WorkingCap*SUM(N65:R65)-WorkingCap*SUM(N64:R64),0)</f>
        <v>0</v>
      </c>
      <c r="K65" s="181">
        <f t="shared" ref="K65:K96" ca="1" si="4">IF(C65=-construct,-E65*non_dep_infl,"")</f>
        <v>0</v>
      </c>
      <c r="L65" s="181" t="str">
        <f t="shared" ref="L65:L96" si="5">IF(C65=anal_period,salvage*E65,"")</f>
        <v/>
      </c>
      <c r="M65" s="181" t="str">
        <f t="shared" ref="M65:M96" si="6">IF(D65=plant_life,-E65*decom,"")</f>
        <v/>
      </c>
      <c r="N65" s="181">
        <f t="shared" ref="N65:N96" si="7">IF(C65="","",IF(C65&lt;0,0,IF(AND(C65=1,start_time&lt;1),-(inflated_fixed*percnt_fixed*start_time+(inflated_fixed*(1-start_time))),IF(C65&lt;=start_time,-inflated_fixed*percnt_fixed*E65,-inflated_fixed*E65))))</f>
        <v>0</v>
      </c>
      <c r="O65" s="181">
        <f t="shared" ref="O65:O96" si="8">IF(C65="","",IF(C65&lt;0,0,IF(AND(C65=1,start_time&lt;1),-(SUM(B139:E139)*output_kgyear*E65*percnt_var*start_time+SUM(B139:E139)*output_kgyear*E65*(1-start_time)),IF(C65&lt;=start_time,-SUM(B139:E139)*output_kgyear*E65*percnt_var,-SUM(B139:E139)*output_kgyear*E65))))</f>
        <v>0</v>
      </c>
      <c r="P65" s="181">
        <f t="shared" ref="P65:P96" si="9">IF(C65="","",IF(C65&lt;0,0,IF(AND(C65=1,start_time&lt;1),-(inflated_otherraw*E65*percnt_var*start_time+inflated_otherraw*E65*(1-start_time)),IF(C65&lt;=start_time,-inflated_otherraw*E65*percnt_var,-(inflated_otherraw*E65)))))</f>
        <v>0</v>
      </c>
      <c r="Q65" s="181">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1">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1">
        <f ca="1">IF(B65="","",IF($B$31=0,"",-'Debt Financing Calculations'!E14))</f>
        <v>-46159.145297967661</v>
      </c>
      <c r="T65" s="181">
        <f t="shared" ref="T65:T96" ca="1" si="12">IF(C65="","",F65+SUM(L65:S65))</f>
        <v>-46159.145297967661</v>
      </c>
      <c r="U65" s="181">
        <f>IF(C65="","",IF(C65&lt;-1,0,IF(C65=anal_period,-LOOKUP(C65,depr_yr,depr_cost)-Depreciation!$C$141-Depreciation!$B$166,-LOOKUP(C65,depr_yr,depr_cost))))</f>
        <v>0</v>
      </c>
      <c r="V65" s="181">
        <f t="shared" ref="V65:V96" ca="1" si="13">IF(C65="","",SUM(T65:U65))</f>
        <v>-46159.145297967661</v>
      </c>
      <c r="W65" s="182">
        <f t="shared" ref="W65:W96" si="14">IF(C65="","",$B$33)</f>
        <v>0.25739999999999996</v>
      </c>
      <c r="X65" s="181">
        <f t="shared" ref="X65:X96" ca="1" si="15">IF(C65="","",tax_credit-(V65*W65 +Upstream_CO2_taxpYear + Proc_CO2_taxpYear))</f>
        <v>11881.363999696874</v>
      </c>
      <c r="Y65" s="181">
        <f t="shared" ref="Y65:Y96" ca="1" si="16">IF(C65="","",SUM(T65,X65))</f>
        <v>-34277.781298270784</v>
      </c>
      <c r="Z65" s="181">
        <f>IF(C65="","",IF($B$31=0,"",-'Debt Financing Calculations'!F14))</f>
        <v>0</v>
      </c>
      <c r="AA65" s="181">
        <f t="shared" ref="AA65:AA96" ca="1" si="17">IF(C65="","",SUM(H65,I65,J65,K65,T65,X65,Z65))</f>
        <v>-865974.09297336382</v>
      </c>
      <c r="AB65" s="181">
        <f ca="1">AA65</f>
        <v>-865974.09297336382</v>
      </c>
      <c r="AC65" s="937">
        <f t="shared" ref="AC65:AC96" ca="1" si="18">IF(C65="","",SUM(H65,I65,J65,K65,T65,Z65))</f>
        <v>-877855.45697306073</v>
      </c>
      <c r="AD65" s="132"/>
      <c r="AE65" s="941">
        <f t="shared" ref="AE65:AE96" si="19">IF(C65="","",IF(C65&lt;0,0,IF(AND(C65=1,start_time&lt;1),(output_kgyear*start_time*percnt_revs+output_kgyear*(1-start_time)),IF(C65&lt;=start_time,output_kgyear*percnt_revs,output_kgyear))))</f>
        <v>0</v>
      </c>
      <c r="AF65" s="937">
        <f t="shared" ref="AF65:AF96" si="20">IF(C65="","",tax_credit)</f>
        <v>0</v>
      </c>
    </row>
    <row r="66" spans="1:32" x14ac:dyDescent="0.25">
      <c r="A66" s="56">
        <f t="shared" ref="A66:A113" si="21">IF(B66&lt;&gt;"",A65+1,"")</f>
        <v>2040</v>
      </c>
      <c r="B66" s="183">
        <f>IF(MAX($B$65:B65)&lt;(construct+anal_period),B65+1,"")</f>
        <v>2</v>
      </c>
      <c r="C66" s="183">
        <f t="shared" ref="C66:C113" si="22">IF(B66="","",IF(C65=-1,1,C65+1))</f>
        <v>1</v>
      </c>
      <c r="D66" s="183">
        <f t="shared" si="1"/>
        <v>1</v>
      </c>
      <c r="E66" s="184">
        <f t="shared" si="2"/>
        <v>1</v>
      </c>
      <c r="F66" s="57">
        <f t="shared" ca="1" si="3"/>
        <v>894890.5351778859</v>
      </c>
      <c r="G66" s="951"/>
      <c r="H66" s="960">
        <f>IF(C66&lt;0,-E66*equity*depr_cap_infl*percent_cap2,0)</f>
        <v>0</v>
      </c>
      <c r="I66" s="185">
        <f ca="1">IF(OR(C66&lt;0,C66=""),"",-E66*INDEX('Replacement Costs'!$A$16:$H$57,MATCH(C66,'Replacement Costs'!$C$16:$C$57,0),MATCH("Total Yearly Replacement Costs",'Replacement Costs'!$A$16:$H$16,0)))</f>
        <v>0</v>
      </c>
      <c r="J66" s="185">
        <f ca="1">IF(AND(C66&gt;=1,C66&lt;anal_period),WorkingCap*SUM(N66:R66)-WorkingCap*SUM(N65:R65),IF(C66&lt;0,0,IF(B66="","",-SUM(J$65:J65))))</f>
        <v>-111193.45382768869</v>
      </c>
      <c r="K66" s="185" t="str">
        <f t="shared" si="4"/>
        <v/>
      </c>
      <c r="L66" s="185" t="str">
        <f t="shared" si="5"/>
        <v/>
      </c>
      <c r="M66" s="185" t="str">
        <f t="shared" si="6"/>
        <v/>
      </c>
      <c r="N66" s="185">
        <f t="shared" ca="1" si="7"/>
        <v>-107889.11627031153</v>
      </c>
      <c r="O66" s="185">
        <f t="shared" ca="1" si="8"/>
        <v>-624605.07278657518</v>
      </c>
      <c r="P66" s="185">
        <f t="shared" ca="1" si="9"/>
        <v>0</v>
      </c>
      <c r="Q66" s="185">
        <f t="shared" ca="1" si="10"/>
        <v>0</v>
      </c>
      <c r="R66" s="185">
        <f t="shared" ca="1" si="11"/>
        <v>-8795.5031277046492</v>
      </c>
      <c r="S66" s="185">
        <f ca="1">IF(B66="","",IF($B$31=0,"",-'Debt Financing Calculations'!E15))</f>
        <v>-46159.145297967661</v>
      </c>
      <c r="T66" s="185">
        <f t="shared" ca="1" si="12"/>
        <v>107441.69769532687</v>
      </c>
      <c r="U66" s="185">
        <f ca="1">IF(C66="","",IF(C66&lt;-1,0,IF(C66=anal_period,-LOOKUP(C66,depr_yr,depr_cost)-Depreciation!$C$141-Depreciation!$B$166,-LOOKUP(C66,depr_yr,depr_cost))))</f>
        <v>-297123.50734592695</v>
      </c>
      <c r="V66" s="185">
        <f t="shared" ca="1" si="13"/>
        <v>-189681.80965060007</v>
      </c>
      <c r="W66" s="186">
        <f t="shared" si="14"/>
        <v>0.25739999999999996</v>
      </c>
      <c r="X66" s="185">
        <f t="shared" ca="1" si="15"/>
        <v>48824.097804064455</v>
      </c>
      <c r="Y66" s="185">
        <f t="shared" ca="1" si="16"/>
        <v>156265.79549939133</v>
      </c>
      <c r="Z66" s="185">
        <f>IF(C66="","",IF($B$31=0,"",-'Debt Financing Calculations'!F15))</f>
        <v>0</v>
      </c>
      <c r="AA66" s="185">
        <f t="shared" ca="1" si="17"/>
        <v>45072.341671702641</v>
      </c>
      <c r="AB66" s="185">
        <f t="shared" ref="AB66:AB113" ca="1" si="23">IF(C66="","",AB65+AA66)</f>
        <v>-820901.75130166113</v>
      </c>
      <c r="AC66" s="938">
        <f t="shared" ca="1" si="18"/>
        <v>-3751.7561323618138</v>
      </c>
      <c r="AD66" s="132"/>
      <c r="AE66" s="942">
        <f t="shared" ca="1" si="19"/>
        <v>353137.5</v>
      </c>
      <c r="AF66" s="938">
        <f t="shared" si="20"/>
        <v>0</v>
      </c>
    </row>
    <row r="67" spans="1:32" x14ac:dyDescent="0.25">
      <c r="A67" s="56">
        <f t="shared" si="21"/>
        <v>2041</v>
      </c>
      <c r="B67" s="183">
        <f>IF(MAX($B$65:B66)&lt;(construct+anal_period),B66+1,"")</f>
        <v>3</v>
      </c>
      <c r="C67" s="183">
        <f t="shared" si="22"/>
        <v>2</v>
      </c>
      <c r="D67" s="183">
        <f t="shared" si="1"/>
        <v>2</v>
      </c>
      <c r="E67" s="184">
        <f t="shared" si="2"/>
        <v>1.0189999999999999</v>
      </c>
      <c r="F67" s="57">
        <f t="shared" ca="1" si="3"/>
        <v>1215857.9404616875</v>
      </c>
      <c r="G67" s="951"/>
      <c r="H67" s="960">
        <f>IF(C67&lt;0,-E67*equity*depr_cap_infl*percent_cap3,0)</f>
        <v>0</v>
      </c>
      <c r="I67" s="185">
        <f ca="1">IF(OR(C67&lt;0,C67=""),"",-E67*INDEX('Replacement Costs'!$A$16:$H$57,MATCH(C67,'Replacement Costs'!$C$16:$C$57,0),MATCH("Total Yearly Replacement Costs",'Replacement Costs'!$A$16:$H$16,0)))</f>
        <v>0</v>
      </c>
      <c r="J67" s="185">
        <f ca="1">IF(AND(C67&gt;=1,C67&lt;anal_period),WorkingCap*SUM(N67:R67)-WorkingCap*SUM(N66:R66),IF(C67&lt;0,0,IF(B67="","",-SUM(J$65:J66))))</f>
        <v>-36724.982035767942</v>
      </c>
      <c r="K67" s="185" t="str">
        <f t="shared" si="4"/>
        <v/>
      </c>
      <c r="L67" s="185" t="str">
        <f t="shared" si="5"/>
        <v/>
      </c>
      <c r="M67" s="185" t="str">
        <f t="shared" si="6"/>
        <v/>
      </c>
      <c r="N67" s="185">
        <f t="shared" ca="1" si="7"/>
        <v>-125644.58226222565</v>
      </c>
      <c r="O67" s="185">
        <f t="shared" ca="1" si="8"/>
        <v>-848528.16657797724</v>
      </c>
      <c r="P67" s="185">
        <f t="shared" ca="1" si="9"/>
        <v>0</v>
      </c>
      <c r="Q67" s="185">
        <f t="shared" ca="1" si="10"/>
        <v>0</v>
      </c>
      <c r="R67" s="185">
        <f t="shared" ca="1" si="11"/>
        <v>-11950.156916174716</v>
      </c>
      <c r="S67" s="185">
        <f ca="1">IF(B67="","",IF($B$31=0,"",-'Debt Financing Calculations'!E16))</f>
        <v>-46159.145297967661</v>
      </c>
      <c r="T67" s="185">
        <f t="shared" ca="1" si="12"/>
        <v>183575.88940734218</v>
      </c>
      <c r="U67" s="185">
        <f ca="1">IF(C67="","",IF(C67&lt;-1,0,IF(C67=anal_period,-LOOKUP(C67,depr_yr,depr_cost)-Depreciation!$C$141-Depreciation!$B$166,-LOOKUP(C67,depr_yr,depr_cost))))</f>
        <v>-509206.0668230757</v>
      </c>
      <c r="V67" s="185">
        <f t="shared" ca="1" si="13"/>
        <v>-325630.17741573352</v>
      </c>
      <c r="W67" s="186">
        <f t="shared" si="14"/>
        <v>0.25739999999999996</v>
      </c>
      <c r="X67" s="185">
        <f t="shared" ca="1" si="15"/>
        <v>83817.207666809802</v>
      </c>
      <c r="Y67" s="185">
        <f t="shared" ca="1" si="16"/>
        <v>267393.09707415197</v>
      </c>
      <c r="Z67" s="185">
        <f>IF(C67="","",IF($B$31=0,"",-'Debt Financing Calculations'!F16))</f>
        <v>0</v>
      </c>
      <c r="AA67" s="185">
        <f t="shared" ca="1" si="17"/>
        <v>230668.11503838404</v>
      </c>
      <c r="AB67" s="185">
        <f t="shared" ca="1" si="23"/>
        <v>-590233.63626327715</v>
      </c>
      <c r="AC67" s="938">
        <f t="shared" ca="1" si="18"/>
        <v>146850.90737157426</v>
      </c>
      <c r="AD67" s="132"/>
      <c r="AE67" s="942">
        <f t="shared" ca="1" si="19"/>
        <v>470850</v>
      </c>
      <c r="AF67" s="938">
        <f t="shared" si="20"/>
        <v>0</v>
      </c>
    </row>
    <row r="68" spans="1:32" x14ac:dyDescent="0.25">
      <c r="A68" s="873">
        <f t="shared" si="21"/>
        <v>2042</v>
      </c>
      <c r="B68" s="874">
        <f>IF(MAX($B$65:B67)&lt;(construct+anal_period),B67+1,"")</f>
        <v>4</v>
      </c>
      <c r="C68" s="874">
        <f t="shared" si="22"/>
        <v>3</v>
      </c>
      <c r="D68" s="874">
        <f t="shared" si="1"/>
        <v>3</v>
      </c>
      <c r="E68" s="875">
        <f t="shared" si="2"/>
        <v>1.0383609999999999</v>
      </c>
      <c r="F68" s="876">
        <f t="shared" ca="1" si="3"/>
        <v>1238959.2413304595</v>
      </c>
      <c r="G68" s="952"/>
      <c r="H68" s="961">
        <f>IF(C68&lt;0,-E68*equity*depr_cap_infl*percent_cap4,0)</f>
        <v>0</v>
      </c>
      <c r="I68" s="877">
        <f ca="1">IF(OR(C68&lt;0,C68=""),"",-E68*INDEX('Replacement Costs'!$A$16:$H$57,MATCH(C68,'Replacement Costs'!$C$16:$C$57,0),MATCH("Total Yearly Replacement Costs",'Replacement Costs'!$A$16:$H$16,0)))</f>
        <v>0</v>
      </c>
      <c r="J68" s="877">
        <f ca="1">IF(AND(C68&gt;=1,C68&lt;anal_period),WorkingCap*SUM(N68:R68)-WorkingCap*SUM(N67:R67),IF(C68&lt;0,0,IF(B68="","",-SUM(J$65:J67))))</f>
        <v>-3767.5010901474161</v>
      </c>
      <c r="K68" s="877" t="str">
        <f t="shared" si="4"/>
        <v/>
      </c>
      <c r="L68" s="877" t="str">
        <f t="shared" si="5"/>
        <v/>
      </c>
      <c r="M68" s="877" t="str">
        <f t="shared" si="6"/>
        <v/>
      </c>
      <c r="N68" s="877">
        <f t="shared" ca="1" si="7"/>
        <v>-128031.82932520793</v>
      </c>
      <c r="O68" s="877">
        <f t="shared" ca="1" si="8"/>
        <v>-871030.54046790372</v>
      </c>
      <c r="P68" s="877">
        <f t="shared" ca="1" si="9"/>
        <v>0</v>
      </c>
      <c r="Q68" s="877">
        <f t="shared" ca="1" si="10"/>
        <v>0</v>
      </c>
      <c r="R68" s="877">
        <f t="shared" ca="1" si="11"/>
        <v>-12177.209897582035</v>
      </c>
      <c r="S68" s="877">
        <f ca="1">IF(B68="","",IF($B$31=0,"",-'Debt Financing Calculations'!E17))</f>
        <v>-46159.145297967661</v>
      </c>
      <c r="T68" s="877">
        <f t="shared" ca="1" si="12"/>
        <v>181560.51634179801</v>
      </c>
      <c r="U68" s="877">
        <f ca="1">IF(C68="","",IF(C68&lt;-1,0,IF(C68=anal_period,-LOOKUP(C68,depr_yr,depr_cost)-Depreciation!$C$141-Depreciation!$B$166,-LOOKUP(C68,depr_yr,depr_cost))))</f>
        <v>-363659.21227993438</v>
      </c>
      <c r="V68" s="877">
        <f t="shared" ca="1" si="13"/>
        <v>-182098.69593813637</v>
      </c>
      <c r="W68" s="878">
        <f t="shared" si="14"/>
        <v>0.25739999999999996</v>
      </c>
      <c r="X68" s="877">
        <f t="shared" ca="1" si="15"/>
        <v>46872.204334476293</v>
      </c>
      <c r="Y68" s="877">
        <f ca="1">IF(C68="","",SUM(T68,X68))</f>
        <v>228432.7206762743</v>
      </c>
      <c r="Z68" s="877">
        <f>IF(C68="","",IF($B$31=0,"",-'Debt Financing Calculations'!F17))</f>
        <v>0</v>
      </c>
      <c r="AA68" s="877">
        <f t="shared" ca="1" si="17"/>
        <v>224665.21958612688</v>
      </c>
      <c r="AB68" s="877">
        <f t="shared" ca="1" si="23"/>
        <v>-365568.41667715029</v>
      </c>
      <c r="AC68" s="939">
        <f t="shared" ca="1" si="18"/>
        <v>177793.01525165059</v>
      </c>
      <c r="AD68" s="869"/>
      <c r="AE68" s="943">
        <f t="shared" ca="1" si="19"/>
        <v>470850</v>
      </c>
      <c r="AF68" s="939">
        <f t="shared" si="20"/>
        <v>0</v>
      </c>
    </row>
    <row r="69" spans="1:32" x14ac:dyDescent="0.25">
      <c r="A69" s="56">
        <f t="shared" si="21"/>
        <v>2043</v>
      </c>
      <c r="B69" s="183">
        <f>IF(MAX($B$65:B68)&lt;(construct+anal_period),B68+1,"")</f>
        <v>5</v>
      </c>
      <c r="C69" s="183">
        <f t="shared" si="22"/>
        <v>4</v>
      </c>
      <c r="D69" s="183">
        <f t="shared" si="1"/>
        <v>4</v>
      </c>
      <c r="E69" s="184">
        <f t="shared" si="2"/>
        <v>1.0580898589999999</v>
      </c>
      <c r="F69" s="57">
        <f t="shared" ca="1" si="3"/>
        <v>1262499.4669157383</v>
      </c>
      <c r="G69" s="951"/>
      <c r="H69" s="960">
        <f t="shared" ref="H69:H113" si="24">IF(C69="","",0)</f>
        <v>0</v>
      </c>
      <c r="I69" s="185">
        <f ca="1">IF(OR(C69&lt;0,C69=""),"",-E69*INDEX('Replacement Costs'!$A$16:$H$57,MATCH(C69,'Replacement Costs'!$C$16:$C$57,0),MATCH("Total Yearly Replacement Costs",'Replacement Costs'!$A$16:$H$16,0)))</f>
        <v>0</v>
      </c>
      <c r="J69" s="185">
        <f ca="1">IF(AND(C69&gt;=1,C69&lt;anal_period),WorkingCap*SUM(N69:R69)-WorkingCap*SUM(N68:R68),IF(C69&lt;0,0,IF(B69="","",-SUM(J$65:J68))))</f>
        <v>-4419.038222003961</v>
      </c>
      <c r="K69" s="185" t="str">
        <f t="shared" si="4"/>
        <v/>
      </c>
      <c r="L69" s="185" t="str">
        <f t="shared" si="5"/>
        <v/>
      </c>
      <c r="M69" s="185" t="str">
        <f t="shared" si="6"/>
        <v/>
      </c>
      <c r="N69" s="185">
        <f t="shared" ca="1" si="7"/>
        <v>-130464.43408238688</v>
      </c>
      <c r="O69" s="185">
        <f t="shared" ca="1" si="8"/>
        <v>-897826.82353603037</v>
      </c>
      <c r="P69" s="185">
        <f t="shared" ca="1" si="9"/>
        <v>0</v>
      </c>
      <c r="Q69" s="185">
        <f t="shared" ca="1" si="10"/>
        <v>0</v>
      </c>
      <c r="R69" s="185">
        <f t="shared" ca="1" si="11"/>
        <v>-12408.576885636094</v>
      </c>
      <c r="S69" s="185">
        <f ca="1">IF(B69="","",IF($B$31=0,"",-'Debt Financing Calculations'!E18))</f>
        <v>-46159.145297967661</v>
      </c>
      <c r="T69" s="185">
        <f t="shared" ca="1" si="12"/>
        <v>175640.48711371724</v>
      </c>
      <c r="U69" s="185">
        <f ca="1">IF(C69="","",IF(C69&lt;-1,0,IF(C69=anal_period,-LOOKUP(C69,depr_yr,depr_cost)-Depreciation!$C$141-Depreciation!$B$166,-LOOKUP(C69,depr_yr,depr_cost))))</f>
        <v>-259697.17332054776</v>
      </c>
      <c r="V69" s="185">
        <f t="shared" ca="1" si="13"/>
        <v>-84056.68620683052</v>
      </c>
      <c r="W69" s="186">
        <f t="shared" si="14"/>
        <v>0.25739999999999996</v>
      </c>
      <c r="X69" s="185">
        <f t="shared" ca="1" si="15"/>
        <v>21636.191029638172</v>
      </c>
      <c r="Y69" s="185">
        <f t="shared" ca="1" si="16"/>
        <v>197276.67814335541</v>
      </c>
      <c r="Z69" s="185">
        <f>IF(C69="","",IF($B$31=0,"",-'Debt Financing Calculations'!F18))</f>
        <v>0</v>
      </c>
      <c r="AA69" s="185">
        <f t="shared" ca="1" si="17"/>
        <v>192857.63992135145</v>
      </c>
      <c r="AB69" s="185">
        <f t="shared" ca="1" si="23"/>
        <v>-172710.77675579884</v>
      </c>
      <c r="AC69" s="938">
        <f t="shared" ca="1" si="18"/>
        <v>171221.44889171328</v>
      </c>
      <c r="AD69" s="132"/>
      <c r="AE69" s="942">
        <f t="shared" ca="1" si="19"/>
        <v>470850</v>
      </c>
      <c r="AF69" s="938">
        <f t="shared" si="20"/>
        <v>0</v>
      </c>
    </row>
    <row r="70" spans="1:32" x14ac:dyDescent="0.25">
      <c r="A70" s="56">
        <f t="shared" si="21"/>
        <v>2044</v>
      </c>
      <c r="B70" s="183">
        <f>IF(MAX($B$65:B69)&lt;(construct+anal_period),B69+1,"")</f>
        <v>6</v>
      </c>
      <c r="C70" s="183">
        <f t="shared" si="22"/>
        <v>5</v>
      </c>
      <c r="D70" s="183">
        <f t="shared" si="1"/>
        <v>5</v>
      </c>
      <c r="E70" s="184">
        <f t="shared" si="2"/>
        <v>1.0781935663209998</v>
      </c>
      <c r="F70" s="57">
        <f t="shared" ca="1" si="3"/>
        <v>1286486.9567871373</v>
      </c>
      <c r="G70" s="951"/>
      <c r="H70" s="960">
        <f t="shared" si="24"/>
        <v>0</v>
      </c>
      <c r="I70" s="185">
        <f ca="1">IF(OR(C70&lt;0,C70=""),"",-E70*INDEX('Replacement Costs'!$A$16:$H$57,MATCH(C70,'Replacement Costs'!$C$16:$C$57,0),MATCH("Total Yearly Replacement Costs",'Replacement Costs'!$A$16:$H$16,0)))</f>
        <v>0</v>
      </c>
      <c r="J70" s="185">
        <f ca="1">IF(AND(C70&gt;=1,C70&lt;anal_period),WorkingCap*SUM(N70:R70)-WorkingCap*SUM(N69:R69),IF(C70&lt;0,0,IF(B70="","",-SUM(J$65:J69))))</f>
        <v>-4056.6565886980097</v>
      </c>
      <c r="K70" s="185" t="str">
        <f t="shared" si="4"/>
        <v/>
      </c>
      <c r="L70" s="185" t="str">
        <f t="shared" si="5"/>
        <v/>
      </c>
      <c r="M70" s="185" t="str">
        <f t="shared" si="6"/>
        <v/>
      </c>
      <c r="N70" s="185">
        <f t="shared" ca="1" si="7"/>
        <v>-132943.25832995222</v>
      </c>
      <c r="O70" s="185">
        <f t="shared" ca="1" si="8"/>
        <v>-922156.61358562484</v>
      </c>
      <c r="P70" s="185">
        <f t="shared" ca="1" si="9"/>
        <v>0</v>
      </c>
      <c r="Q70" s="185">
        <f t="shared" ca="1" si="10"/>
        <v>0</v>
      </c>
      <c r="R70" s="185">
        <f t="shared" ca="1" si="11"/>
        <v>-12644.339846463179</v>
      </c>
      <c r="S70" s="185">
        <f ca="1">IF(B70="","",IF($B$31=0,"",-'Debt Financing Calculations'!E19))</f>
        <v>-46159.145297967661</v>
      </c>
      <c r="T70" s="185">
        <f t="shared" ca="1" si="12"/>
        <v>172583.59972712956</v>
      </c>
      <c r="U70" s="185">
        <f ca="1">IF(C70="","",IF(C70&lt;-1,0,IF(C70=anal_period,-LOOKUP(C70,depr_yr,depr_cost)-Depreciation!$C$141-Depreciation!$B$166,-LOOKUP(C70,depr_yr,depr_cost))))</f>
        <v>-185676.2015814645</v>
      </c>
      <c r="V70" s="185">
        <f t="shared" ca="1" si="13"/>
        <v>-13092.601854334935</v>
      </c>
      <c r="W70" s="186">
        <f t="shared" si="14"/>
        <v>0.25739999999999996</v>
      </c>
      <c r="X70" s="185">
        <f t="shared" ca="1" si="15"/>
        <v>3370.0357173058119</v>
      </c>
      <c r="Y70" s="185">
        <f t="shared" ca="1" si="16"/>
        <v>175953.63544443538</v>
      </c>
      <c r="Z70" s="185">
        <f>IF(C70="","",IF($B$31=0,"",-'Debt Financing Calculations'!F19))</f>
        <v>0</v>
      </c>
      <c r="AA70" s="185">
        <f t="shared" ca="1" si="17"/>
        <v>171896.97885573737</v>
      </c>
      <c r="AB70" s="185">
        <f t="shared" ca="1" si="23"/>
        <v>-813.79790006147232</v>
      </c>
      <c r="AC70" s="938">
        <f t="shared" ca="1" si="18"/>
        <v>168526.94313843155</v>
      </c>
      <c r="AD70" s="132"/>
      <c r="AE70" s="942">
        <f t="shared" ca="1" si="19"/>
        <v>470850</v>
      </c>
      <c r="AF70" s="938">
        <f t="shared" si="20"/>
        <v>0</v>
      </c>
    </row>
    <row r="71" spans="1:32" x14ac:dyDescent="0.25">
      <c r="A71" s="56">
        <f t="shared" si="21"/>
        <v>2045</v>
      </c>
      <c r="B71" s="183">
        <f>IF(MAX($B$65:B70)&lt;(construct+anal_period),B70+1,"")</f>
        <v>7</v>
      </c>
      <c r="C71" s="183">
        <f t="shared" si="22"/>
        <v>6</v>
      </c>
      <c r="D71" s="183">
        <f t="shared" si="1"/>
        <v>6</v>
      </c>
      <c r="E71" s="184">
        <f t="shared" si="2"/>
        <v>1.0986792440810986</v>
      </c>
      <c r="F71" s="57">
        <f t="shared" ca="1" si="3"/>
        <v>1310930.2089660927</v>
      </c>
      <c r="G71" s="951"/>
      <c r="H71" s="960">
        <f t="shared" si="24"/>
        <v>0</v>
      </c>
      <c r="I71" s="185">
        <f ca="1">IF(OR(C71&lt;0,C71=""),"",-E71*INDEX('Replacement Costs'!$A$16:$H$57,MATCH(C71,'Replacement Costs'!$C$16:$C$57,0),MATCH("Total Yearly Replacement Costs",'Replacement Costs'!$A$16:$H$16,0)))</f>
        <v>-240852.40037830276</v>
      </c>
      <c r="J71" s="185">
        <f ca="1">IF(AND(C71&gt;=1,C71&lt;anal_period),WorkingCap*SUM(N71:R71)-WorkingCap*SUM(N70:R70),IF(C71&lt;0,0,IF(B71="","",-SUM(J$65:J70))))</f>
        <v>-4487.4391691540077</v>
      </c>
      <c r="K71" s="185" t="str">
        <f t="shared" si="4"/>
        <v/>
      </c>
      <c r="L71" s="185" t="str">
        <f t="shared" si="5"/>
        <v/>
      </c>
      <c r="M71" s="185" t="str">
        <f t="shared" si="6"/>
        <v/>
      </c>
      <c r="N71" s="185">
        <f t="shared" ca="1" si="7"/>
        <v>-135469.18023822131</v>
      </c>
      <c r="O71" s="185">
        <f t="shared" ca="1" si="8"/>
        <v>-949306.71034796641</v>
      </c>
      <c r="P71" s="185">
        <f t="shared" ca="1" si="9"/>
        <v>0</v>
      </c>
      <c r="Q71" s="185">
        <f t="shared" ca="1" si="10"/>
        <v>0</v>
      </c>
      <c r="R71" s="185">
        <f t="shared" ca="1" si="11"/>
        <v>-12884.582303545976</v>
      </c>
      <c r="S71" s="185">
        <f ca="1">IF(B71="","",IF($B$31=0,"",-'Debt Financing Calculations'!E20))</f>
        <v>-46159.145297967661</v>
      </c>
      <c r="T71" s="185">
        <f t="shared" ca="1" si="12"/>
        <v>167110.59077839158</v>
      </c>
      <c r="U71" s="185">
        <f ca="1">IF(C71="","",IF(C71&lt;-1,0,IF(C71=anal_period,-LOOKUP(C71,depr_yr,depr_cost)-Depreciation!$C$141-Depreciation!$B$166,-LOOKUP(C71,depr_yr,depr_cost))))</f>
        <v>-219886.08551760521</v>
      </c>
      <c r="V71" s="185">
        <f t="shared" ca="1" si="13"/>
        <v>-52775.494739213638</v>
      </c>
      <c r="W71" s="186">
        <f t="shared" si="14"/>
        <v>0.25739999999999996</v>
      </c>
      <c r="X71" s="185">
        <f t="shared" ca="1" si="15"/>
        <v>13584.412345873588</v>
      </c>
      <c r="Y71" s="185">
        <f t="shared" ca="1" si="16"/>
        <v>180695.00312426517</v>
      </c>
      <c r="Z71" s="185">
        <f>IF(C71="","",IF($B$31=0,"",-'Debt Financing Calculations'!F20))</f>
        <v>0</v>
      </c>
      <c r="AA71" s="185">
        <f t="shared" ca="1" si="17"/>
        <v>-64644.836423191606</v>
      </c>
      <c r="AB71" s="185">
        <f t="shared" ca="1" si="23"/>
        <v>-65458.634323253078</v>
      </c>
      <c r="AC71" s="938">
        <f t="shared" ca="1" si="18"/>
        <v>-78229.248769065191</v>
      </c>
      <c r="AD71" s="132"/>
      <c r="AE71" s="942">
        <f t="shared" ca="1" si="19"/>
        <v>470850</v>
      </c>
      <c r="AF71" s="938">
        <f t="shared" si="20"/>
        <v>0</v>
      </c>
    </row>
    <row r="72" spans="1:32" x14ac:dyDescent="0.25">
      <c r="A72" s="56">
        <f t="shared" si="21"/>
        <v>2046</v>
      </c>
      <c r="B72" s="183">
        <f>IF(MAX($B$65:B71)&lt;(construct+anal_period),B71+1,"")</f>
        <v>8</v>
      </c>
      <c r="C72" s="183">
        <f t="shared" si="22"/>
        <v>7</v>
      </c>
      <c r="D72" s="183">
        <f t="shared" si="1"/>
        <v>7</v>
      </c>
      <c r="E72" s="184">
        <f t="shared" si="2"/>
        <v>1.1195541497186396</v>
      </c>
      <c r="F72" s="57">
        <f t="shared" ca="1" si="3"/>
        <v>1335837.8829364486</v>
      </c>
      <c r="G72" s="951"/>
      <c r="H72" s="960">
        <f t="shared" si="24"/>
        <v>0</v>
      </c>
      <c r="I72" s="185">
        <f ca="1">IF(OR(C72&lt;0,C72=""),"",-E72*INDEX('Replacement Costs'!$A$16:$H$57,MATCH(C72,'Replacement Costs'!$C$16:$C$57,0),MATCH("Total Yearly Replacement Costs",'Replacement Costs'!$A$16:$H$16,0)))</f>
        <v>0</v>
      </c>
      <c r="J72" s="185">
        <f ca="1">IF(AND(C72&gt;=1,C72&lt;anal_period),WorkingCap*SUM(N72:R72)-WorkingCap*SUM(N71:R71),IF(C72&lt;0,0,IF(B72="","",-SUM(J$65:J71))))</f>
        <v>-4249.5433875649178</v>
      </c>
      <c r="K72" s="185" t="str">
        <f t="shared" si="4"/>
        <v/>
      </c>
      <c r="L72" s="185" t="str">
        <f t="shared" si="5"/>
        <v/>
      </c>
      <c r="M72" s="185" t="str">
        <f t="shared" si="6"/>
        <v/>
      </c>
      <c r="N72" s="185">
        <f t="shared" ca="1" si="7"/>
        <v>-138043.09466274752</v>
      </c>
      <c r="O72" s="185">
        <f t="shared" ca="1" si="8"/>
        <v>-974818.27811010531</v>
      </c>
      <c r="P72" s="185">
        <f t="shared" ca="1" si="9"/>
        <v>0</v>
      </c>
      <c r="Q72" s="185">
        <f t="shared" ca="1" si="10"/>
        <v>0</v>
      </c>
      <c r="R72" s="185">
        <f t="shared" ca="1" si="11"/>
        <v>-13129.389367313352</v>
      </c>
      <c r="S72" s="185">
        <f ca="1">IF(B72="","",IF($B$31=0,"",-'Debt Financing Calculations'!E21))</f>
        <v>-46159.145297967661</v>
      </c>
      <c r="T72" s="185">
        <f t="shared" ca="1" si="12"/>
        <v>163687.97549831471</v>
      </c>
      <c r="U72" s="185">
        <f ca="1">IF(C72="","",IF(C72&lt;-1,0,IF(C72=anal_period,-LOOKUP(C72,depr_yr,depr_cost)-Depreciation!$C$141-Depreciation!$B$166,-LOOKUP(C72,depr_yr,depr_cost))))</f>
        <v>-244660.95443411084</v>
      </c>
      <c r="V72" s="185">
        <f t="shared" ca="1" si="13"/>
        <v>-80972.978935796127</v>
      </c>
      <c r="W72" s="186">
        <f t="shared" si="14"/>
        <v>0.25739999999999996</v>
      </c>
      <c r="X72" s="185">
        <f t="shared" ca="1" si="15"/>
        <v>20842.444778073921</v>
      </c>
      <c r="Y72" s="185">
        <f t="shared" ca="1" si="16"/>
        <v>184530.42027638864</v>
      </c>
      <c r="Z72" s="185">
        <f>IF(C72="","",IF($B$31=0,"",-'Debt Financing Calculations'!F21))</f>
        <v>0</v>
      </c>
      <c r="AA72" s="185">
        <f t="shared" ca="1" si="17"/>
        <v>180280.87688882372</v>
      </c>
      <c r="AB72" s="185">
        <f t="shared" ca="1" si="23"/>
        <v>114822.24256557065</v>
      </c>
      <c r="AC72" s="938">
        <f t="shared" ca="1" si="18"/>
        <v>159438.4321107498</v>
      </c>
      <c r="AD72" s="132"/>
      <c r="AE72" s="942">
        <f t="shared" ca="1" si="19"/>
        <v>470850</v>
      </c>
      <c r="AF72" s="938">
        <f t="shared" si="20"/>
        <v>0</v>
      </c>
    </row>
    <row r="73" spans="1:32" x14ac:dyDescent="0.25">
      <c r="A73" s="56">
        <f t="shared" si="21"/>
        <v>2047</v>
      </c>
      <c r="B73" s="183">
        <f>IF(MAX($B$65:B72)&lt;(construct+anal_period),B72+1,"")</f>
        <v>9</v>
      </c>
      <c r="C73" s="183">
        <f t="shared" si="22"/>
        <v>8</v>
      </c>
      <c r="D73" s="183">
        <f t="shared" si="1"/>
        <v>8</v>
      </c>
      <c r="E73" s="184">
        <f t="shared" si="2"/>
        <v>1.1408256785632938</v>
      </c>
      <c r="F73" s="57">
        <f t="shared" ca="1" si="3"/>
        <v>1361218.802712241</v>
      </c>
      <c r="G73" s="951"/>
      <c r="H73" s="960">
        <f t="shared" si="24"/>
        <v>0</v>
      </c>
      <c r="I73" s="185">
        <f ca="1">IF(OR(C73&lt;0,C73=""),"",-E73*INDEX('Replacement Costs'!$A$16:$H$57,MATCH(C73,'Replacement Costs'!$C$16:$C$57,0),MATCH("Total Yearly Replacement Costs",'Replacement Costs'!$A$16:$H$16,0)))</f>
        <v>0</v>
      </c>
      <c r="J73" s="185">
        <f ca="1">IF(AND(C73&gt;=1,C73&lt;anal_period),WorkingCap*SUM(N73:R73)-WorkingCap*SUM(N72:R72),IF(C73&lt;0,0,IF(B73="","",-SUM(J$65:J72))))</f>
        <v>-4474.726135152916</v>
      </c>
      <c r="K73" s="185" t="str">
        <f t="shared" si="4"/>
        <v/>
      </c>
      <c r="L73" s="185" t="str">
        <f t="shared" si="5"/>
        <v/>
      </c>
      <c r="M73" s="185" t="str">
        <f t="shared" si="6"/>
        <v/>
      </c>
      <c r="N73" s="185">
        <f t="shared" ca="1" si="7"/>
        <v>-140665.91346133972</v>
      </c>
      <c r="O73" s="185">
        <f t="shared" ca="1" si="8"/>
        <v>-1001777.5084812206</v>
      </c>
      <c r="P73" s="185">
        <f t="shared" ca="1" si="9"/>
        <v>0</v>
      </c>
      <c r="Q73" s="185">
        <f t="shared" ca="1" si="10"/>
        <v>0</v>
      </c>
      <c r="R73" s="185">
        <f t="shared" ca="1" si="11"/>
        <v>-13378.847765292305</v>
      </c>
      <c r="S73" s="185">
        <f ca="1">IF(B73="","",IF($B$31=0,"",-'Debt Financing Calculations'!E22))</f>
        <v>-46159.145297967661</v>
      </c>
      <c r="T73" s="185">
        <f t="shared" ca="1" si="12"/>
        <v>159237.38770642085</v>
      </c>
      <c r="U73" s="185">
        <f ca="1">IF(C73="","",IF(C73&lt;-1,0,IF(C73=anal_period,-LOOKUP(C73,depr_yr,depr_cost)-Depreciation!$C$141-Depreciation!$B$166,-LOOKUP(C73,depr_yr,depr_cost))))</f>
        <v>-134859.22357793804</v>
      </c>
      <c r="V73" s="185">
        <f t="shared" ca="1" si="13"/>
        <v>24378.164128482807</v>
      </c>
      <c r="W73" s="186">
        <f t="shared" si="14"/>
        <v>0.25739999999999996</v>
      </c>
      <c r="X73" s="185">
        <f t="shared" ca="1" si="15"/>
        <v>-6274.9394466714739</v>
      </c>
      <c r="Y73" s="185">
        <f t="shared" ca="1" si="16"/>
        <v>152962.44825974936</v>
      </c>
      <c r="Z73" s="185">
        <f>IF(C73="","",IF($B$31=0,"",-'Debt Financing Calculations'!F22))</f>
        <v>0</v>
      </c>
      <c r="AA73" s="185">
        <f t="shared" ca="1" si="17"/>
        <v>148487.72212459645</v>
      </c>
      <c r="AB73" s="185">
        <f t="shared" ca="1" si="23"/>
        <v>263309.96469016711</v>
      </c>
      <c r="AC73" s="938">
        <f t="shared" ca="1" si="18"/>
        <v>154762.66157126793</v>
      </c>
      <c r="AD73" s="132"/>
      <c r="AE73" s="942">
        <f t="shared" ca="1" si="19"/>
        <v>470850</v>
      </c>
      <c r="AF73" s="938">
        <f t="shared" si="20"/>
        <v>0</v>
      </c>
    </row>
    <row r="74" spans="1:32" x14ac:dyDescent="0.25">
      <c r="A74" s="56">
        <f t="shared" si="21"/>
        <v>2048</v>
      </c>
      <c r="B74" s="183">
        <f>IF(MAX($B$65:B73)&lt;(construct+anal_period),B73+1,"")</f>
        <v>10</v>
      </c>
      <c r="C74" s="183">
        <f t="shared" si="22"/>
        <v>9</v>
      </c>
      <c r="D74" s="183">
        <f t="shared" si="1"/>
        <v>9</v>
      </c>
      <c r="E74" s="184">
        <f t="shared" si="2"/>
        <v>1.1625013664559962</v>
      </c>
      <c r="F74" s="57">
        <f t="shared" ca="1" si="3"/>
        <v>1387081.9599637734</v>
      </c>
      <c r="G74" s="951"/>
      <c r="H74" s="960">
        <f t="shared" si="24"/>
        <v>0</v>
      </c>
      <c r="I74" s="185">
        <f ca="1">IF(OR(C74&lt;0,C74=""),"",-E74*INDEX('Replacement Costs'!$A$16:$H$57,MATCH(C74,'Replacement Costs'!$C$16:$C$57,0),MATCH("Total Yearly Replacement Costs",'Replacement Costs'!$A$16:$H$16,0)))</f>
        <v>0</v>
      </c>
      <c r="J74" s="185">
        <f ca="1">IF(AND(C74&gt;=1,C74&lt;anal_period),WorkingCap*SUM(N74:R74)-WorkingCap*SUM(N73:R73),IF(C74&lt;0,0,IF(B74="","",-SUM(J$65:J73))))</f>
        <v>-5522.095804416138</v>
      </c>
      <c r="K74" s="185" t="str">
        <f t="shared" si="4"/>
        <v/>
      </c>
      <c r="L74" s="185" t="str">
        <f t="shared" si="5"/>
        <v/>
      </c>
      <c r="M74" s="185" t="str">
        <f t="shared" si="6"/>
        <v/>
      </c>
      <c r="N74" s="185">
        <f t="shared" ca="1" si="7"/>
        <v>-143338.56581710515</v>
      </c>
      <c r="O74" s="185">
        <f t="shared" ca="1" si="8"/>
        <v>-1035664.6300473553</v>
      </c>
      <c r="P74" s="185">
        <f t="shared" ca="1" si="9"/>
        <v>0</v>
      </c>
      <c r="Q74" s="185">
        <f t="shared" ca="1" si="10"/>
        <v>0</v>
      </c>
      <c r="R74" s="185">
        <f t="shared" ca="1" si="11"/>
        <v>-13633.045872832858</v>
      </c>
      <c r="S74" s="185">
        <f ca="1">IF(B74="","",IF($B$31=0,"",-'Debt Financing Calculations'!E23))</f>
        <v>-46159.145297967661</v>
      </c>
      <c r="T74" s="185">
        <f t="shared" ca="1" si="12"/>
        <v>148286.57292851247</v>
      </c>
      <c r="U74" s="185">
        <f ca="1">IF(C74="","",IF(C74&lt;-1,0,IF(C74=anal_period,-LOOKUP(C74,depr_yr,depr_cost)-Depreciation!$C$141-Depreciation!$B$166,-LOOKUP(C74,depr_yr,depr_cost))))</f>
        <v>-30082.464807250013</v>
      </c>
      <c r="V74" s="185">
        <f t="shared" ca="1" si="13"/>
        <v>118204.10812126246</v>
      </c>
      <c r="W74" s="186">
        <f t="shared" si="14"/>
        <v>0.25739999999999996</v>
      </c>
      <c r="X74" s="185">
        <f t="shared" ca="1" si="15"/>
        <v>-30425.737430412952</v>
      </c>
      <c r="Y74" s="185">
        <f t="shared" ca="1" si="16"/>
        <v>117860.83549809952</v>
      </c>
      <c r="Z74" s="185">
        <f>IF(C74="","",IF($B$31=0,"",-'Debt Financing Calculations'!F23))</f>
        <v>0</v>
      </c>
      <c r="AA74" s="185">
        <f t="shared" ca="1" si="17"/>
        <v>112338.73969368338</v>
      </c>
      <c r="AB74" s="185">
        <f t="shared" ca="1" si="23"/>
        <v>375648.70438385051</v>
      </c>
      <c r="AC74" s="938">
        <f t="shared" ca="1" si="18"/>
        <v>142764.47712409633</v>
      </c>
      <c r="AD74" s="132"/>
      <c r="AE74" s="942">
        <f t="shared" ca="1" si="19"/>
        <v>470850</v>
      </c>
      <c r="AF74" s="938">
        <f t="shared" si="20"/>
        <v>0</v>
      </c>
    </row>
    <row r="75" spans="1:32" x14ac:dyDescent="0.25">
      <c r="A75" s="56">
        <f t="shared" si="21"/>
        <v>2049</v>
      </c>
      <c r="B75" s="183">
        <f>IF(MAX($B$65:B74)&lt;(construct+anal_period),B74+1,"")</f>
        <v>11</v>
      </c>
      <c r="C75" s="183">
        <f t="shared" si="22"/>
        <v>10</v>
      </c>
      <c r="D75" s="183">
        <f t="shared" si="1"/>
        <v>10</v>
      </c>
      <c r="E75" s="184">
        <f t="shared" si="2"/>
        <v>1.1845888924186601</v>
      </c>
      <c r="F75" s="57">
        <f t="shared" ca="1" si="3"/>
        <v>1413436.5172030851</v>
      </c>
      <c r="G75" s="951"/>
      <c r="H75" s="960">
        <f t="shared" si="24"/>
        <v>0</v>
      </c>
      <c r="I75" s="185">
        <f ca="1">IF(OR(C75&lt;0,C75=""),"",-E75*INDEX('Replacement Costs'!$A$16:$H$57,MATCH(C75,'Replacement Costs'!$C$16:$C$57,0),MATCH("Total Yearly Replacement Costs",'Replacement Costs'!$A$16:$H$16,0)))</f>
        <v>0</v>
      </c>
      <c r="J75" s="185">
        <f ca="1">IF(AND(C75&gt;=1,C75&lt;anal_period),WorkingCap*SUM(N75:R75)-WorkingCap*SUM(N74:R74),IF(C75&lt;0,0,IF(B75="","",-SUM(J$65:J74))))</f>
        <v>-4146.7348046720144</v>
      </c>
      <c r="K75" s="185" t="str">
        <f t="shared" si="4"/>
        <v/>
      </c>
      <c r="L75" s="185" t="str">
        <f t="shared" si="5"/>
        <v/>
      </c>
      <c r="M75" s="185" t="str">
        <f t="shared" si="6"/>
        <v/>
      </c>
      <c r="N75" s="185">
        <f t="shared" ca="1" si="7"/>
        <v>-146061.99856763013</v>
      </c>
      <c r="O75" s="185">
        <f t="shared" ca="1" si="8"/>
        <v>-1060327.06812306</v>
      </c>
      <c r="P75" s="185">
        <f t="shared" ca="1" si="9"/>
        <v>0</v>
      </c>
      <c r="Q75" s="185">
        <f t="shared" ca="1" si="10"/>
        <v>0</v>
      </c>
      <c r="R75" s="185">
        <f t="shared" ca="1" si="11"/>
        <v>-13892.073744416681</v>
      </c>
      <c r="S75" s="185">
        <f ca="1">IF(B75="","",IF($B$31=0,"",-'Debt Financing Calculations'!E24))</f>
        <v>-46159.145297967661</v>
      </c>
      <c r="T75" s="185">
        <f t="shared" ca="1" si="12"/>
        <v>146996.23147001071</v>
      </c>
      <c r="U75" s="185">
        <f ca="1">IF(C75="","",IF(C75&lt;-1,0,IF(C75=anal_period,-LOOKUP(C75,depr_yr,depr_cost)-Depreciation!$C$141-Depreciation!$B$166,-LOOKUP(C75,depr_yr,depr_cost))))</f>
        <v>-21508.119353782437</v>
      </c>
      <c r="V75" s="185">
        <f t="shared" ca="1" si="13"/>
        <v>125488.11211622827</v>
      </c>
      <c r="W75" s="186">
        <f t="shared" si="14"/>
        <v>0.25739999999999996</v>
      </c>
      <c r="X75" s="185">
        <f t="shared" ca="1" si="15"/>
        <v>-32300.640058717152</v>
      </c>
      <c r="Y75" s="185">
        <f t="shared" ca="1" si="16"/>
        <v>114695.59141129356</v>
      </c>
      <c r="Z75" s="185">
        <f>IF(C75="","",IF($B$31=0,"",-'Debt Financing Calculations'!F24))</f>
        <v>0</v>
      </c>
      <c r="AA75" s="185">
        <f t="shared" ca="1" si="17"/>
        <v>110548.85660662154</v>
      </c>
      <c r="AB75" s="185">
        <f t="shared" ca="1" si="23"/>
        <v>486197.56099047203</v>
      </c>
      <c r="AC75" s="938">
        <f t="shared" ca="1" si="18"/>
        <v>142849.49666533869</v>
      </c>
      <c r="AD75" s="132"/>
      <c r="AE75" s="942">
        <f t="shared" ca="1" si="19"/>
        <v>470850</v>
      </c>
      <c r="AF75" s="938">
        <f t="shared" si="20"/>
        <v>0</v>
      </c>
    </row>
    <row r="76" spans="1:32" x14ac:dyDescent="0.25">
      <c r="A76" s="56">
        <f t="shared" si="21"/>
        <v>2050</v>
      </c>
      <c r="B76" s="183">
        <f>IF(MAX($B$65:B75)&lt;(construct+anal_period),B75+1,"")</f>
        <v>12</v>
      </c>
      <c r="C76" s="183">
        <f t="shared" si="22"/>
        <v>11</v>
      </c>
      <c r="D76" s="183">
        <f t="shared" si="1"/>
        <v>11</v>
      </c>
      <c r="E76" s="184">
        <f t="shared" si="2"/>
        <v>1.2070960813746145</v>
      </c>
      <c r="F76" s="57">
        <f t="shared" ca="1" si="3"/>
        <v>1440291.8110299436</v>
      </c>
      <c r="G76" s="951"/>
      <c r="H76" s="960">
        <f t="shared" si="24"/>
        <v>0</v>
      </c>
      <c r="I76" s="185">
        <f ca="1">IF(OR(C76&lt;0,C76=""),"",-E76*INDEX('Replacement Costs'!$A$16:$H$57,MATCH(C76,'Replacement Costs'!$C$16:$C$57,0),MATCH("Total Yearly Replacement Costs",'Replacement Costs'!$A$16:$H$16,0)))</f>
        <v>0</v>
      </c>
      <c r="J76" s="185">
        <f ca="1">IF(AND(C76&gt;=1,C76&lt;anal_period),WorkingCap*SUM(N76:R76)-WorkingCap*SUM(N75:R75),IF(C76&lt;0,0,IF(B76="","",-SUM(J$65:J75))))</f>
        <v>-5157.6837642715545</v>
      </c>
      <c r="K76" s="185" t="str">
        <f t="shared" si="4"/>
        <v/>
      </c>
      <c r="L76" s="185" t="str">
        <f t="shared" si="5"/>
        <v/>
      </c>
      <c r="M76" s="185" t="str">
        <f t="shared" si="6"/>
        <v/>
      </c>
      <c r="N76" s="185">
        <f t="shared" ca="1" si="7"/>
        <v>-148837.17654041509</v>
      </c>
      <c r="O76" s="185">
        <f t="shared" ca="1" si="8"/>
        <v>-1091672.4991776082</v>
      </c>
      <c r="P76" s="185">
        <f t="shared" ca="1" si="9"/>
        <v>0</v>
      </c>
      <c r="Q76" s="185">
        <f t="shared" ca="1" si="10"/>
        <v>0</v>
      </c>
      <c r="R76" s="185">
        <f t="shared" ca="1" si="11"/>
        <v>-14156.023145560597</v>
      </c>
      <c r="S76" s="185">
        <f ca="1">IF(B76="","",IF($B$31=0,"",-'Debt Financing Calculations'!E25))</f>
        <v>-46159.145297967661</v>
      </c>
      <c r="T76" s="185">
        <f t="shared" ca="1" si="12"/>
        <v>139466.96686839219</v>
      </c>
      <c r="U76" s="185">
        <f ca="1">IF(C76="","",IF(C76&lt;-1,0,IF(C76=anal_period,-LOOKUP(C76,depr_yr,depr_cost)-Depreciation!$C$141-Depreciation!$B$166,-LOOKUP(C76,depr_yr,depr_cost))))</f>
        <v>-21484.034113744605</v>
      </c>
      <c r="V76" s="185">
        <f t="shared" ca="1" si="13"/>
        <v>117982.93275464758</v>
      </c>
      <c r="W76" s="186">
        <f t="shared" si="14"/>
        <v>0.25739999999999996</v>
      </c>
      <c r="X76" s="185">
        <f t="shared" ca="1" si="15"/>
        <v>-30368.806891046283</v>
      </c>
      <c r="Y76" s="185">
        <f t="shared" ca="1" si="16"/>
        <v>109098.1599773459</v>
      </c>
      <c r="Z76" s="185">
        <f>IF(C76="","",IF($B$31=0,"",-'Debt Financing Calculations'!F25))</f>
        <v>0</v>
      </c>
      <c r="AA76" s="185">
        <f t="shared" ca="1" si="17"/>
        <v>103940.47621307435</v>
      </c>
      <c r="AB76" s="185">
        <f t="shared" ca="1" si="23"/>
        <v>590138.03720354638</v>
      </c>
      <c r="AC76" s="938">
        <f t="shared" ca="1" si="18"/>
        <v>134309.28310412064</v>
      </c>
      <c r="AD76" s="132"/>
      <c r="AE76" s="942">
        <f t="shared" ca="1" si="19"/>
        <v>470850</v>
      </c>
      <c r="AF76" s="938">
        <f t="shared" si="20"/>
        <v>0</v>
      </c>
    </row>
    <row r="77" spans="1:32" x14ac:dyDescent="0.25">
      <c r="A77" s="56">
        <f t="shared" si="21"/>
        <v>2051</v>
      </c>
      <c r="B77" s="183">
        <f>IF(MAX($B$65:B76)&lt;(construct+anal_period),B76+1,"")</f>
        <v>13</v>
      </c>
      <c r="C77" s="183">
        <f t="shared" si="22"/>
        <v>12</v>
      </c>
      <c r="D77" s="183">
        <f t="shared" si="1"/>
        <v>12</v>
      </c>
      <c r="E77" s="184">
        <f t="shared" si="2"/>
        <v>1.2300309069207322</v>
      </c>
      <c r="F77" s="57">
        <f t="shared" ca="1" si="3"/>
        <v>1467657.3554395125</v>
      </c>
      <c r="G77" s="951"/>
      <c r="H77" s="960">
        <f t="shared" si="24"/>
        <v>0</v>
      </c>
      <c r="I77" s="185">
        <f ca="1">IF(OR(C77&lt;0,C77=""),"",-E77*INDEX('Replacement Costs'!$A$16:$H$57,MATCH(C77,'Replacement Costs'!$C$16:$C$57,0),MATCH("Total Yearly Replacement Costs",'Replacement Costs'!$A$16:$H$16,0)))</f>
        <v>0</v>
      </c>
      <c r="J77" s="185">
        <f ca="1">IF(AND(C77&gt;=1,C77&lt;anal_period),WorkingCap*SUM(N77:R77)-WorkingCap*SUM(N76:R76),IF(C77&lt;0,0,IF(B77="","",-SUM(J$65:J76))))</f>
        <v>-4306.0803795190877</v>
      </c>
      <c r="K77" s="185" t="str">
        <f t="shared" si="4"/>
        <v/>
      </c>
      <c r="L77" s="185" t="str">
        <f t="shared" si="5"/>
        <v/>
      </c>
      <c r="M77" s="185" t="str">
        <f t="shared" si="6"/>
        <v/>
      </c>
      <c r="N77" s="185">
        <f t="shared" ca="1" si="7"/>
        <v>-151665.082894683</v>
      </c>
      <c r="O77" s="185">
        <f t="shared" ca="1" si="8"/>
        <v>-1117282.830913702</v>
      </c>
      <c r="P77" s="185">
        <f t="shared" ca="1" si="9"/>
        <v>0</v>
      </c>
      <c r="Q77" s="185">
        <f t="shared" ca="1" si="10"/>
        <v>0</v>
      </c>
      <c r="R77" s="185">
        <f t="shared" ca="1" si="11"/>
        <v>-14424.987585326249</v>
      </c>
      <c r="S77" s="185">
        <f ca="1">IF(B77="","",IF($B$31=0,"",-'Debt Financing Calculations'!E26))</f>
        <v>-46159.145297967661</v>
      </c>
      <c r="T77" s="185">
        <f t="shared" ca="1" si="12"/>
        <v>138125.30874783383</v>
      </c>
      <c r="U77" s="185">
        <f ca="1">IF(C77="","",IF(C77&lt;-1,0,IF(C77=anal_period,-LOOKUP(C77,depr_yr,depr_cost)-Depreciation!$C$141-Depreciation!$B$166,-LOOKUP(C77,depr_yr,depr_cost))))</f>
        <v>-21508.119353782437</v>
      </c>
      <c r="V77" s="185">
        <f t="shared" ca="1" si="13"/>
        <v>116617.18939405138</v>
      </c>
      <c r="W77" s="186">
        <f t="shared" si="14"/>
        <v>0.25739999999999996</v>
      </c>
      <c r="X77" s="185">
        <f t="shared" ca="1" si="15"/>
        <v>-30017.26455002882</v>
      </c>
      <c r="Y77" s="185">
        <f t="shared" ca="1" si="16"/>
        <v>108108.04419780501</v>
      </c>
      <c r="Z77" s="185">
        <f>IF(C77="","",IF($B$31=0,"",-'Debt Financing Calculations'!F26))</f>
        <v>0</v>
      </c>
      <c r="AA77" s="185">
        <f t="shared" ca="1" si="17"/>
        <v>103801.96381828592</v>
      </c>
      <c r="AB77" s="185">
        <f t="shared" ca="1" si="23"/>
        <v>693940.00102183234</v>
      </c>
      <c r="AC77" s="938">
        <f t="shared" ca="1" si="18"/>
        <v>133819.22836831474</v>
      </c>
      <c r="AD77" s="132"/>
      <c r="AE77" s="942">
        <f t="shared" ca="1" si="19"/>
        <v>470850</v>
      </c>
      <c r="AF77" s="938">
        <f t="shared" si="20"/>
        <v>0</v>
      </c>
    </row>
    <row r="78" spans="1:32" x14ac:dyDescent="0.25">
      <c r="A78" s="56">
        <f t="shared" si="21"/>
        <v>2052</v>
      </c>
      <c r="B78" s="183">
        <f>IF(MAX($B$65:B77)&lt;(construct+anal_period),B77+1,"")</f>
        <v>14</v>
      </c>
      <c r="C78" s="183">
        <f t="shared" si="22"/>
        <v>13</v>
      </c>
      <c r="D78" s="183">
        <f t="shared" si="1"/>
        <v>13</v>
      </c>
      <c r="E78" s="184">
        <f t="shared" si="2"/>
        <v>1.253401494152226</v>
      </c>
      <c r="F78" s="57">
        <f t="shared" ca="1" si="3"/>
        <v>1495542.8451928631</v>
      </c>
      <c r="G78" s="951"/>
      <c r="H78" s="960">
        <f t="shared" si="24"/>
        <v>0</v>
      </c>
      <c r="I78" s="185">
        <f ca="1">IF(OR(C78&lt;0,C78=""),"",-E78*INDEX('Replacement Costs'!$A$16:$H$57,MATCH(C78,'Replacement Costs'!$C$16:$C$57,0),MATCH("Total Yearly Replacement Costs",'Replacement Costs'!$A$16:$H$16,0)))</f>
        <v>-274770.60309517535</v>
      </c>
      <c r="J78" s="185">
        <f ca="1">IF(AND(C78&gt;=1,C78&lt;anal_period),WorkingCap*SUM(N78:R78)-WorkingCap*SUM(N77:R77),IF(C78&lt;0,0,IF(B78="","",-SUM(J$65:J77))))</f>
        <v>-4405.8960864053515</v>
      </c>
      <c r="K78" s="185" t="str">
        <f t="shared" si="4"/>
        <v/>
      </c>
      <c r="L78" s="185" t="str">
        <f t="shared" si="5"/>
        <v/>
      </c>
      <c r="M78" s="185" t="str">
        <f t="shared" si="6"/>
        <v/>
      </c>
      <c r="N78" s="185">
        <f t="shared" ca="1" si="7"/>
        <v>-154546.71946968196</v>
      </c>
      <c r="O78" s="185">
        <f t="shared" ca="1" si="8"/>
        <v>-1143499.7601506175</v>
      </c>
      <c r="P78" s="185">
        <f t="shared" ca="1" si="9"/>
        <v>0</v>
      </c>
      <c r="Q78" s="185">
        <f t="shared" ca="1" si="10"/>
        <v>0</v>
      </c>
      <c r="R78" s="185">
        <f t="shared" ca="1" si="11"/>
        <v>-14699.062349447446</v>
      </c>
      <c r="S78" s="185">
        <f ca="1">IF(B78="","",IF($B$31=0,"",-'Debt Financing Calculations'!E27))</f>
        <v>-46159.145297967661</v>
      </c>
      <c r="T78" s="185">
        <f t="shared" ca="1" si="12"/>
        <v>136638.15792514873</v>
      </c>
      <c r="U78" s="185">
        <f ca="1">IF(C78="","",IF(C78&lt;-1,0,IF(C78=anal_period,-LOOKUP(C78,depr_yr,depr_cost)-Depreciation!$C$141-Depreciation!$B$166,-LOOKUP(C78,depr_yr,depr_cost))))</f>
        <v>-50006.73623917286</v>
      </c>
      <c r="V78" s="185">
        <f t="shared" ca="1" si="13"/>
        <v>86631.42168597586</v>
      </c>
      <c r="W78" s="186">
        <f t="shared" si="14"/>
        <v>0.25739999999999996</v>
      </c>
      <c r="X78" s="185">
        <f t="shared" ca="1" si="15"/>
        <v>-22298.927941970182</v>
      </c>
      <c r="Y78" s="185">
        <f t="shared" ca="1" si="16"/>
        <v>114339.22998317855</v>
      </c>
      <c r="Z78" s="185">
        <f>IF(C78="","",IF($B$31=0,"",-'Debt Financing Calculations'!F27))</f>
        <v>0</v>
      </c>
      <c r="AA78" s="185">
        <f t="shared" ca="1" si="17"/>
        <v>-164837.26919840218</v>
      </c>
      <c r="AB78" s="185">
        <f t="shared" ca="1" si="23"/>
        <v>529102.73182343016</v>
      </c>
      <c r="AC78" s="938">
        <f t="shared" ca="1" si="18"/>
        <v>-142538.341256432</v>
      </c>
      <c r="AD78" s="132"/>
      <c r="AE78" s="942">
        <f t="shared" ca="1" si="19"/>
        <v>470850</v>
      </c>
      <c r="AF78" s="938">
        <f t="shared" si="20"/>
        <v>0</v>
      </c>
    </row>
    <row r="79" spans="1:32" x14ac:dyDescent="0.25">
      <c r="A79" s="56">
        <f t="shared" si="21"/>
        <v>2053</v>
      </c>
      <c r="B79" s="183">
        <f>IF(MAX($B$65:B78)&lt;(construct+anal_period),B78+1,"")</f>
        <v>15</v>
      </c>
      <c r="C79" s="183">
        <f t="shared" si="22"/>
        <v>14</v>
      </c>
      <c r="D79" s="183">
        <f t="shared" si="1"/>
        <v>14</v>
      </c>
      <c r="E79" s="184">
        <f t="shared" si="2"/>
        <v>1.277216122541118</v>
      </c>
      <c r="F79" s="57">
        <f t="shared" ca="1" si="3"/>
        <v>1523958.1592515272</v>
      </c>
      <c r="G79" s="951"/>
      <c r="H79" s="960">
        <f t="shared" si="24"/>
        <v>0</v>
      </c>
      <c r="I79" s="185">
        <f ca="1">IF(OR(C79&lt;0,C79=""),"",-E79*INDEX('Replacement Costs'!$A$16:$H$57,MATCH(C79,'Replacement Costs'!$C$16:$C$57,0),MATCH("Total Yearly Replacement Costs",'Replacement Costs'!$A$16:$H$16,0)))</f>
        <v>0</v>
      </c>
      <c r="J79" s="185">
        <f ca="1">IF(AND(C79&gt;=1,C79&lt;anal_period),WorkingCap*SUM(N79:R79)-WorkingCap*SUM(N78:R78),IF(C79&lt;0,0,IF(B79="","",-SUM(J$65:J78))))</f>
        <v>-4508.0520324429963</v>
      </c>
      <c r="K79" s="185" t="str">
        <f t="shared" si="4"/>
        <v/>
      </c>
      <c r="L79" s="185" t="str">
        <f t="shared" si="5"/>
        <v/>
      </c>
      <c r="M79" s="185" t="str">
        <f t="shared" si="6"/>
        <v/>
      </c>
      <c r="N79" s="185">
        <f t="shared" ca="1" si="7"/>
        <v>-157483.10713960588</v>
      </c>
      <c r="O79" s="185">
        <f t="shared" ca="1" si="8"/>
        <v>-1170337.7705123406</v>
      </c>
      <c r="P79" s="185">
        <f t="shared" ca="1" si="9"/>
        <v>0</v>
      </c>
      <c r="Q79" s="185">
        <f t="shared" ca="1" si="10"/>
        <v>0</v>
      </c>
      <c r="R79" s="185">
        <f t="shared" ca="1" si="11"/>
        <v>-14978.344534086944</v>
      </c>
      <c r="S79" s="185">
        <f ca="1">IF(B79="","",IF($B$31=0,"",-'Debt Financing Calculations'!E28))</f>
        <v>-46159.145297967661</v>
      </c>
      <c r="T79" s="185">
        <f t="shared" ca="1" si="12"/>
        <v>134999.79176752619</v>
      </c>
      <c r="U79" s="185">
        <f ca="1">IF(C79="","",IF(C79&lt;-1,0,IF(C79=anal_period,-LOOKUP(C79,depr_yr,depr_cost)-Depreciation!$C$141-Depreciation!$B$166,-LOOKUP(C79,depr_yr,depr_cost))))</f>
        <v>-67291.320698008451</v>
      </c>
      <c r="V79" s="185">
        <f t="shared" ca="1" si="13"/>
        <v>67708.471069517735</v>
      </c>
      <c r="W79" s="186">
        <f t="shared" si="14"/>
        <v>0.25739999999999996</v>
      </c>
      <c r="X79" s="185">
        <f t="shared" ca="1" si="15"/>
        <v>-17428.160453293862</v>
      </c>
      <c r="Y79" s="185">
        <f t="shared" ca="1" si="16"/>
        <v>117571.63131423232</v>
      </c>
      <c r="Z79" s="185">
        <f>IF(C79="","",IF($B$31=0,"",-'Debt Financing Calculations'!F28))</f>
        <v>0</v>
      </c>
      <c r="AA79" s="185">
        <f t="shared" ca="1" si="17"/>
        <v>113063.57928178932</v>
      </c>
      <c r="AB79" s="185">
        <f t="shared" ca="1" si="23"/>
        <v>642166.31110521953</v>
      </c>
      <c r="AC79" s="938">
        <f t="shared" ca="1" si="18"/>
        <v>130491.73973508319</v>
      </c>
      <c r="AD79" s="132"/>
      <c r="AE79" s="942">
        <f t="shared" ca="1" si="19"/>
        <v>470850</v>
      </c>
      <c r="AF79" s="938">
        <f t="shared" si="20"/>
        <v>0</v>
      </c>
    </row>
    <row r="80" spans="1:32" x14ac:dyDescent="0.25">
      <c r="A80" s="56">
        <f t="shared" si="21"/>
        <v>2054</v>
      </c>
      <c r="B80" s="183">
        <f>IF(MAX($B$65:B79)&lt;(construct+anal_period),B79+1,"")</f>
        <v>16</v>
      </c>
      <c r="C80" s="183">
        <f t="shared" si="22"/>
        <v>15</v>
      </c>
      <c r="D80" s="183">
        <f t="shared" si="1"/>
        <v>15</v>
      </c>
      <c r="E80" s="184">
        <f t="shared" si="2"/>
        <v>1.3014832288693996</v>
      </c>
      <c r="F80" s="57">
        <f t="shared" ca="1" si="3"/>
        <v>1552913.3642773067</v>
      </c>
      <c r="G80" s="951"/>
      <c r="H80" s="960">
        <f t="shared" si="24"/>
        <v>0</v>
      </c>
      <c r="I80" s="185">
        <f ca="1">IF(OR(C80&lt;0,C80=""),"",-E80*INDEX('Replacement Costs'!$A$16:$H$57,MATCH(C80,'Replacement Costs'!$C$16:$C$57,0),MATCH("Total Yearly Replacement Costs",'Replacement Costs'!$A$16:$H$16,0)))</f>
        <v>0</v>
      </c>
      <c r="J80" s="185">
        <f ca="1">IF(AND(C80&gt;=1,C80&lt;anal_period),WorkingCap*SUM(N80:R80)-WorkingCap*SUM(N79:R79),IF(C80&lt;0,0,IF(B80="","",-SUM(J$65:J79))))</f>
        <v>-4612.6036225829448</v>
      </c>
      <c r="K80" s="185" t="str">
        <f t="shared" si="4"/>
        <v/>
      </c>
      <c r="L80" s="185" t="str">
        <f t="shared" si="5"/>
        <v/>
      </c>
      <c r="M80" s="185" t="str">
        <f t="shared" si="6"/>
        <v/>
      </c>
      <c r="N80" s="185">
        <f t="shared" ca="1" si="7"/>
        <v>-160475.28617525843</v>
      </c>
      <c r="O80" s="185">
        <f t="shared" ca="1" si="8"/>
        <v>-1197811.69374776</v>
      </c>
      <c r="P80" s="185">
        <f t="shared" ca="1" si="9"/>
        <v>0</v>
      </c>
      <c r="Q80" s="185">
        <f t="shared" ca="1" si="10"/>
        <v>0</v>
      </c>
      <c r="R80" s="185">
        <f t="shared" ca="1" si="11"/>
        <v>-15262.933080234599</v>
      </c>
      <c r="S80" s="185">
        <f ca="1">IF(B80="","",IF($B$31=0,"",-'Debt Financing Calculations'!E29))</f>
        <v>-46159.145297967661</v>
      </c>
      <c r="T80" s="185">
        <f t="shared" ca="1" si="12"/>
        <v>133204.30597608606</v>
      </c>
      <c r="U80" s="185">
        <f ca="1">IF(C80="","",IF(C80&lt;-1,0,IF(C80=anal_period,-LOOKUP(C80,depr_yr,depr_cost)-Depreciation!$C$141-Depreciation!$B$166,-LOOKUP(C80,depr_yr,depr_cost))))</f>
        <v>-48057.378481346168</v>
      </c>
      <c r="V80" s="185">
        <f t="shared" ca="1" si="13"/>
        <v>85146.927494739895</v>
      </c>
      <c r="W80" s="186">
        <f t="shared" si="14"/>
        <v>0.25739999999999996</v>
      </c>
      <c r="X80" s="185">
        <f t="shared" ca="1" si="15"/>
        <v>-21916.819137146045</v>
      </c>
      <c r="Y80" s="185">
        <f t="shared" ca="1" si="16"/>
        <v>111287.48683894002</v>
      </c>
      <c r="Z80" s="185">
        <f>IF(C80="","",IF($B$31=0,"",-'Debt Financing Calculations'!F29))</f>
        <v>0</v>
      </c>
      <c r="AA80" s="185">
        <f t="shared" ca="1" si="17"/>
        <v>106674.88321635708</v>
      </c>
      <c r="AB80" s="185">
        <f t="shared" ca="1" si="23"/>
        <v>748841.19432157662</v>
      </c>
      <c r="AC80" s="938">
        <f t="shared" ca="1" si="18"/>
        <v>128591.70235350312</v>
      </c>
      <c r="AD80" s="132"/>
      <c r="AE80" s="942">
        <f t="shared" ca="1" si="19"/>
        <v>470850</v>
      </c>
      <c r="AF80" s="938">
        <f t="shared" si="20"/>
        <v>0</v>
      </c>
    </row>
    <row r="81" spans="1:32" x14ac:dyDescent="0.25">
      <c r="A81" s="56">
        <f t="shared" si="21"/>
        <v>2055</v>
      </c>
      <c r="B81" s="183">
        <f>IF(MAX($B$65:B80)&lt;(construct+anal_period),B80+1,"")</f>
        <v>17</v>
      </c>
      <c r="C81" s="183">
        <f t="shared" si="22"/>
        <v>16</v>
      </c>
      <c r="D81" s="183">
        <f t="shared" si="1"/>
        <v>16</v>
      </c>
      <c r="E81" s="184">
        <f t="shared" si="2"/>
        <v>1.3262114102179181</v>
      </c>
      <c r="F81" s="57">
        <f t="shared" ca="1" si="3"/>
        <v>1582418.7181985753</v>
      </c>
      <c r="G81" s="951"/>
      <c r="H81" s="960">
        <f t="shared" si="24"/>
        <v>0</v>
      </c>
      <c r="I81" s="185">
        <f ca="1">IF(OR(C81&lt;0,C81=""),"",-E81*INDEX('Replacement Costs'!$A$16:$H$57,MATCH(C81,'Replacement Costs'!$C$16:$C$57,0),MATCH("Total Yearly Replacement Costs",'Replacement Costs'!$A$16:$H$16,0)))</f>
        <v>0</v>
      </c>
      <c r="J81" s="185">
        <f ca="1">IF(AND(C81&gt;=1,C81&lt;anal_period),WorkingCap*SUM(N81:R81)-WorkingCap*SUM(N80:R80),IF(C81&lt;0,0,IF(B81="","",-SUM(J$65:J80))))</f>
        <v>-4719.6075842295249</v>
      </c>
      <c r="K81" s="185" t="str">
        <f t="shared" si="4"/>
        <v/>
      </c>
      <c r="L81" s="185" t="str">
        <f t="shared" si="5"/>
        <v/>
      </c>
      <c r="M81" s="185" t="str">
        <f t="shared" si="6"/>
        <v/>
      </c>
      <c r="N81" s="185">
        <f t="shared" ca="1" si="7"/>
        <v>-163524.31661258833</v>
      </c>
      <c r="O81" s="185">
        <f t="shared" ca="1" si="8"/>
        <v>-1225936.7181434359</v>
      </c>
      <c r="P81" s="185">
        <f t="shared" ca="1" si="9"/>
        <v>0</v>
      </c>
      <c r="Q81" s="185">
        <f t="shared" ca="1" si="10"/>
        <v>0</v>
      </c>
      <c r="R81" s="185">
        <f t="shared" ca="1" si="11"/>
        <v>-15552.928808759056</v>
      </c>
      <c r="S81" s="185">
        <f ca="1">IF(B81="","",IF($B$31=0,"",-'Debt Financing Calculations'!E30))</f>
        <v>-46159.145297967661</v>
      </c>
      <c r="T81" s="185">
        <f t="shared" ca="1" si="12"/>
        <v>131245.60933582461</v>
      </c>
      <c r="U81" s="185">
        <f ca="1">IF(C81="","",IF(C81&lt;-1,0,IF(C81=anal_period,-LOOKUP(C81,depr_yr,depr_cost)-Depreciation!$C$141-Depreciation!$B$166,-LOOKUP(C81,depr_yr,depr_cost))))</f>
        <v>-34318.848326587402</v>
      </c>
      <c r="V81" s="185">
        <f t="shared" ca="1" si="13"/>
        <v>96926.761009237205</v>
      </c>
      <c r="W81" s="186">
        <f t="shared" si="14"/>
        <v>0.25739999999999996</v>
      </c>
      <c r="X81" s="185">
        <f t="shared" ca="1" si="15"/>
        <v>-24948.948283777652</v>
      </c>
      <c r="Y81" s="185">
        <f t="shared" ca="1" si="16"/>
        <v>106296.66105204695</v>
      </c>
      <c r="Z81" s="185">
        <f>IF(C81="","",IF($B$31=0,"",-'Debt Financing Calculations'!F30))</f>
        <v>0</v>
      </c>
      <c r="AA81" s="185">
        <f t="shared" ca="1" si="17"/>
        <v>101577.05346781743</v>
      </c>
      <c r="AB81" s="185">
        <f t="shared" ca="1" si="23"/>
        <v>850418.24778939411</v>
      </c>
      <c r="AC81" s="938">
        <f t="shared" ca="1" si="18"/>
        <v>126526.00175159509</v>
      </c>
      <c r="AD81" s="132"/>
      <c r="AE81" s="942">
        <f t="shared" ca="1" si="19"/>
        <v>470850</v>
      </c>
      <c r="AF81" s="938">
        <f t="shared" si="20"/>
        <v>0</v>
      </c>
    </row>
    <row r="82" spans="1:32" x14ac:dyDescent="0.25">
      <c r="A82" s="56">
        <f t="shared" si="21"/>
        <v>2056</v>
      </c>
      <c r="B82" s="183">
        <f>IF(MAX($B$65:B81)&lt;(construct+anal_period),B81+1,"")</f>
        <v>18</v>
      </c>
      <c r="C82" s="183">
        <f t="shared" si="22"/>
        <v>17</v>
      </c>
      <c r="D82" s="183">
        <f t="shared" si="1"/>
        <v>17</v>
      </c>
      <c r="E82" s="184">
        <f t="shared" si="2"/>
        <v>1.3514094270120585</v>
      </c>
      <c r="F82" s="57">
        <f t="shared" ca="1" si="3"/>
        <v>1612484.6738443482</v>
      </c>
      <c r="G82" s="951"/>
      <c r="H82" s="960">
        <f t="shared" si="24"/>
        <v>0</v>
      </c>
      <c r="I82" s="185">
        <f ca="1">IF(OR(C82&lt;0,C82=""),"",-E82*INDEX('Replacement Costs'!$A$16:$H$57,MATCH(C82,'Replacement Costs'!$C$16:$C$57,0),MATCH("Total Yearly Replacement Costs",'Replacement Costs'!$A$16:$H$16,0)))</f>
        <v>0</v>
      </c>
      <c r="J82" s="185">
        <f ca="1">IF(AND(C82&gt;=1,C82&lt;anal_period),WorkingCap*SUM(N82:R82)-WorkingCap*SUM(N81:R81),IF(C82&lt;0,0,IF(B82="","",-SUM(J$65:J81))))</f>
        <v>-4804.1089386839303</v>
      </c>
      <c r="K82" s="185" t="str">
        <f t="shared" si="4"/>
        <v/>
      </c>
      <c r="L82" s="185" t="str">
        <f t="shared" si="5"/>
        <v/>
      </c>
      <c r="M82" s="185" t="str">
        <f t="shared" si="6"/>
        <v/>
      </c>
      <c r="N82" s="185">
        <f t="shared" ca="1" si="7"/>
        <v>-166631.2786282275</v>
      </c>
      <c r="O82" s="185">
        <f t="shared" ca="1" si="8"/>
        <v>-1254561.6434049897</v>
      </c>
      <c r="P82" s="185">
        <f t="shared" ca="1" si="9"/>
        <v>0</v>
      </c>
      <c r="Q82" s="185">
        <f t="shared" ca="1" si="10"/>
        <v>0</v>
      </c>
      <c r="R82" s="185">
        <f t="shared" ca="1" si="11"/>
        <v>-15848.434456125477</v>
      </c>
      <c r="S82" s="185">
        <f ca="1">IF(B82="","",IF($B$31=0,"",-'Debt Financing Calculations'!E31))</f>
        <v>-46159.145297967661</v>
      </c>
      <c r="T82" s="185">
        <f t="shared" ca="1" si="12"/>
        <v>129284.17205703794</v>
      </c>
      <c r="U82" s="185">
        <f ca="1">IF(C82="","",IF(C82&lt;-1,0,IF(C82=anal_period,-LOOKUP(C82,depr_yr,depr_cost)-Depreciation!$C$141-Depreciation!$B$166,-LOOKUP(C82,depr_yr,depr_cost))))</f>
        <v>-24537.014856399161</v>
      </c>
      <c r="V82" s="185">
        <f t="shared" ca="1" si="13"/>
        <v>104747.15720063879</v>
      </c>
      <c r="W82" s="186">
        <f t="shared" si="14"/>
        <v>0.25739999999999996</v>
      </c>
      <c r="X82" s="185">
        <f t="shared" ca="1" si="15"/>
        <v>-26961.918263444419</v>
      </c>
      <c r="Y82" s="185">
        <f t="shared" ca="1" si="16"/>
        <v>102322.25379359353</v>
      </c>
      <c r="Z82" s="185">
        <f>IF(C82="","",IF($B$31=0,"",-'Debt Financing Calculations'!F31))</f>
        <v>0</v>
      </c>
      <c r="AA82" s="185">
        <f t="shared" ca="1" si="17"/>
        <v>97518.144854909595</v>
      </c>
      <c r="AB82" s="185">
        <f t="shared" ca="1" si="23"/>
        <v>947936.39264430373</v>
      </c>
      <c r="AC82" s="938">
        <f t="shared" ca="1" si="18"/>
        <v>124480.06311835401</v>
      </c>
      <c r="AD82" s="132"/>
      <c r="AE82" s="942">
        <f t="shared" ca="1" si="19"/>
        <v>470850</v>
      </c>
      <c r="AF82" s="938">
        <f t="shared" si="20"/>
        <v>0</v>
      </c>
    </row>
    <row r="83" spans="1:32" x14ac:dyDescent="0.25">
      <c r="A83" s="56">
        <f t="shared" si="21"/>
        <v>2057</v>
      </c>
      <c r="B83" s="183">
        <f>IF(MAX($B$65:B82)&lt;(construct+anal_period),B82+1,"")</f>
        <v>19</v>
      </c>
      <c r="C83" s="183">
        <f t="shared" si="22"/>
        <v>18</v>
      </c>
      <c r="D83" s="183">
        <f t="shared" si="1"/>
        <v>18</v>
      </c>
      <c r="E83" s="184">
        <f t="shared" si="2"/>
        <v>1.3770862061252875</v>
      </c>
      <c r="F83" s="57">
        <f t="shared" ca="1" si="3"/>
        <v>1643121.8826473907</v>
      </c>
      <c r="G83" s="951"/>
      <c r="H83" s="960">
        <f t="shared" si="24"/>
        <v>0</v>
      </c>
      <c r="I83" s="185">
        <f ca="1">IF(OR(C83&lt;0,C83=""),"",-E83*INDEX('Replacement Costs'!$A$16:$H$57,MATCH(C83,'Replacement Costs'!$C$16:$C$57,0),MATCH("Total Yearly Replacement Costs",'Replacement Costs'!$A$16:$H$16,0)))</f>
        <v>0</v>
      </c>
      <c r="J83" s="185">
        <f ca="1">IF(AND(C83&gt;=1,C83&lt;anal_period),WorkingCap*SUM(N83:R83)-WorkingCap*SUM(N82:R82),IF(C83&lt;0,0,IF(B83="","",-SUM(J$65:J82))))</f>
        <v>-4914.9274498147424</v>
      </c>
      <c r="K83" s="185" t="str">
        <f t="shared" si="4"/>
        <v/>
      </c>
      <c r="L83" s="185" t="str">
        <f t="shared" si="5"/>
        <v/>
      </c>
      <c r="M83" s="185" t="str">
        <f t="shared" si="6"/>
        <v/>
      </c>
      <c r="N83" s="185">
        <f t="shared" ca="1" si="7"/>
        <v>-169797.27292216383</v>
      </c>
      <c r="O83" s="185">
        <f t="shared" ca="1" si="8"/>
        <v>-1283860.7118551519</v>
      </c>
      <c r="P83" s="185">
        <f t="shared" ca="1" si="9"/>
        <v>0</v>
      </c>
      <c r="Q83" s="185">
        <f t="shared" ca="1" si="10"/>
        <v>0</v>
      </c>
      <c r="R83" s="185">
        <f t="shared" ca="1" si="11"/>
        <v>-16149.554710791861</v>
      </c>
      <c r="S83" s="185">
        <f ca="1">IF(B83="","",IF($B$31=0,"",-'Debt Financing Calculations'!E32))</f>
        <v>-46159.145297967661</v>
      </c>
      <c r="T83" s="185">
        <f t="shared" ca="1" si="12"/>
        <v>127155.19786131545</v>
      </c>
      <c r="U83" s="185">
        <f ca="1">IF(C83="","",IF(C83&lt;-1,0,IF(C83=anal_period,-LOOKUP(C83,depr_yr,depr_cost)-Depreciation!$C$141-Depreciation!$B$166,-LOOKUP(C83,depr_yr,depr_cost))))</f>
        <v>-24509.53779608964</v>
      </c>
      <c r="V83" s="185">
        <f t="shared" ca="1" si="13"/>
        <v>102645.66006522581</v>
      </c>
      <c r="W83" s="186">
        <f t="shared" si="14"/>
        <v>0.25739999999999996</v>
      </c>
      <c r="X83" s="185">
        <f t="shared" ca="1" si="15"/>
        <v>-26420.992900789119</v>
      </c>
      <c r="Y83" s="185">
        <f t="shared" ca="1" si="16"/>
        <v>100734.20496052633</v>
      </c>
      <c r="Z83" s="185">
        <f>IF(C83="","",IF($B$31=0,"",-'Debt Financing Calculations'!F32))</f>
        <v>0</v>
      </c>
      <c r="AA83" s="185">
        <f t="shared" ca="1" si="17"/>
        <v>95819.277510711589</v>
      </c>
      <c r="AB83" s="185">
        <f t="shared" ca="1" si="23"/>
        <v>1043755.6701550153</v>
      </c>
      <c r="AC83" s="938">
        <f t="shared" ca="1" si="18"/>
        <v>122240.27041150071</v>
      </c>
      <c r="AD83" s="132"/>
      <c r="AE83" s="942">
        <f t="shared" ca="1" si="19"/>
        <v>470850</v>
      </c>
      <c r="AF83" s="938">
        <f t="shared" si="20"/>
        <v>0</v>
      </c>
    </row>
    <row r="84" spans="1:32" x14ac:dyDescent="0.25">
      <c r="A84" s="56">
        <f t="shared" si="21"/>
        <v>2058</v>
      </c>
      <c r="B84" s="183">
        <f>IF(MAX($B$65:B83)&lt;(construct+anal_period),B83+1,"")</f>
        <v>20</v>
      </c>
      <c r="C84" s="183">
        <f t="shared" si="22"/>
        <v>19</v>
      </c>
      <c r="D84" s="183">
        <f t="shared" si="1"/>
        <v>19</v>
      </c>
      <c r="E84" s="184">
        <f t="shared" si="2"/>
        <v>1.4032508440416678</v>
      </c>
      <c r="F84" s="57">
        <f t="shared" ca="1" si="3"/>
        <v>1674341.1984176908</v>
      </c>
      <c r="G84" s="951"/>
      <c r="H84" s="960">
        <f t="shared" si="24"/>
        <v>0</v>
      </c>
      <c r="I84" s="185">
        <f ca="1">IF(OR(C84&lt;0,C84=""),"",-E84*INDEX('Replacement Costs'!$A$16:$H$57,MATCH(C84,'Replacement Costs'!$C$16:$C$57,0),MATCH("Total Yearly Replacement Costs",'Replacement Costs'!$A$16:$H$16,0)))</f>
        <v>0</v>
      </c>
      <c r="J84" s="185">
        <f ca="1">IF(AND(C84&gt;=1,C84&lt;anal_period),WorkingCap*SUM(N84:R84)-WorkingCap*SUM(N83:R83),IF(C84&lt;0,0,IF(B84="","",-SUM(J$65:J83))))</f>
        <v>-5028.3290687944973</v>
      </c>
      <c r="K84" s="185" t="str">
        <f t="shared" si="4"/>
        <v/>
      </c>
      <c r="L84" s="185" t="str">
        <f t="shared" si="5"/>
        <v/>
      </c>
      <c r="M84" s="185" t="str">
        <f t="shared" si="6"/>
        <v/>
      </c>
      <c r="N84" s="185">
        <f t="shared" ca="1" si="7"/>
        <v>-173023.4211076849</v>
      </c>
      <c r="O84" s="185">
        <f t="shared" ca="1" si="8"/>
        <v>-1313849.9159220892</v>
      </c>
      <c r="P84" s="185">
        <f t="shared" ca="1" si="9"/>
        <v>0</v>
      </c>
      <c r="Q84" s="185">
        <f t="shared" ca="1" si="10"/>
        <v>0</v>
      </c>
      <c r="R84" s="185">
        <f t="shared" ca="1" si="11"/>
        <v>-16456.396250296904</v>
      </c>
      <c r="S84" s="185">
        <f ca="1">IF(B84="","",IF($B$31=0,"",-'Debt Financing Calculations'!E33))</f>
        <v>-46159.145297967661</v>
      </c>
      <c r="T84" s="185">
        <f t="shared" ca="1" si="12"/>
        <v>124852.31983965216</v>
      </c>
      <c r="U84" s="185">
        <f ca="1">IF(C84="","",IF(C84&lt;-1,0,IF(C84=anal_period,-LOOKUP(C84,depr_yr,depr_cost)-Depreciation!$C$141-Depreciation!$B$166,-LOOKUP(C84,depr_yr,depr_cost))))</f>
        <v>-24537.014856399161</v>
      </c>
      <c r="V84" s="185">
        <f t="shared" ca="1" si="13"/>
        <v>100315.30498325301</v>
      </c>
      <c r="W84" s="186">
        <f t="shared" si="14"/>
        <v>0.25739999999999996</v>
      </c>
      <c r="X84" s="185">
        <f t="shared" ca="1" si="15"/>
        <v>-25821.159502689319</v>
      </c>
      <c r="Y84" s="185">
        <f t="shared" ca="1" si="16"/>
        <v>99031.160336962843</v>
      </c>
      <c r="Z84" s="185">
        <f>IF(C84="","",IF($B$31=0,"",-'Debt Financing Calculations'!F33))</f>
        <v>0</v>
      </c>
      <c r="AA84" s="185">
        <f t="shared" ca="1" si="17"/>
        <v>94002.831268168346</v>
      </c>
      <c r="AB84" s="185">
        <f t="shared" ca="1" si="23"/>
        <v>1137758.5014231836</v>
      </c>
      <c r="AC84" s="938">
        <f t="shared" ca="1" si="18"/>
        <v>119823.99077085766</v>
      </c>
      <c r="AD84" s="132"/>
      <c r="AE84" s="942">
        <f t="shared" ca="1" si="19"/>
        <v>470850</v>
      </c>
      <c r="AF84" s="938">
        <f t="shared" si="20"/>
        <v>0</v>
      </c>
    </row>
    <row r="85" spans="1:32" x14ac:dyDescent="0.25">
      <c r="A85" s="56">
        <f t="shared" si="21"/>
        <v>2059</v>
      </c>
      <c r="B85" s="183">
        <f>IF(MAX($B$65:B84)&lt;(construct+anal_period),B84+1,"")</f>
        <v>21</v>
      </c>
      <c r="C85" s="183">
        <f t="shared" si="22"/>
        <v>20</v>
      </c>
      <c r="D85" s="183">
        <f t="shared" si="1"/>
        <v>20</v>
      </c>
      <c r="E85" s="184">
        <f t="shared" si="2"/>
        <v>1.4299126100784596</v>
      </c>
      <c r="F85" s="57">
        <f t="shared" ca="1" si="3"/>
        <v>1706153.6811876271</v>
      </c>
      <c r="G85" s="951"/>
      <c r="H85" s="960">
        <f t="shared" si="24"/>
        <v>0</v>
      </c>
      <c r="I85" s="185">
        <f ca="1">IF(OR(C85&lt;0,C85=""),"",-E85*INDEX('Replacement Costs'!$A$16:$H$57,MATCH(C85,'Replacement Costs'!$C$16:$C$57,0),MATCH("Total Yearly Replacement Costs",'Replacement Costs'!$A$16:$H$16,0)))</f>
        <v>0</v>
      </c>
      <c r="J85" s="185">
        <f ca="1">IF(AND(C85&gt;=1,C85&lt;anal_period),WorkingCap*SUM(N85:R85)-WorkingCap*SUM(N84:R84),IF(C85&lt;0,0,IF(B85="","",-SUM(J$65:J84))))</f>
        <v>225499.45999201064</v>
      </c>
      <c r="K85" s="185" t="str">
        <f t="shared" si="4"/>
        <v/>
      </c>
      <c r="L85" s="185">
        <f t="shared" ca="1" si="5"/>
        <v>302962.21291313489</v>
      </c>
      <c r="M85" s="185">
        <f t="shared" ca="1" si="6"/>
        <v>-302962.21291313489</v>
      </c>
      <c r="N85" s="185">
        <f t="shared" ca="1" si="7"/>
        <v>-176310.86610873093</v>
      </c>
      <c r="O85" s="185">
        <f t="shared" ca="1" si="8"/>
        <v>-1344545.6297186555</v>
      </c>
      <c r="P85" s="185">
        <f t="shared" ca="1" si="9"/>
        <v>0</v>
      </c>
      <c r="Q85" s="185">
        <f t="shared" ca="1" si="10"/>
        <v>0</v>
      </c>
      <c r="R85" s="185">
        <f t="shared" ca="1" si="11"/>
        <v>-16769.067779052548</v>
      </c>
      <c r="S85" s="185">
        <f ca="1">IF(B85="","",IF($B$31=0,"",-'Debt Financing Calculations'!E34))</f>
        <v>-46159.145297967661</v>
      </c>
      <c r="T85" s="185">
        <f t="shared" ca="1" si="12"/>
        <v>122368.97228322062</v>
      </c>
      <c r="U85" s="185">
        <f ca="1">IF(C85="","",IF(C85&lt;-1,0,IF(C85=anal_period,-LOOKUP(C85,depr_yr,depr_cost)-Depreciation!$C$141-Depreciation!$B$166,-LOOKUP(C85,depr_yr,depr_cost))))</f>
        <v>-12254.76889804482</v>
      </c>
      <c r="V85" s="185">
        <f t="shared" ca="1" si="13"/>
        <v>110114.2033851758</v>
      </c>
      <c r="W85" s="186">
        <f t="shared" si="14"/>
        <v>0.25739999999999996</v>
      </c>
      <c r="X85" s="185">
        <f t="shared" ca="1" si="15"/>
        <v>-28343.395951344246</v>
      </c>
      <c r="Y85" s="185">
        <f t="shared" ca="1" si="16"/>
        <v>94025.576331876364</v>
      </c>
      <c r="Z85" s="185">
        <f ca="1">IF(C85="","",IF($B$31=0,"",-'Debt Financing Calculations'!F34))</f>
        <v>-1247544.4675126395</v>
      </c>
      <c r="AA85" s="185">
        <f t="shared" ca="1" si="17"/>
        <v>-928019.43118875241</v>
      </c>
      <c r="AB85" s="185">
        <f t="shared" ca="1" si="23"/>
        <v>209739.07023443119</v>
      </c>
      <c r="AC85" s="938">
        <f t="shared" ca="1" si="18"/>
        <v>-899676.03523740824</v>
      </c>
      <c r="AD85" s="132"/>
      <c r="AE85" s="942">
        <f t="shared" ca="1" si="19"/>
        <v>470850</v>
      </c>
      <c r="AF85" s="938">
        <f t="shared" si="20"/>
        <v>0</v>
      </c>
    </row>
    <row r="86" spans="1:32" x14ac:dyDescent="0.25">
      <c r="A86" s="56" t="str">
        <f t="shared" si="21"/>
        <v/>
      </c>
      <c r="B86" s="183" t="str">
        <f>IF(MAX($B$65:B85)&lt;(construct+anal_period),B85+1,"")</f>
        <v/>
      </c>
      <c r="C86" s="183" t="str">
        <f t="shared" si="22"/>
        <v/>
      </c>
      <c r="D86" s="183" t="str">
        <f t="shared" si="1"/>
        <v/>
      </c>
      <c r="E86" s="184" t="str">
        <f t="shared" si="2"/>
        <v/>
      </c>
      <c r="F86" s="57" t="str">
        <f t="shared" si="3"/>
        <v/>
      </c>
      <c r="G86" s="951"/>
      <c r="H86" s="960" t="str">
        <f t="shared" si="24"/>
        <v/>
      </c>
      <c r="I86" s="185" t="str">
        <f>IF(OR(C86&lt;0,C86=""),"",-E86*INDEX('Replacement Costs'!$A$16:$H$57,MATCH(C86,'Replacement Costs'!$C$16:$C$57,0),MATCH("Total Yearly Replacement Costs",'Replacement Costs'!$A$16:$H$16,0)))</f>
        <v/>
      </c>
      <c r="J86" s="185" t="str">
        <f>IF(AND(C86&gt;=1,C86&lt;anal_period),WorkingCap*SUM(N86:R86)-WorkingCap*SUM(N85:R85),IF(C86&lt;0,0,IF(B86="","",-SUM(J$65:J85))))</f>
        <v/>
      </c>
      <c r="K86" s="185" t="str">
        <f t="shared" si="4"/>
        <v/>
      </c>
      <c r="L86" s="185" t="str">
        <f t="shared" si="5"/>
        <v/>
      </c>
      <c r="M86" s="185" t="str">
        <f t="shared" si="6"/>
        <v/>
      </c>
      <c r="N86" s="185" t="str">
        <f t="shared" si="7"/>
        <v/>
      </c>
      <c r="O86" s="185" t="str">
        <f t="shared" si="8"/>
        <v/>
      </c>
      <c r="P86" s="185" t="str">
        <f t="shared" si="9"/>
        <v/>
      </c>
      <c r="Q86" s="185" t="str">
        <f t="shared" si="10"/>
        <v/>
      </c>
      <c r="R86" s="185" t="str">
        <f t="shared" si="11"/>
        <v/>
      </c>
      <c r="S86" s="185" t="str">
        <f>IF(B86="","",IF($B$31=0,"",-'Debt Financing Calculations'!E35))</f>
        <v/>
      </c>
      <c r="T86" s="185" t="str">
        <f t="shared" si="12"/>
        <v/>
      </c>
      <c r="U86" s="185" t="str">
        <f>IF(C86="","",IF(C86&lt;-1,0,IF(C86=anal_period,-LOOKUP(C86,depr_yr,depr_cost)-Depreciation!$C$141-Depreciation!$B$166,-LOOKUP(C86,depr_yr,depr_cost))))</f>
        <v/>
      </c>
      <c r="V86" s="185" t="str">
        <f t="shared" si="13"/>
        <v/>
      </c>
      <c r="W86" s="186" t="str">
        <f t="shared" si="14"/>
        <v/>
      </c>
      <c r="X86" s="185" t="str">
        <f t="shared" si="15"/>
        <v/>
      </c>
      <c r="Y86" s="185" t="str">
        <f t="shared" si="16"/>
        <v/>
      </c>
      <c r="Z86" s="185" t="str">
        <f>IF(C86="","",IF($B$31=0,"",-'Debt Financing Calculations'!F35))</f>
        <v/>
      </c>
      <c r="AA86" s="185" t="str">
        <f t="shared" si="17"/>
        <v/>
      </c>
      <c r="AB86" s="185" t="str">
        <f t="shared" si="23"/>
        <v/>
      </c>
      <c r="AC86" s="938" t="str">
        <f t="shared" si="18"/>
        <v/>
      </c>
      <c r="AD86" s="132"/>
      <c r="AE86" s="942" t="str">
        <f t="shared" si="19"/>
        <v/>
      </c>
      <c r="AF86" s="938" t="str">
        <f t="shared" si="20"/>
        <v/>
      </c>
    </row>
    <row r="87" spans="1:32" x14ac:dyDescent="0.25">
      <c r="A87" s="56" t="str">
        <f t="shared" si="21"/>
        <v/>
      </c>
      <c r="B87" s="183" t="str">
        <f>IF(MAX($B$65:B86)&lt;(construct+anal_period),B86+1,"")</f>
        <v/>
      </c>
      <c r="C87" s="183" t="str">
        <f t="shared" si="22"/>
        <v/>
      </c>
      <c r="D87" s="183" t="str">
        <f t="shared" si="1"/>
        <v/>
      </c>
      <c r="E87" s="184" t="str">
        <f t="shared" si="2"/>
        <v/>
      </c>
      <c r="F87" s="57" t="str">
        <f t="shared" si="3"/>
        <v/>
      </c>
      <c r="G87" s="951"/>
      <c r="H87" s="960" t="str">
        <f t="shared" si="24"/>
        <v/>
      </c>
      <c r="I87" s="185" t="str">
        <f>IF(OR(C87&lt;0,C87=""),"",-E87*INDEX('Replacement Costs'!$A$16:$H$57,MATCH(C87,'Replacement Costs'!$C$16:$C$57,0),MATCH("Total Yearly Replacement Costs",'Replacement Costs'!$A$16:$H$16,0)))</f>
        <v/>
      </c>
      <c r="J87" s="185" t="str">
        <f>IF(AND(C87&gt;=1,C87&lt;anal_period),WorkingCap*SUM(N87:R87)-WorkingCap*SUM(N86:R86),IF(C87&lt;0,0,IF(B87="","",-SUM(J$65:J86))))</f>
        <v/>
      </c>
      <c r="K87" s="185" t="str">
        <f t="shared" si="4"/>
        <v/>
      </c>
      <c r="L87" s="185" t="str">
        <f t="shared" si="5"/>
        <v/>
      </c>
      <c r="M87" s="185" t="str">
        <f t="shared" si="6"/>
        <v/>
      </c>
      <c r="N87" s="185" t="str">
        <f t="shared" si="7"/>
        <v/>
      </c>
      <c r="O87" s="185" t="str">
        <f t="shared" si="8"/>
        <v/>
      </c>
      <c r="P87" s="185" t="str">
        <f t="shared" si="9"/>
        <v/>
      </c>
      <c r="Q87" s="185" t="str">
        <f t="shared" si="10"/>
        <v/>
      </c>
      <c r="R87" s="185" t="str">
        <f t="shared" si="11"/>
        <v/>
      </c>
      <c r="S87" s="185" t="str">
        <f>IF(B87="","",IF($B$31=0,"",-'Debt Financing Calculations'!E36))</f>
        <v/>
      </c>
      <c r="T87" s="185" t="str">
        <f t="shared" si="12"/>
        <v/>
      </c>
      <c r="U87" s="185" t="str">
        <f>IF(C87="","",IF(C87&lt;-1,0,IF(C87=anal_period,-LOOKUP(C87,depr_yr,depr_cost)-Depreciation!$C$141-Depreciation!$B$166,-LOOKUP(C87,depr_yr,depr_cost))))</f>
        <v/>
      </c>
      <c r="V87" s="185" t="str">
        <f t="shared" si="13"/>
        <v/>
      </c>
      <c r="W87" s="186" t="str">
        <f t="shared" si="14"/>
        <v/>
      </c>
      <c r="X87" s="185" t="str">
        <f t="shared" si="15"/>
        <v/>
      </c>
      <c r="Y87" s="185" t="str">
        <f t="shared" si="16"/>
        <v/>
      </c>
      <c r="Z87" s="185" t="str">
        <f>IF(C87="","",IF($B$31=0,"",-'Debt Financing Calculations'!F36))</f>
        <v/>
      </c>
      <c r="AA87" s="185" t="str">
        <f t="shared" si="17"/>
        <v/>
      </c>
      <c r="AB87" s="185" t="str">
        <f t="shared" si="23"/>
        <v/>
      </c>
      <c r="AC87" s="938" t="str">
        <f t="shared" si="18"/>
        <v/>
      </c>
      <c r="AD87" s="132"/>
      <c r="AE87" s="942" t="str">
        <f t="shared" si="19"/>
        <v/>
      </c>
      <c r="AF87" s="938" t="str">
        <f t="shared" si="20"/>
        <v/>
      </c>
    </row>
    <row r="88" spans="1:32" x14ac:dyDescent="0.25">
      <c r="A88" s="56" t="str">
        <f t="shared" si="21"/>
        <v/>
      </c>
      <c r="B88" s="183" t="str">
        <f>IF(MAX($B$65:B87)&lt;(construct+anal_period),B87+1,"")</f>
        <v/>
      </c>
      <c r="C88" s="183" t="str">
        <f t="shared" si="22"/>
        <v/>
      </c>
      <c r="D88" s="183" t="str">
        <f t="shared" si="1"/>
        <v/>
      </c>
      <c r="E88" s="184" t="str">
        <f t="shared" si="2"/>
        <v/>
      </c>
      <c r="F88" s="57" t="str">
        <f t="shared" si="3"/>
        <v/>
      </c>
      <c r="G88" s="951"/>
      <c r="H88" s="960" t="str">
        <f t="shared" si="24"/>
        <v/>
      </c>
      <c r="I88" s="185" t="str">
        <f>IF(OR(C88&lt;0,C88=""),"",-E88*INDEX('Replacement Costs'!$A$16:$H$57,MATCH(C88,'Replacement Costs'!$C$16:$C$57,0),MATCH("Total Yearly Replacement Costs",'Replacement Costs'!$A$16:$H$16,0)))</f>
        <v/>
      </c>
      <c r="J88" s="185" t="str">
        <f>IF(AND(C88&gt;=1,C88&lt;anal_period),WorkingCap*SUM(N88:R88)-WorkingCap*SUM(N87:R87),IF(C88&lt;0,0,IF(B88="","",-SUM(J$65:J87))))</f>
        <v/>
      </c>
      <c r="K88" s="185" t="str">
        <f t="shared" si="4"/>
        <v/>
      </c>
      <c r="L88" s="185" t="str">
        <f t="shared" si="5"/>
        <v/>
      </c>
      <c r="M88" s="185" t="str">
        <f t="shared" si="6"/>
        <v/>
      </c>
      <c r="N88" s="185" t="str">
        <f t="shared" si="7"/>
        <v/>
      </c>
      <c r="O88" s="185" t="str">
        <f t="shared" si="8"/>
        <v/>
      </c>
      <c r="P88" s="185" t="str">
        <f t="shared" si="9"/>
        <v/>
      </c>
      <c r="Q88" s="185" t="str">
        <f t="shared" si="10"/>
        <v/>
      </c>
      <c r="R88" s="185" t="str">
        <f t="shared" si="11"/>
        <v/>
      </c>
      <c r="S88" s="185" t="str">
        <f>IF(B88="","",IF($B$31=0,"",-'Debt Financing Calculations'!E37))</f>
        <v/>
      </c>
      <c r="T88" s="185" t="str">
        <f t="shared" si="12"/>
        <v/>
      </c>
      <c r="U88" s="185" t="str">
        <f>IF(C88="","",IF(C88&lt;-1,0,IF(C88=anal_period,-LOOKUP(C88,depr_yr,depr_cost)-Depreciation!$C$141-Depreciation!$B$166,-LOOKUP(C88,depr_yr,depr_cost))))</f>
        <v/>
      </c>
      <c r="V88" s="185" t="str">
        <f t="shared" si="13"/>
        <v/>
      </c>
      <c r="W88" s="186" t="str">
        <f t="shared" si="14"/>
        <v/>
      </c>
      <c r="X88" s="185" t="str">
        <f t="shared" si="15"/>
        <v/>
      </c>
      <c r="Y88" s="185" t="str">
        <f t="shared" si="16"/>
        <v/>
      </c>
      <c r="Z88" s="185" t="str">
        <f>IF(C88="","",IF($B$31=0,"",-'Debt Financing Calculations'!F37))</f>
        <v/>
      </c>
      <c r="AA88" s="185" t="str">
        <f t="shared" si="17"/>
        <v/>
      </c>
      <c r="AB88" s="185" t="str">
        <f t="shared" si="23"/>
        <v/>
      </c>
      <c r="AC88" s="938" t="str">
        <f t="shared" si="18"/>
        <v/>
      </c>
      <c r="AD88" s="132"/>
      <c r="AE88" s="942" t="str">
        <f t="shared" si="19"/>
        <v/>
      </c>
      <c r="AF88" s="938" t="str">
        <f t="shared" si="20"/>
        <v/>
      </c>
    </row>
    <row r="89" spans="1:32" x14ac:dyDescent="0.25">
      <c r="A89" s="56" t="str">
        <f t="shared" si="21"/>
        <v/>
      </c>
      <c r="B89" s="183" t="str">
        <f>IF(MAX($B$65:B88)&lt;(construct+anal_period),B88+1,"")</f>
        <v/>
      </c>
      <c r="C89" s="183" t="str">
        <f t="shared" si="22"/>
        <v/>
      </c>
      <c r="D89" s="183" t="str">
        <f t="shared" si="1"/>
        <v/>
      </c>
      <c r="E89" s="184" t="str">
        <f t="shared" si="2"/>
        <v/>
      </c>
      <c r="F89" s="57" t="str">
        <f t="shared" si="3"/>
        <v/>
      </c>
      <c r="G89" s="951"/>
      <c r="H89" s="960" t="str">
        <f t="shared" si="24"/>
        <v/>
      </c>
      <c r="I89" s="185" t="str">
        <f>IF(OR(C89&lt;0,C89=""),"",-E89*INDEX('Replacement Costs'!$A$16:$H$57,MATCH(C89,'Replacement Costs'!$C$16:$C$57,0),MATCH("Total Yearly Replacement Costs",'Replacement Costs'!$A$16:$H$16,0)))</f>
        <v/>
      </c>
      <c r="J89" s="185" t="str">
        <f>IF(AND(C89&gt;=1,C89&lt;anal_period),WorkingCap*SUM(N89:R89)-WorkingCap*SUM(N88:R88),IF(C89&lt;0,0,IF(B89="","",-SUM(J$65:J88))))</f>
        <v/>
      </c>
      <c r="K89" s="185" t="str">
        <f t="shared" si="4"/>
        <v/>
      </c>
      <c r="L89" s="185" t="str">
        <f t="shared" si="5"/>
        <v/>
      </c>
      <c r="M89" s="185" t="str">
        <f t="shared" si="6"/>
        <v/>
      </c>
      <c r="N89" s="185" t="str">
        <f t="shared" si="7"/>
        <v/>
      </c>
      <c r="O89" s="185" t="str">
        <f t="shared" si="8"/>
        <v/>
      </c>
      <c r="P89" s="185" t="str">
        <f t="shared" si="9"/>
        <v/>
      </c>
      <c r="Q89" s="185" t="str">
        <f t="shared" si="10"/>
        <v/>
      </c>
      <c r="R89" s="185" t="str">
        <f t="shared" si="11"/>
        <v/>
      </c>
      <c r="S89" s="185" t="str">
        <f>IF(B89="","",IF($B$31=0,"",-'Debt Financing Calculations'!E38))</f>
        <v/>
      </c>
      <c r="T89" s="185" t="str">
        <f t="shared" si="12"/>
        <v/>
      </c>
      <c r="U89" s="185" t="str">
        <f>IF(C89="","",IF(C89&lt;-1,0,IF(C89=anal_period,-LOOKUP(C89,depr_yr,depr_cost)-Depreciation!$C$141-Depreciation!$B$166,-LOOKUP(C89,depr_yr,depr_cost))))</f>
        <v/>
      </c>
      <c r="V89" s="185" t="str">
        <f t="shared" si="13"/>
        <v/>
      </c>
      <c r="W89" s="186" t="str">
        <f t="shared" si="14"/>
        <v/>
      </c>
      <c r="X89" s="185" t="str">
        <f t="shared" si="15"/>
        <v/>
      </c>
      <c r="Y89" s="185" t="str">
        <f t="shared" si="16"/>
        <v/>
      </c>
      <c r="Z89" s="185" t="str">
        <f>IF(C89="","",IF($B$31=0,"",-'Debt Financing Calculations'!F38))</f>
        <v/>
      </c>
      <c r="AA89" s="185" t="str">
        <f t="shared" si="17"/>
        <v/>
      </c>
      <c r="AB89" s="185" t="str">
        <f t="shared" si="23"/>
        <v/>
      </c>
      <c r="AC89" s="938" t="str">
        <f t="shared" si="18"/>
        <v/>
      </c>
      <c r="AD89" s="132"/>
      <c r="AE89" s="942" t="str">
        <f t="shared" si="19"/>
        <v/>
      </c>
      <c r="AF89" s="938" t="str">
        <f t="shared" si="20"/>
        <v/>
      </c>
    </row>
    <row r="90" spans="1:32" x14ac:dyDescent="0.25">
      <c r="A90" s="56" t="str">
        <f t="shared" si="21"/>
        <v/>
      </c>
      <c r="B90" s="183" t="str">
        <f>IF(MAX($B$65:B89)&lt;(construct+anal_period),B89+1,"")</f>
        <v/>
      </c>
      <c r="C90" s="183" t="str">
        <f t="shared" si="22"/>
        <v/>
      </c>
      <c r="D90" s="183" t="str">
        <f t="shared" si="1"/>
        <v/>
      </c>
      <c r="E90" s="184" t="str">
        <f t="shared" si="2"/>
        <v/>
      </c>
      <c r="F90" s="57" t="str">
        <f t="shared" si="3"/>
        <v/>
      </c>
      <c r="G90" s="951"/>
      <c r="H90" s="960" t="str">
        <f t="shared" si="24"/>
        <v/>
      </c>
      <c r="I90" s="185" t="str">
        <f>IF(OR(C90&lt;0,C90=""),"",-E90*INDEX('Replacement Costs'!$A$16:$H$57,MATCH(C90,'Replacement Costs'!$C$16:$C$57,0),MATCH("Total Yearly Replacement Costs",'Replacement Costs'!$A$16:$H$16,0)))</f>
        <v/>
      </c>
      <c r="J90" s="185" t="str">
        <f>IF(AND(C90&gt;=1,C90&lt;anal_period),WorkingCap*SUM(N90:R90)-WorkingCap*SUM(N89:R89),IF(C90&lt;0,0,IF(B90="","",-SUM(J$65:J89))))</f>
        <v/>
      </c>
      <c r="K90" s="185" t="str">
        <f t="shared" si="4"/>
        <v/>
      </c>
      <c r="L90" s="185" t="str">
        <f t="shared" si="5"/>
        <v/>
      </c>
      <c r="M90" s="185" t="str">
        <f t="shared" si="6"/>
        <v/>
      </c>
      <c r="N90" s="185" t="str">
        <f t="shared" si="7"/>
        <v/>
      </c>
      <c r="O90" s="185" t="str">
        <f t="shared" si="8"/>
        <v/>
      </c>
      <c r="P90" s="185" t="str">
        <f t="shared" si="9"/>
        <v/>
      </c>
      <c r="Q90" s="185" t="str">
        <f t="shared" si="10"/>
        <v/>
      </c>
      <c r="R90" s="185" t="str">
        <f t="shared" si="11"/>
        <v/>
      </c>
      <c r="S90" s="185" t="str">
        <f>IF(B90="","",IF($B$31=0,"",-'Debt Financing Calculations'!E39))</f>
        <v/>
      </c>
      <c r="T90" s="185" t="str">
        <f t="shared" si="12"/>
        <v/>
      </c>
      <c r="U90" s="185" t="str">
        <f>IF(C90="","",IF(C90&lt;-1,0,IF(C90=anal_period,-LOOKUP(C90,depr_yr,depr_cost)-Depreciation!$C$141-Depreciation!$B$166,-LOOKUP(C90,depr_yr,depr_cost))))</f>
        <v/>
      </c>
      <c r="V90" s="185" t="str">
        <f t="shared" si="13"/>
        <v/>
      </c>
      <c r="W90" s="186" t="str">
        <f t="shared" si="14"/>
        <v/>
      </c>
      <c r="X90" s="185" t="str">
        <f t="shared" si="15"/>
        <v/>
      </c>
      <c r="Y90" s="185" t="str">
        <f t="shared" si="16"/>
        <v/>
      </c>
      <c r="Z90" s="185" t="str">
        <f>IF(C90="","",IF($B$31=0,"",-'Debt Financing Calculations'!F39))</f>
        <v/>
      </c>
      <c r="AA90" s="185" t="str">
        <f t="shared" si="17"/>
        <v/>
      </c>
      <c r="AB90" s="185" t="str">
        <f t="shared" si="23"/>
        <v/>
      </c>
      <c r="AC90" s="938" t="str">
        <f t="shared" si="18"/>
        <v/>
      </c>
      <c r="AD90" s="132"/>
      <c r="AE90" s="942" t="str">
        <f t="shared" si="19"/>
        <v/>
      </c>
      <c r="AF90" s="938" t="str">
        <f t="shared" si="20"/>
        <v/>
      </c>
    </row>
    <row r="91" spans="1:32" x14ac:dyDescent="0.25">
      <c r="A91" s="56" t="str">
        <f t="shared" si="21"/>
        <v/>
      </c>
      <c r="B91" s="183" t="str">
        <f>IF(MAX($B$65:B90)&lt;(construct+anal_period),B90+1,"")</f>
        <v/>
      </c>
      <c r="C91" s="183" t="str">
        <f t="shared" si="22"/>
        <v/>
      </c>
      <c r="D91" s="183" t="str">
        <f t="shared" si="1"/>
        <v/>
      </c>
      <c r="E91" s="184" t="str">
        <f t="shared" si="2"/>
        <v/>
      </c>
      <c r="F91" s="57" t="str">
        <f t="shared" si="3"/>
        <v/>
      </c>
      <c r="G91" s="951"/>
      <c r="H91" s="960" t="str">
        <f t="shared" si="24"/>
        <v/>
      </c>
      <c r="I91" s="185" t="str">
        <f>IF(OR(C91&lt;0,C91=""),"",-E91*INDEX('Replacement Costs'!$A$16:$H$57,MATCH(C91,'Replacement Costs'!$C$16:$C$57,0),MATCH("Total Yearly Replacement Costs",'Replacement Costs'!$A$16:$H$16,0)))</f>
        <v/>
      </c>
      <c r="J91" s="185" t="str">
        <f>IF(AND(C91&gt;=1,C91&lt;anal_period),WorkingCap*SUM(N91:R91)-WorkingCap*SUM(N90:R90),IF(C91&lt;0,0,IF(B91="","",-SUM(J$65:J90))))</f>
        <v/>
      </c>
      <c r="K91" s="185" t="str">
        <f t="shared" si="4"/>
        <v/>
      </c>
      <c r="L91" s="185" t="str">
        <f t="shared" si="5"/>
        <v/>
      </c>
      <c r="M91" s="185" t="str">
        <f t="shared" si="6"/>
        <v/>
      </c>
      <c r="N91" s="185" t="str">
        <f t="shared" si="7"/>
        <v/>
      </c>
      <c r="O91" s="185" t="str">
        <f t="shared" si="8"/>
        <v/>
      </c>
      <c r="P91" s="185" t="str">
        <f t="shared" si="9"/>
        <v/>
      </c>
      <c r="Q91" s="185" t="str">
        <f t="shared" si="10"/>
        <v/>
      </c>
      <c r="R91" s="185" t="str">
        <f t="shared" si="11"/>
        <v/>
      </c>
      <c r="S91" s="185" t="str">
        <f>IF(B91="","",IF($B$31=0,"",-'Debt Financing Calculations'!E40))</f>
        <v/>
      </c>
      <c r="T91" s="185" t="str">
        <f t="shared" si="12"/>
        <v/>
      </c>
      <c r="U91" s="185" t="str">
        <f>IF(C91="","",IF(C91&lt;-1,0,IF(C91=anal_period,-LOOKUP(C91,depr_yr,depr_cost)-Depreciation!$C$141-Depreciation!$B$166,-LOOKUP(C91,depr_yr,depr_cost))))</f>
        <v/>
      </c>
      <c r="V91" s="185" t="str">
        <f t="shared" si="13"/>
        <v/>
      </c>
      <c r="W91" s="186" t="str">
        <f t="shared" si="14"/>
        <v/>
      </c>
      <c r="X91" s="185" t="str">
        <f t="shared" si="15"/>
        <v/>
      </c>
      <c r="Y91" s="185" t="str">
        <f t="shared" si="16"/>
        <v/>
      </c>
      <c r="Z91" s="185" t="str">
        <f>IF(C91="","",IF($B$31=0,"",-'Debt Financing Calculations'!F40))</f>
        <v/>
      </c>
      <c r="AA91" s="185" t="str">
        <f t="shared" si="17"/>
        <v/>
      </c>
      <c r="AB91" s="185" t="str">
        <f t="shared" si="23"/>
        <v/>
      </c>
      <c r="AC91" s="938" t="str">
        <f t="shared" si="18"/>
        <v/>
      </c>
      <c r="AD91" s="132"/>
      <c r="AE91" s="942" t="str">
        <f t="shared" si="19"/>
        <v/>
      </c>
      <c r="AF91" s="938" t="str">
        <f t="shared" si="20"/>
        <v/>
      </c>
    </row>
    <row r="92" spans="1:32" x14ac:dyDescent="0.25">
      <c r="A92" s="56" t="str">
        <f t="shared" si="21"/>
        <v/>
      </c>
      <c r="B92" s="183" t="str">
        <f>IF(MAX($B$65:B91)&lt;(construct+anal_period),B91+1,"")</f>
        <v/>
      </c>
      <c r="C92" s="183" t="str">
        <f t="shared" si="22"/>
        <v/>
      </c>
      <c r="D92" s="183" t="str">
        <f t="shared" si="1"/>
        <v/>
      </c>
      <c r="E92" s="184" t="str">
        <f t="shared" si="2"/>
        <v/>
      </c>
      <c r="F92" s="57" t="str">
        <f t="shared" si="3"/>
        <v/>
      </c>
      <c r="G92" s="951"/>
      <c r="H92" s="960" t="str">
        <f t="shared" si="24"/>
        <v/>
      </c>
      <c r="I92" s="185" t="str">
        <f>IF(OR(C92&lt;0,C92=""),"",-E92*INDEX('Replacement Costs'!$A$16:$H$57,MATCH(C92,'Replacement Costs'!$C$16:$C$57,0),MATCH("Total Yearly Replacement Costs",'Replacement Costs'!$A$16:$H$16,0)))</f>
        <v/>
      </c>
      <c r="J92" s="185" t="str">
        <f>IF(AND(C92&gt;=1,C92&lt;anal_period),WorkingCap*SUM(N92:R92)-WorkingCap*SUM(N91:R91),IF(C92&lt;0,0,IF(B92="","",-SUM(J$65:J91))))</f>
        <v/>
      </c>
      <c r="K92" s="185" t="str">
        <f t="shared" si="4"/>
        <v/>
      </c>
      <c r="L92" s="185" t="str">
        <f t="shared" si="5"/>
        <v/>
      </c>
      <c r="M92" s="185" t="str">
        <f t="shared" si="6"/>
        <v/>
      </c>
      <c r="N92" s="185" t="str">
        <f t="shared" si="7"/>
        <v/>
      </c>
      <c r="O92" s="185" t="str">
        <f t="shared" si="8"/>
        <v/>
      </c>
      <c r="P92" s="185" t="str">
        <f t="shared" si="9"/>
        <v/>
      </c>
      <c r="Q92" s="185" t="str">
        <f t="shared" si="10"/>
        <v/>
      </c>
      <c r="R92" s="185" t="str">
        <f t="shared" si="11"/>
        <v/>
      </c>
      <c r="S92" s="185" t="str">
        <f>IF(B92="","",IF($B$31=0,"",-'Debt Financing Calculations'!E41))</f>
        <v/>
      </c>
      <c r="T92" s="185" t="str">
        <f t="shared" si="12"/>
        <v/>
      </c>
      <c r="U92" s="185" t="str">
        <f>IF(C92="","",IF(C92&lt;-1,0,IF(C92=anal_period,-LOOKUP(C92,depr_yr,depr_cost)-Depreciation!$C$141-Depreciation!$B$166,-LOOKUP(C92,depr_yr,depr_cost))))</f>
        <v/>
      </c>
      <c r="V92" s="185" t="str">
        <f t="shared" si="13"/>
        <v/>
      </c>
      <c r="W92" s="186" t="str">
        <f t="shared" si="14"/>
        <v/>
      </c>
      <c r="X92" s="185" t="str">
        <f t="shared" si="15"/>
        <v/>
      </c>
      <c r="Y92" s="185" t="str">
        <f t="shared" si="16"/>
        <v/>
      </c>
      <c r="Z92" s="185" t="str">
        <f>IF(C92="","",IF($B$31=0,"",-'Debt Financing Calculations'!F41))</f>
        <v/>
      </c>
      <c r="AA92" s="185" t="str">
        <f t="shared" si="17"/>
        <v/>
      </c>
      <c r="AB92" s="185" t="str">
        <f t="shared" si="23"/>
        <v/>
      </c>
      <c r="AC92" s="938" t="str">
        <f t="shared" si="18"/>
        <v/>
      </c>
      <c r="AD92" s="132"/>
      <c r="AE92" s="942" t="str">
        <f t="shared" si="19"/>
        <v/>
      </c>
      <c r="AF92" s="938" t="str">
        <f t="shared" si="20"/>
        <v/>
      </c>
    </row>
    <row r="93" spans="1:32" x14ac:dyDescent="0.25">
      <c r="A93" s="56" t="str">
        <f t="shared" si="21"/>
        <v/>
      </c>
      <c r="B93" s="183" t="str">
        <f>IF(MAX($B$65:B92)&lt;(construct+anal_period),B92+1,"")</f>
        <v/>
      </c>
      <c r="C93" s="183" t="str">
        <f t="shared" si="22"/>
        <v/>
      </c>
      <c r="D93" s="183" t="str">
        <f t="shared" si="1"/>
        <v/>
      </c>
      <c r="E93" s="184" t="str">
        <f t="shared" si="2"/>
        <v/>
      </c>
      <c r="F93" s="57" t="str">
        <f t="shared" si="3"/>
        <v/>
      </c>
      <c r="G93" s="951"/>
      <c r="H93" s="960" t="str">
        <f t="shared" si="24"/>
        <v/>
      </c>
      <c r="I93" s="185" t="str">
        <f>IF(OR(C93&lt;0,C93=""),"",-E93*INDEX('Replacement Costs'!$A$16:$H$57,MATCH(C93,'Replacement Costs'!$C$16:$C$57,0),MATCH("Total Yearly Replacement Costs",'Replacement Costs'!$A$16:$H$16,0)))</f>
        <v/>
      </c>
      <c r="J93" s="185" t="str">
        <f>IF(AND(C93&gt;=1,C93&lt;anal_period),WorkingCap*SUM(N93:R93)-WorkingCap*SUM(N92:R92),IF(C93&lt;0,0,IF(B93="","",-SUM(J$65:J92))))</f>
        <v/>
      </c>
      <c r="K93" s="185" t="str">
        <f t="shared" si="4"/>
        <v/>
      </c>
      <c r="L93" s="185" t="str">
        <f t="shared" si="5"/>
        <v/>
      </c>
      <c r="M93" s="185" t="str">
        <f t="shared" si="6"/>
        <v/>
      </c>
      <c r="N93" s="185" t="str">
        <f t="shared" si="7"/>
        <v/>
      </c>
      <c r="O93" s="185" t="str">
        <f t="shared" si="8"/>
        <v/>
      </c>
      <c r="P93" s="185" t="str">
        <f t="shared" si="9"/>
        <v/>
      </c>
      <c r="Q93" s="185" t="str">
        <f t="shared" si="10"/>
        <v/>
      </c>
      <c r="R93" s="185" t="str">
        <f t="shared" si="11"/>
        <v/>
      </c>
      <c r="S93" s="185" t="str">
        <f>IF(B93="","",IF($B$31=0,"",-'Debt Financing Calculations'!E42))</f>
        <v/>
      </c>
      <c r="T93" s="185" t="str">
        <f t="shared" si="12"/>
        <v/>
      </c>
      <c r="U93" s="185" t="str">
        <f>IF(C93="","",IF(C93&lt;-1,0,IF(C93=anal_period,-LOOKUP(C93,depr_yr,depr_cost)-Depreciation!$C$141-Depreciation!$B$166,-LOOKUP(C93,depr_yr,depr_cost))))</f>
        <v/>
      </c>
      <c r="V93" s="185" t="str">
        <f t="shared" si="13"/>
        <v/>
      </c>
      <c r="W93" s="186" t="str">
        <f t="shared" si="14"/>
        <v/>
      </c>
      <c r="X93" s="185" t="str">
        <f t="shared" si="15"/>
        <v/>
      </c>
      <c r="Y93" s="185" t="str">
        <f t="shared" si="16"/>
        <v/>
      </c>
      <c r="Z93" s="185" t="str">
        <f>IF(C93="","",IF($B$31=0,"",-'Debt Financing Calculations'!F42))</f>
        <v/>
      </c>
      <c r="AA93" s="185" t="str">
        <f t="shared" si="17"/>
        <v/>
      </c>
      <c r="AB93" s="185" t="str">
        <f t="shared" si="23"/>
        <v/>
      </c>
      <c r="AC93" s="938" t="str">
        <f t="shared" si="18"/>
        <v/>
      </c>
      <c r="AD93" s="132"/>
      <c r="AE93" s="942" t="str">
        <f t="shared" si="19"/>
        <v/>
      </c>
      <c r="AF93" s="938" t="str">
        <f t="shared" si="20"/>
        <v/>
      </c>
    </row>
    <row r="94" spans="1:32" x14ac:dyDescent="0.25">
      <c r="A94" s="56" t="str">
        <f t="shared" si="21"/>
        <v/>
      </c>
      <c r="B94" s="183" t="str">
        <f>IF(MAX($B$65:B93)&lt;(construct+anal_period),B93+1,"")</f>
        <v/>
      </c>
      <c r="C94" s="183" t="str">
        <f t="shared" si="22"/>
        <v/>
      </c>
      <c r="D94" s="183" t="str">
        <f t="shared" si="1"/>
        <v/>
      </c>
      <c r="E94" s="184" t="str">
        <f t="shared" si="2"/>
        <v/>
      </c>
      <c r="F94" s="57" t="str">
        <f t="shared" si="3"/>
        <v/>
      </c>
      <c r="G94" s="951"/>
      <c r="H94" s="960" t="str">
        <f t="shared" si="24"/>
        <v/>
      </c>
      <c r="I94" s="185" t="str">
        <f>IF(OR(C94&lt;0,C94=""),"",-E94*INDEX('Replacement Costs'!$A$16:$H$57,MATCH(C94,'Replacement Costs'!$C$16:$C$57,0),MATCH("Total Yearly Replacement Costs",'Replacement Costs'!$A$16:$H$16,0)))</f>
        <v/>
      </c>
      <c r="J94" s="185" t="str">
        <f>IF(AND(C94&gt;=1,C94&lt;anal_period),WorkingCap*SUM(N94:R94)-WorkingCap*SUM(N93:R93),IF(C94&lt;0,0,IF(B94="","",-SUM(J$65:J93))))</f>
        <v/>
      </c>
      <c r="K94" s="185" t="str">
        <f t="shared" si="4"/>
        <v/>
      </c>
      <c r="L94" s="185" t="str">
        <f t="shared" si="5"/>
        <v/>
      </c>
      <c r="M94" s="185" t="str">
        <f t="shared" si="6"/>
        <v/>
      </c>
      <c r="N94" s="185" t="str">
        <f t="shared" si="7"/>
        <v/>
      </c>
      <c r="O94" s="185" t="str">
        <f t="shared" si="8"/>
        <v/>
      </c>
      <c r="P94" s="185" t="str">
        <f t="shared" si="9"/>
        <v/>
      </c>
      <c r="Q94" s="185" t="str">
        <f t="shared" si="10"/>
        <v/>
      </c>
      <c r="R94" s="185" t="str">
        <f t="shared" si="11"/>
        <v/>
      </c>
      <c r="S94" s="185" t="str">
        <f>IF(B94="","",IF($B$31=0,"",-'Debt Financing Calculations'!E43))</f>
        <v/>
      </c>
      <c r="T94" s="185" t="str">
        <f t="shared" si="12"/>
        <v/>
      </c>
      <c r="U94" s="185" t="str">
        <f>IF(C94="","",IF(C94&lt;-1,0,IF(C94=anal_period,-LOOKUP(C94,depr_yr,depr_cost)-Depreciation!$C$141-Depreciation!$B$166,-LOOKUP(C94,depr_yr,depr_cost))))</f>
        <v/>
      </c>
      <c r="V94" s="185" t="str">
        <f t="shared" si="13"/>
        <v/>
      </c>
      <c r="W94" s="186" t="str">
        <f t="shared" si="14"/>
        <v/>
      </c>
      <c r="X94" s="185" t="str">
        <f t="shared" si="15"/>
        <v/>
      </c>
      <c r="Y94" s="185" t="str">
        <f t="shared" si="16"/>
        <v/>
      </c>
      <c r="Z94" s="185" t="str">
        <f>IF(C94="","",IF($B$31=0,"",-'Debt Financing Calculations'!F43))</f>
        <v/>
      </c>
      <c r="AA94" s="185" t="str">
        <f t="shared" si="17"/>
        <v/>
      </c>
      <c r="AB94" s="185" t="str">
        <f t="shared" si="23"/>
        <v/>
      </c>
      <c r="AC94" s="938" t="str">
        <f t="shared" si="18"/>
        <v/>
      </c>
      <c r="AD94" s="132"/>
      <c r="AE94" s="942" t="str">
        <f t="shared" si="19"/>
        <v/>
      </c>
      <c r="AF94" s="938" t="str">
        <f t="shared" si="20"/>
        <v/>
      </c>
    </row>
    <row r="95" spans="1:32" x14ac:dyDescent="0.25">
      <c r="A95" s="56" t="str">
        <f t="shared" si="21"/>
        <v/>
      </c>
      <c r="B95" s="183" t="str">
        <f>IF(MAX($B$65:B94)&lt;(construct+anal_period),B94+1,"")</f>
        <v/>
      </c>
      <c r="C95" s="183" t="str">
        <f t="shared" si="22"/>
        <v/>
      </c>
      <c r="D95" s="183" t="str">
        <f t="shared" si="1"/>
        <v/>
      </c>
      <c r="E95" s="184" t="str">
        <f t="shared" si="2"/>
        <v/>
      </c>
      <c r="F95" s="57" t="str">
        <f t="shared" si="3"/>
        <v/>
      </c>
      <c r="G95" s="951"/>
      <c r="H95" s="960" t="str">
        <f t="shared" si="24"/>
        <v/>
      </c>
      <c r="I95" s="185" t="str">
        <f>IF(OR(C95&lt;0,C95=""),"",-E95*INDEX('Replacement Costs'!$A$16:$H$57,MATCH(C95,'Replacement Costs'!$C$16:$C$57,0),MATCH("Total Yearly Replacement Costs",'Replacement Costs'!$A$16:$H$16,0)))</f>
        <v/>
      </c>
      <c r="J95" s="185" t="str">
        <f>IF(AND(C95&gt;=1,C95&lt;anal_period),WorkingCap*SUM(N95:R95)-WorkingCap*SUM(N94:R94),IF(C95&lt;0,0,IF(B95="","",-SUM(J$65:J94))))</f>
        <v/>
      </c>
      <c r="K95" s="185" t="str">
        <f t="shared" si="4"/>
        <v/>
      </c>
      <c r="L95" s="185" t="str">
        <f t="shared" si="5"/>
        <v/>
      </c>
      <c r="M95" s="185" t="str">
        <f t="shared" si="6"/>
        <v/>
      </c>
      <c r="N95" s="185" t="str">
        <f t="shared" si="7"/>
        <v/>
      </c>
      <c r="O95" s="185" t="str">
        <f t="shared" si="8"/>
        <v/>
      </c>
      <c r="P95" s="185" t="str">
        <f t="shared" si="9"/>
        <v/>
      </c>
      <c r="Q95" s="185" t="str">
        <f t="shared" si="10"/>
        <v/>
      </c>
      <c r="R95" s="185" t="str">
        <f t="shared" si="11"/>
        <v/>
      </c>
      <c r="S95" s="185" t="str">
        <f>IF(B95="","",IF($B$31=0,"",-'Debt Financing Calculations'!E44))</f>
        <v/>
      </c>
      <c r="T95" s="185" t="str">
        <f t="shared" si="12"/>
        <v/>
      </c>
      <c r="U95" s="185" t="str">
        <f>IF(C95="","",IF(C95&lt;-1,0,IF(C95=anal_period,-LOOKUP(C95,depr_yr,depr_cost)-Depreciation!$C$141-Depreciation!$B$166,-LOOKUP(C95,depr_yr,depr_cost))))</f>
        <v/>
      </c>
      <c r="V95" s="185" t="str">
        <f t="shared" si="13"/>
        <v/>
      </c>
      <c r="W95" s="186" t="str">
        <f t="shared" si="14"/>
        <v/>
      </c>
      <c r="X95" s="185" t="str">
        <f t="shared" si="15"/>
        <v/>
      </c>
      <c r="Y95" s="185" t="str">
        <f t="shared" si="16"/>
        <v/>
      </c>
      <c r="Z95" s="185" t="str">
        <f>IF(C95="","",IF($B$31=0,"",-'Debt Financing Calculations'!F44))</f>
        <v/>
      </c>
      <c r="AA95" s="185" t="str">
        <f t="shared" si="17"/>
        <v/>
      </c>
      <c r="AB95" s="185" t="str">
        <f t="shared" si="23"/>
        <v/>
      </c>
      <c r="AC95" s="938" t="str">
        <f t="shared" si="18"/>
        <v/>
      </c>
      <c r="AD95" s="132"/>
      <c r="AE95" s="942" t="str">
        <f t="shared" si="19"/>
        <v/>
      </c>
      <c r="AF95" s="938" t="str">
        <f t="shared" si="20"/>
        <v/>
      </c>
    </row>
    <row r="96" spans="1:32" x14ac:dyDescent="0.25">
      <c r="A96" s="56" t="str">
        <f t="shared" si="21"/>
        <v/>
      </c>
      <c r="B96" s="183" t="str">
        <f>IF(MAX($B$65:B95)&lt;(construct+anal_period),B95+1,"")</f>
        <v/>
      </c>
      <c r="C96" s="183" t="str">
        <f t="shared" si="22"/>
        <v/>
      </c>
      <c r="D96" s="183" t="str">
        <f t="shared" si="1"/>
        <v/>
      </c>
      <c r="E96" s="184" t="str">
        <f t="shared" si="2"/>
        <v/>
      </c>
      <c r="F96" s="57" t="str">
        <f t="shared" si="3"/>
        <v/>
      </c>
      <c r="G96" s="951"/>
      <c r="H96" s="960" t="str">
        <f t="shared" si="24"/>
        <v/>
      </c>
      <c r="I96" s="185" t="str">
        <f>IF(OR(C96&lt;0,C96=""),"",-E96*INDEX('Replacement Costs'!$A$16:$H$57,MATCH(C96,'Replacement Costs'!$C$16:$C$57,0),MATCH("Total Yearly Replacement Costs",'Replacement Costs'!$A$16:$H$16,0)))</f>
        <v/>
      </c>
      <c r="J96" s="185" t="str">
        <f>IF(AND(C96&gt;=1,C96&lt;anal_period),WorkingCap*SUM(N96:R96)-WorkingCap*SUM(N95:R95),IF(C96&lt;0,0,IF(B96="","",-SUM(J$65:J95))))</f>
        <v/>
      </c>
      <c r="K96" s="185" t="str">
        <f t="shared" si="4"/>
        <v/>
      </c>
      <c r="L96" s="185" t="str">
        <f t="shared" si="5"/>
        <v/>
      </c>
      <c r="M96" s="185" t="str">
        <f t="shared" si="6"/>
        <v/>
      </c>
      <c r="N96" s="185" t="str">
        <f t="shared" si="7"/>
        <v/>
      </c>
      <c r="O96" s="185" t="str">
        <f t="shared" si="8"/>
        <v/>
      </c>
      <c r="P96" s="185" t="str">
        <f t="shared" si="9"/>
        <v/>
      </c>
      <c r="Q96" s="185" t="str">
        <f t="shared" si="10"/>
        <v/>
      </c>
      <c r="R96" s="185" t="str">
        <f t="shared" si="11"/>
        <v/>
      </c>
      <c r="S96" s="185" t="str">
        <f>IF(B96="","",IF($B$31=0,"",-'Debt Financing Calculations'!E45))</f>
        <v/>
      </c>
      <c r="T96" s="185" t="str">
        <f t="shared" si="12"/>
        <v/>
      </c>
      <c r="U96" s="185" t="str">
        <f>IF(C96="","",IF(C96&lt;-1,0,IF(C96=anal_period,-LOOKUP(C96,depr_yr,depr_cost)-Depreciation!$C$141-Depreciation!$B$166,-LOOKUP(C96,depr_yr,depr_cost))))</f>
        <v/>
      </c>
      <c r="V96" s="185" t="str">
        <f t="shared" si="13"/>
        <v/>
      </c>
      <c r="W96" s="186" t="str">
        <f t="shared" si="14"/>
        <v/>
      </c>
      <c r="X96" s="185" t="str">
        <f t="shared" si="15"/>
        <v/>
      </c>
      <c r="Y96" s="185" t="str">
        <f t="shared" si="16"/>
        <v/>
      </c>
      <c r="Z96" s="185" t="str">
        <f>IF(C96="","",IF($B$31=0,"",-'Debt Financing Calculations'!F45))</f>
        <v/>
      </c>
      <c r="AA96" s="185" t="str">
        <f t="shared" si="17"/>
        <v/>
      </c>
      <c r="AB96" s="185" t="str">
        <f t="shared" si="23"/>
        <v/>
      </c>
      <c r="AC96" s="938" t="str">
        <f t="shared" si="18"/>
        <v/>
      </c>
      <c r="AD96" s="132"/>
      <c r="AE96" s="942" t="str">
        <f t="shared" si="19"/>
        <v/>
      </c>
      <c r="AF96" s="938" t="str">
        <f t="shared" si="20"/>
        <v/>
      </c>
    </row>
    <row r="97" spans="1:32" x14ac:dyDescent="0.25">
      <c r="A97" s="56" t="str">
        <f t="shared" si="21"/>
        <v/>
      </c>
      <c r="B97" s="183" t="str">
        <f>IF(MAX($B$65:B96)&lt;(construct+anal_period),B96+1,"")</f>
        <v/>
      </c>
      <c r="C97" s="183" t="str">
        <f t="shared" si="22"/>
        <v/>
      </c>
      <c r="D97" s="183" t="str">
        <f t="shared" ref="D97:D113" si="25">IF(C97="","",IF(C97&lt;=plant_life,C97,IF(D96=plant_life,1,D96+1)))</f>
        <v/>
      </c>
      <c r="E97" s="184" t="str">
        <f t="shared" ref="E97:E113" si="26">IF(C97="","",(1+inflation_rate)^(A97-$B$25))</f>
        <v/>
      </c>
      <c r="F97" s="57" t="str">
        <f t="shared" ref="F97:F113" si="27">IF(C97="","",IF(C97&lt;0,0,IF(AND(C97=1,start_time&lt;1),E97*(H2_price_nominal*output_kgyear*start_time*percnt_revs+H2_price_nominal*output_kgyear*(1-start_time)),IF(C97&lt;=start_time,H2_price_nominal*E97*output_kgyear*percnt_revs,H2_price_nominal*output_kgyear*E97))))</f>
        <v/>
      </c>
      <c r="G97" s="951"/>
      <c r="H97" s="960" t="str">
        <f t="shared" si="24"/>
        <v/>
      </c>
      <c r="I97" s="185" t="str">
        <f>IF(OR(C97&lt;0,C97=""),"",-E97*INDEX('Replacement Costs'!$A$16:$H$57,MATCH(C97,'Replacement Costs'!$C$16:$C$57,0),MATCH("Total Yearly Replacement Costs",'Replacement Costs'!$A$16:$H$16,0)))</f>
        <v/>
      </c>
      <c r="J97" s="185" t="str">
        <f>IF(AND(C97&gt;=1,C97&lt;anal_period),WorkingCap*SUM(N97:R97)-WorkingCap*SUM(N96:R96),IF(C97&lt;0,0,IF(B97="","",-SUM(J$65:J96))))</f>
        <v/>
      </c>
      <c r="K97" s="185" t="str">
        <f t="shared" ref="K97:K113" si="28">IF(C97=-construct,-E97*non_dep_infl,"")</f>
        <v/>
      </c>
      <c r="L97" s="185" t="str">
        <f t="shared" ref="L97:L113" si="29">IF(C97=anal_period,salvage*E97,"")</f>
        <v/>
      </c>
      <c r="M97" s="185" t="str">
        <f t="shared" ref="M97:M113" si="30">IF(D97=plant_life,-E97*decom,"")</f>
        <v/>
      </c>
      <c r="N97" s="185" t="str">
        <f t="shared" ref="N97:N113" si="31">IF(C97="","",IF(C97&lt;0,0,IF(AND(C97=1,start_time&lt;1),-(inflated_fixed*percnt_fixed*start_time+(inflated_fixed*(1-start_time))),IF(C97&lt;=start_time,-inflated_fixed*percnt_fixed*E97,-inflated_fixed*E97))))</f>
        <v/>
      </c>
      <c r="O97" s="185" t="str">
        <f t="shared" ref="O97:O109" si="32">IF(C97="","",IF(C97&lt;0,0,IF(AND(C97=1,start_time&lt;1),-(SUM(B171:E171)*output_kgyear*E97*percnt_var*start_time+SUM(B171:E171)*output_kgyear*E97*(1-start_time)),IF(C97&lt;=start_time,-SUM(B171:E171)*output_kgyear*E97*percnt_var,-SUM(B171:E171)*output_kgyear*E97))))</f>
        <v/>
      </c>
      <c r="P97" s="185" t="str">
        <f t="shared" ref="P97:P113" si="33">IF(C97="","",IF(C97&lt;0,0,IF(AND(C97=1,start_time&lt;1),-(inflated_otherraw*E97*percnt_var*start_time+inflated_otherraw*E97*(1-start_time)),IF(C97&lt;=start_time,-inflated_otherraw*E97*percnt_var,-(inflated_otherraw*E97)))))</f>
        <v/>
      </c>
      <c r="Q97" s="185" t="str">
        <f t="shared" si="10"/>
        <v/>
      </c>
      <c r="R97" s="185" t="str">
        <f t="shared" ref="R97:R109"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
      </c>
      <c r="S97" s="185" t="str">
        <f>IF(B97="","",IF($B$31=0,"",-'Debt Financing Calculations'!E46))</f>
        <v/>
      </c>
      <c r="T97" s="185" t="str">
        <f t="shared" ref="T97:T113" si="35">IF(C97="","",F97+SUM(L97:S97))</f>
        <v/>
      </c>
      <c r="U97" s="185" t="str">
        <f>IF(C97="","",IF(C97&lt;-1,0,IF(C97=anal_period,-LOOKUP(C97,depr_yr,depr_cost)-Depreciation!$C$141-Depreciation!$B$166,-LOOKUP(C97,depr_yr,depr_cost))))</f>
        <v/>
      </c>
      <c r="V97" s="185" t="str">
        <f t="shared" ref="V97:V113" si="36">IF(C97="","",SUM(T97:U97))</f>
        <v/>
      </c>
      <c r="W97" s="186" t="str">
        <f t="shared" ref="W97:W113" si="37">IF(C97="","",$B$33)</f>
        <v/>
      </c>
      <c r="X97" s="185" t="str">
        <f t="shared" ref="X97:X113" si="38">IF(C97="","",tax_credit-(V97*W97 +Upstream_CO2_taxpYear + Proc_CO2_taxpYear))</f>
        <v/>
      </c>
      <c r="Y97" s="185" t="str">
        <f t="shared" ref="Y97:Y113" si="39">IF(C97="","",SUM(T97,X97))</f>
        <v/>
      </c>
      <c r="Z97" s="185" t="str">
        <f>IF(C97="","",IF($B$31=0,"",-'Debt Financing Calculations'!F46))</f>
        <v/>
      </c>
      <c r="AA97" s="185" t="str">
        <f t="shared" ref="AA97:AA113" si="40">IF(C97="","",SUM(H97,I97,J97,K97,T97,X97,Z97))</f>
        <v/>
      </c>
      <c r="AB97" s="185" t="str">
        <f t="shared" si="23"/>
        <v/>
      </c>
      <c r="AC97" s="938" t="str">
        <f t="shared" ref="AC97:AC113" si="41">IF(C97="","",SUM(H97,I97,J97,K97,T97,Z97))</f>
        <v/>
      </c>
      <c r="AD97" s="132"/>
      <c r="AE97" s="942" t="str">
        <f t="shared" ref="AE97:AE113" si="42">IF(C97="","",IF(C97&lt;0,0,IF(AND(C97=1,start_time&lt;1),(output_kgyear*start_time*percnt_revs+output_kgyear*(1-start_time)),IF(C97&lt;=start_time,output_kgyear*percnt_revs,output_kgyear))))</f>
        <v/>
      </c>
      <c r="AF97" s="938" t="str">
        <f t="shared" ref="AF97:AF113" si="43">IF(C97="","",tax_credit)</f>
        <v/>
      </c>
    </row>
    <row r="98" spans="1:32" x14ac:dyDescent="0.25">
      <c r="A98" s="56" t="str">
        <f t="shared" si="21"/>
        <v/>
      </c>
      <c r="B98" s="183" t="str">
        <f>IF(MAX($B$65:B97)&lt;(construct+anal_period),B97+1,"")</f>
        <v/>
      </c>
      <c r="C98" s="183" t="str">
        <f t="shared" si="22"/>
        <v/>
      </c>
      <c r="D98" s="183" t="str">
        <f t="shared" si="25"/>
        <v/>
      </c>
      <c r="E98" s="184" t="str">
        <f t="shared" si="26"/>
        <v/>
      </c>
      <c r="F98" s="57" t="str">
        <f t="shared" si="27"/>
        <v/>
      </c>
      <c r="G98" s="951"/>
      <c r="H98" s="960" t="str">
        <f t="shared" si="24"/>
        <v/>
      </c>
      <c r="I98" s="185" t="str">
        <f>IF(OR(C98&lt;0,C98=""),"",-E98*INDEX('Replacement Costs'!$A$16:$H$57,MATCH(C98,'Replacement Costs'!$C$16:$C$57,0),MATCH("Total Yearly Replacement Costs",'Replacement Costs'!$A$16:$H$16,0)))</f>
        <v/>
      </c>
      <c r="J98" s="185" t="str">
        <f>IF(AND(C98&gt;=1,C98&lt;anal_period),WorkingCap*SUM(N98:R98)-WorkingCap*SUM(N97:R97),IF(C98&lt;0,0,IF(B98="","",-SUM(J$65:J97))))</f>
        <v/>
      </c>
      <c r="K98" s="185" t="str">
        <f t="shared" si="28"/>
        <v/>
      </c>
      <c r="L98" s="185" t="str">
        <f t="shared" si="29"/>
        <v/>
      </c>
      <c r="M98" s="185" t="str">
        <f t="shared" si="30"/>
        <v/>
      </c>
      <c r="N98" s="185" t="str">
        <f t="shared" si="31"/>
        <v/>
      </c>
      <c r="O98" s="185" t="str">
        <f t="shared" si="32"/>
        <v/>
      </c>
      <c r="P98" s="185" t="str">
        <f t="shared" si="33"/>
        <v/>
      </c>
      <c r="Q98" s="185" t="str">
        <f t="shared" si="10"/>
        <v/>
      </c>
      <c r="R98" s="185" t="str">
        <f t="shared" si="34"/>
        <v/>
      </c>
      <c r="S98" s="185" t="str">
        <f>IF(B98="","",IF($B$31=0,"",-'Debt Financing Calculations'!E47))</f>
        <v/>
      </c>
      <c r="T98" s="185" t="str">
        <f t="shared" si="35"/>
        <v/>
      </c>
      <c r="U98" s="185" t="str">
        <f>IF(C98="","",IF(C98&lt;-1,0,IF(C98=anal_period,-LOOKUP(C98,depr_yr,depr_cost)-Depreciation!$C$141-Depreciation!$B$166,-LOOKUP(C98,depr_yr,depr_cost))))</f>
        <v/>
      </c>
      <c r="V98" s="185" t="str">
        <f t="shared" si="36"/>
        <v/>
      </c>
      <c r="W98" s="186" t="str">
        <f t="shared" si="37"/>
        <v/>
      </c>
      <c r="X98" s="185" t="str">
        <f t="shared" si="38"/>
        <v/>
      </c>
      <c r="Y98" s="185" t="str">
        <f t="shared" si="39"/>
        <v/>
      </c>
      <c r="Z98" s="185" t="str">
        <f>IF(C98="","",IF($B$31=0,"",-'Debt Financing Calculations'!F47))</f>
        <v/>
      </c>
      <c r="AA98" s="185" t="str">
        <f t="shared" si="40"/>
        <v/>
      </c>
      <c r="AB98" s="185" t="str">
        <f t="shared" si="23"/>
        <v/>
      </c>
      <c r="AC98" s="938" t="str">
        <f t="shared" si="41"/>
        <v/>
      </c>
      <c r="AD98" s="132"/>
      <c r="AE98" s="942" t="str">
        <f t="shared" si="42"/>
        <v/>
      </c>
      <c r="AF98" s="938" t="str">
        <f t="shared" si="43"/>
        <v/>
      </c>
    </row>
    <row r="99" spans="1:32" x14ac:dyDescent="0.25">
      <c r="A99" s="56" t="str">
        <f t="shared" si="21"/>
        <v/>
      </c>
      <c r="B99" s="183" t="str">
        <f>IF(MAX($B$65:B98)&lt;(construct+anal_period),B98+1,"")</f>
        <v/>
      </c>
      <c r="C99" s="183" t="str">
        <f t="shared" si="22"/>
        <v/>
      </c>
      <c r="D99" s="183" t="str">
        <f t="shared" si="25"/>
        <v/>
      </c>
      <c r="E99" s="184" t="str">
        <f t="shared" si="26"/>
        <v/>
      </c>
      <c r="F99" s="57" t="str">
        <f t="shared" si="27"/>
        <v/>
      </c>
      <c r="G99" s="951"/>
      <c r="H99" s="960" t="str">
        <f t="shared" si="24"/>
        <v/>
      </c>
      <c r="I99" s="185" t="str">
        <f>IF(OR(C99&lt;0,C99=""),"",-E99*INDEX('Replacement Costs'!$A$16:$H$57,MATCH(C99,'Replacement Costs'!$C$16:$C$57,0),MATCH("Total Yearly Replacement Costs",'Replacement Costs'!$A$16:$H$16,0)))</f>
        <v/>
      </c>
      <c r="J99" s="185" t="str">
        <f>IF(AND(C99&gt;=1,C99&lt;anal_period),WorkingCap*SUM(N99:R99)-WorkingCap*SUM(N98:R98),IF(C99&lt;0,0,IF(B99="","",-SUM(J$65:J98))))</f>
        <v/>
      </c>
      <c r="K99" s="185" t="str">
        <f t="shared" si="28"/>
        <v/>
      </c>
      <c r="L99" s="185" t="str">
        <f t="shared" si="29"/>
        <v/>
      </c>
      <c r="M99" s="185" t="str">
        <f t="shared" si="30"/>
        <v/>
      </c>
      <c r="N99" s="185" t="str">
        <f t="shared" si="31"/>
        <v/>
      </c>
      <c r="O99" s="185" t="str">
        <f t="shared" si="32"/>
        <v/>
      </c>
      <c r="P99" s="185" t="str">
        <f t="shared" si="33"/>
        <v/>
      </c>
      <c r="Q99" s="185" t="str">
        <f t="shared" si="10"/>
        <v/>
      </c>
      <c r="R99" s="185" t="str">
        <f t="shared" si="34"/>
        <v/>
      </c>
      <c r="S99" s="185" t="str">
        <f>IF(B99="","",IF($B$31=0,"",-'Debt Financing Calculations'!E48))</f>
        <v/>
      </c>
      <c r="T99" s="185" t="str">
        <f t="shared" si="35"/>
        <v/>
      </c>
      <c r="U99" s="185" t="str">
        <f>IF(C99="","",IF(C99&lt;-1,0,IF(C99=anal_period,-LOOKUP(C99,depr_yr,depr_cost)-Depreciation!$C$141-Depreciation!$B$166,-LOOKUP(C99,depr_yr,depr_cost))))</f>
        <v/>
      </c>
      <c r="V99" s="185" t="str">
        <f t="shared" si="36"/>
        <v/>
      </c>
      <c r="W99" s="186" t="str">
        <f t="shared" si="37"/>
        <v/>
      </c>
      <c r="X99" s="185" t="str">
        <f t="shared" si="38"/>
        <v/>
      </c>
      <c r="Y99" s="185" t="str">
        <f t="shared" si="39"/>
        <v/>
      </c>
      <c r="Z99" s="185" t="str">
        <f>IF(C99="","",IF($B$31=0,"",-'Debt Financing Calculations'!F48))</f>
        <v/>
      </c>
      <c r="AA99" s="185" t="str">
        <f t="shared" si="40"/>
        <v/>
      </c>
      <c r="AB99" s="185" t="str">
        <f t="shared" si="23"/>
        <v/>
      </c>
      <c r="AC99" s="938" t="str">
        <f t="shared" si="41"/>
        <v/>
      </c>
      <c r="AD99" s="132"/>
      <c r="AE99" s="942" t="str">
        <f t="shared" si="42"/>
        <v/>
      </c>
      <c r="AF99" s="938" t="str">
        <f t="shared" si="43"/>
        <v/>
      </c>
    </row>
    <row r="100" spans="1:32" x14ac:dyDescent="0.25">
      <c r="A100" s="56" t="str">
        <f t="shared" si="21"/>
        <v/>
      </c>
      <c r="B100" s="183" t="str">
        <f>IF(MAX($B$65:B99)&lt;(construct+anal_period),B99+1,"")</f>
        <v/>
      </c>
      <c r="C100" s="183" t="str">
        <f t="shared" si="22"/>
        <v/>
      </c>
      <c r="D100" s="183" t="str">
        <f t="shared" si="25"/>
        <v/>
      </c>
      <c r="E100" s="184" t="str">
        <f t="shared" si="26"/>
        <v/>
      </c>
      <c r="F100" s="57" t="str">
        <f t="shared" si="27"/>
        <v/>
      </c>
      <c r="G100" s="951"/>
      <c r="H100" s="960" t="str">
        <f t="shared" si="24"/>
        <v/>
      </c>
      <c r="I100" s="185" t="str">
        <f>IF(OR(C100&lt;0,C100=""),"",-E100*INDEX('Replacement Costs'!$A$16:$H$57,MATCH(C100,'Replacement Costs'!$C$16:$C$57,0),MATCH("Total Yearly Replacement Costs",'Replacement Costs'!$A$16:$H$16,0)))</f>
        <v/>
      </c>
      <c r="J100" s="185" t="str">
        <f>IF(AND(C100&gt;=1,C100&lt;anal_period),WorkingCap*SUM(N100:R100)-WorkingCap*SUM(N99:R99),IF(C100&lt;0,0,IF(B100="","",-SUM(J$65:J99))))</f>
        <v/>
      </c>
      <c r="K100" s="185" t="str">
        <f t="shared" si="28"/>
        <v/>
      </c>
      <c r="L100" s="185" t="str">
        <f t="shared" si="29"/>
        <v/>
      </c>
      <c r="M100" s="185" t="str">
        <f t="shared" si="30"/>
        <v/>
      </c>
      <c r="N100" s="185" t="str">
        <f t="shared" si="31"/>
        <v/>
      </c>
      <c r="O100" s="185" t="str">
        <f t="shared" si="32"/>
        <v/>
      </c>
      <c r="P100" s="185" t="str">
        <f t="shared" si="33"/>
        <v/>
      </c>
      <c r="Q100" s="185" t="str">
        <f t="shared" si="10"/>
        <v/>
      </c>
      <c r="R100" s="185" t="str">
        <f t="shared" si="34"/>
        <v/>
      </c>
      <c r="S100" s="185" t="str">
        <f>IF(B100="","",IF($B$31=0,"",-'Debt Financing Calculations'!E49))</f>
        <v/>
      </c>
      <c r="T100" s="185" t="str">
        <f t="shared" si="35"/>
        <v/>
      </c>
      <c r="U100" s="185" t="str">
        <f>IF(C100="","",IF(C100&lt;-1,0,IF(C100=anal_period,-LOOKUP(C100,depr_yr,depr_cost)-Depreciation!$C$141-Depreciation!$B$166,-LOOKUP(C100,depr_yr,depr_cost))))</f>
        <v/>
      </c>
      <c r="V100" s="185" t="str">
        <f t="shared" si="36"/>
        <v/>
      </c>
      <c r="W100" s="186" t="str">
        <f t="shared" si="37"/>
        <v/>
      </c>
      <c r="X100" s="185" t="str">
        <f t="shared" si="38"/>
        <v/>
      </c>
      <c r="Y100" s="185" t="str">
        <f t="shared" si="39"/>
        <v/>
      </c>
      <c r="Z100" s="185" t="str">
        <f>IF(C100="","",IF($B$31=0,"",-'Debt Financing Calculations'!F49))</f>
        <v/>
      </c>
      <c r="AA100" s="185" t="str">
        <f t="shared" si="40"/>
        <v/>
      </c>
      <c r="AB100" s="185" t="str">
        <f t="shared" si="23"/>
        <v/>
      </c>
      <c r="AC100" s="938" t="str">
        <f t="shared" si="41"/>
        <v/>
      </c>
      <c r="AD100" s="132"/>
      <c r="AE100" s="942" t="str">
        <f t="shared" si="42"/>
        <v/>
      </c>
      <c r="AF100" s="938" t="str">
        <f t="shared" si="43"/>
        <v/>
      </c>
    </row>
    <row r="101" spans="1:32" x14ac:dyDescent="0.25">
      <c r="A101" s="56" t="str">
        <f t="shared" si="21"/>
        <v/>
      </c>
      <c r="B101" s="183" t="str">
        <f>IF(MAX($B$65:B100)&lt;(construct+anal_period),B100+1,"")</f>
        <v/>
      </c>
      <c r="C101" s="183" t="str">
        <f t="shared" si="22"/>
        <v/>
      </c>
      <c r="D101" s="183" t="str">
        <f t="shared" si="25"/>
        <v/>
      </c>
      <c r="E101" s="184" t="str">
        <f t="shared" si="26"/>
        <v/>
      </c>
      <c r="F101" s="57" t="str">
        <f t="shared" si="27"/>
        <v/>
      </c>
      <c r="G101" s="951"/>
      <c r="H101" s="960" t="str">
        <f t="shared" si="24"/>
        <v/>
      </c>
      <c r="I101" s="185" t="str">
        <f>IF(OR(C101&lt;0,C101=""),"",-E101*INDEX('Replacement Costs'!$A$16:$H$57,MATCH(C101,'Replacement Costs'!$C$16:$C$57,0),MATCH("Total Yearly Replacement Costs",'Replacement Costs'!$A$16:$H$16,0)))</f>
        <v/>
      </c>
      <c r="J101" s="185" t="str">
        <f>IF(AND(C101&gt;=1,C101&lt;anal_period),WorkingCap*SUM(N101:R101)-WorkingCap*SUM(N100:R100),IF(C101&lt;0,0,IF(B101="","",-SUM(J$65:J100))))</f>
        <v/>
      </c>
      <c r="K101" s="185" t="str">
        <f t="shared" si="28"/>
        <v/>
      </c>
      <c r="L101" s="185" t="str">
        <f t="shared" si="29"/>
        <v/>
      </c>
      <c r="M101" s="185" t="str">
        <f t="shared" si="30"/>
        <v/>
      </c>
      <c r="N101" s="185" t="str">
        <f t="shared" si="31"/>
        <v/>
      </c>
      <c r="O101" s="185" t="str">
        <f t="shared" si="32"/>
        <v/>
      </c>
      <c r="P101" s="185" t="str">
        <f t="shared" si="33"/>
        <v/>
      </c>
      <c r="Q101" s="185" t="str">
        <f t="shared" si="10"/>
        <v/>
      </c>
      <c r="R101" s="185" t="str">
        <f t="shared" si="34"/>
        <v/>
      </c>
      <c r="S101" s="185" t="str">
        <f>IF(B101="","",IF($B$31=0,"",-'Debt Financing Calculations'!E50))</f>
        <v/>
      </c>
      <c r="T101" s="185" t="str">
        <f t="shared" si="35"/>
        <v/>
      </c>
      <c r="U101" s="185" t="str">
        <f>IF(C101="","",IF(C101&lt;-1,0,IF(C101=anal_period,-LOOKUP(C101,depr_yr,depr_cost)-Depreciation!$C$141-Depreciation!$B$166,-LOOKUP(C101,depr_yr,depr_cost))))</f>
        <v/>
      </c>
      <c r="V101" s="185" t="str">
        <f t="shared" si="36"/>
        <v/>
      </c>
      <c r="W101" s="186" t="str">
        <f t="shared" si="37"/>
        <v/>
      </c>
      <c r="X101" s="185" t="str">
        <f t="shared" si="38"/>
        <v/>
      </c>
      <c r="Y101" s="185" t="str">
        <f t="shared" si="39"/>
        <v/>
      </c>
      <c r="Z101" s="185" t="str">
        <f>IF(C101="","",IF($B$31=0,"",-'Debt Financing Calculations'!F50))</f>
        <v/>
      </c>
      <c r="AA101" s="185" t="str">
        <f t="shared" si="40"/>
        <v/>
      </c>
      <c r="AB101" s="185" t="str">
        <f t="shared" si="23"/>
        <v/>
      </c>
      <c r="AC101" s="938" t="str">
        <f t="shared" si="41"/>
        <v/>
      </c>
      <c r="AD101" s="132"/>
      <c r="AE101" s="942" t="str">
        <f t="shared" si="42"/>
        <v/>
      </c>
      <c r="AF101" s="938" t="str">
        <f t="shared" si="43"/>
        <v/>
      </c>
    </row>
    <row r="102" spans="1:32" x14ac:dyDescent="0.25">
      <c r="A102" s="56" t="str">
        <f t="shared" si="21"/>
        <v/>
      </c>
      <c r="B102" s="183" t="str">
        <f>IF(MAX($B$65:B101)&lt;(construct+anal_period),B101+1,"")</f>
        <v/>
      </c>
      <c r="C102" s="183" t="str">
        <f t="shared" si="22"/>
        <v/>
      </c>
      <c r="D102" s="183" t="str">
        <f t="shared" si="25"/>
        <v/>
      </c>
      <c r="E102" s="184" t="str">
        <f t="shared" si="26"/>
        <v/>
      </c>
      <c r="F102" s="57" t="str">
        <f t="shared" si="27"/>
        <v/>
      </c>
      <c r="G102" s="951"/>
      <c r="H102" s="960" t="str">
        <f t="shared" si="24"/>
        <v/>
      </c>
      <c r="I102" s="185" t="str">
        <f>IF(OR(C102&lt;0,C102=""),"",-E102*INDEX('Replacement Costs'!$A$16:$H$57,MATCH(C102,'Replacement Costs'!$C$16:$C$57,0),MATCH("Total Yearly Replacement Costs",'Replacement Costs'!$A$16:$H$16,0)))</f>
        <v/>
      </c>
      <c r="J102" s="185" t="str">
        <f>IF(AND(C102&gt;=1,C102&lt;anal_period),WorkingCap*SUM(N102:R102)-WorkingCap*SUM(N101:R101),IF(C102&lt;0,0,IF(B102="","",-SUM(J$65:J101))))</f>
        <v/>
      </c>
      <c r="K102" s="185" t="str">
        <f t="shared" si="28"/>
        <v/>
      </c>
      <c r="L102" s="185" t="str">
        <f t="shared" si="29"/>
        <v/>
      </c>
      <c r="M102" s="185" t="str">
        <f t="shared" si="30"/>
        <v/>
      </c>
      <c r="N102" s="185" t="str">
        <f t="shared" si="31"/>
        <v/>
      </c>
      <c r="O102" s="185" t="str">
        <f t="shared" si="32"/>
        <v/>
      </c>
      <c r="P102" s="185" t="str">
        <f t="shared" si="33"/>
        <v/>
      </c>
      <c r="Q102" s="185" t="str">
        <f t="shared" si="10"/>
        <v/>
      </c>
      <c r="R102" s="185" t="str">
        <f t="shared" si="34"/>
        <v/>
      </c>
      <c r="S102" s="185" t="str">
        <f>IF(B102="","",IF($B$31=0,"",-'Debt Financing Calculations'!E51))</f>
        <v/>
      </c>
      <c r="T102" s="185" t="str">
        <f t="shared" si="35"/>
        <v/>
      </c>
      <c r="U102" s="185" t="str">
        <f>IF(C102="","",IF(C102&lt;-1,0,IF(C102=anal_period,-LOOKUP(C102,depr_yr,depr_cost)-Depreciation!$C$141-Depreciation!$B$166,-LOOKUP(C102,depr_yr,depr_cost))))</f>
        <v/>
      </c>
      <c r="V102" s="185" t="str">
        <f t="shared" si="36"/>
        <v/>
      </c>
      <c r="W102" s="186" t="str">
        <f t="shared" si="37"/>
        <v/>
      </c>
      <c r="X102" s="185" t="str">
        <f t="shared" si="38"/>
        <v/>
      </c>
      <c r="Y102" s="185" t="str">
        <f t="shared" si="39"/>
        <v/>
      </c>
      <c r="Z102" s="185" t="str">
        <f>IF(C102="","",IF($B$31=0,"",-'Debt Financing Calculations'!F51))</f>
        <v/>
      </c>
      <c r="AA102" s="185" t="str">
        <f t="shared" si="40"/>
        <v/>
      </c>
      <c r="AB102" s="185" t="str">
        <f t="shared" si="23"/>
        <v/>
      </c>
      <c r="AC102" s="938" t="str">
        <f t="shared" si="41"/>
        <v/>
      </c>
      <c r="AD102" s="132"/>
      <c r="AE102" s="942" t="str">
        <f t="shared" si="42"/>
        <v/>
      </c>
      <c r="AF102" s="938" t="str">
        <f t="shared" si="43"/>
        <v/>
      </c>
    </row>
    <row r="103" spans="1:32" x14ac:dyDescent="0.25">
      <c r="A103" s="56" t="str">
        <f t="shared" si="21"/>
        <v/>
      </c>
      <c r="B103" s="183" t="str">
        <f>IF(MAX($B$65:B102)&lt;(construct+anal_period),B102+1,"")</f>
        <v/>
      </c>
      <c r="C103" s="183" t="str">
        <f t="shared" si="22"/>
        <v/>
      </c>
      <c r="D103" s="183" t="str">
        <f t="shared" si="25"/>
        <v/>
      </c>
      <c r="E103" s="184" t="str">
        <f t="shared" si="26"/>
        <v/>
      </c>
      <c r="F103" s="57" t="str">
        <f t="shared" si="27"/>
        <v/>
      </c>
      <c r="G103" s="951"/>
      <c r="H103" s="960" t="str">
        <f t="shared" si="24"/>
        <v/>
      </c>
      <c r="I103" s="185" t="str">
        <f>IF(OR(C103&lt;0,C103=""),"",-E103*INDEX('Replacement Costs'!$A$16:$H$57,MATCH(C103,'Replacement Costs'!$C$16:$C$57,0),MATCH("Total Yearly Replacement Costs",'Replacement Costs'!$A$16:$H$16,0)))</f>
        <v/>
      </c>
      <c r="J103" s="185" t="str">
        <f>IF(AND(C103&gt;=1,C103&lt;anal_period),WorkingCap*SUM(N103:R103)-WorkingCap*SUM(N102:R102),IF(C103&lt;0,0,IF(B103="","",-SUM(J$65:J102))))</f>
        <v/>
      </c>
      <c r="K103" s="185" t="str">
        <f t="shared" si="28"/>
        <v/>
      </c>
      <c r="L103" s="185" t="str">
        <f t="shared" si="29"/>
        <v/>
      </c>
      <c r="M103" s="185" t="str">
        <f t="shared" si="30"/>
        <v/>
      </c>
      <c r="N103" s="185" t="str">
        <f t="shared" si="31"/>
        <v/>
      </c>
      <c r="O103" s="185" t="str">
        <f t="shared" si="32"/>
        <v/>
      </c>
      <c r="P103" s="185" t="str">
        <f t="shared" si="33"/>
        <v/>
      </c>
      <c r="Q103" s="185" t="str">
        <f t="shared" si="10"/>
        <v/>
      </c>
      <c r="R103" s="185" t="str">
        <f t="shared" si="34"/>
        <v/>
      </c>
      <c r="S103" s="185" t="str">
        <f>IF(B103="","",IF($B$31=0,"",-'Debt Financing Calculations'!E52))</f>
        <v/>
      </c>
      <c r="T103" s="185" t="str">
        <f t="shared" si="35"/>
        <v/>
      </c>
      <c r="U103" s="185" t="str">
        <f>IF(C103="","",IF(C103&lt;-1,0,IF(C103=anal_period,-LOOKUP(C103,depr_yr,depr_cost)-Depreciation!$C$141-Depreciation!$B$166,-LOOKUP(C103,depr_yr,depr_cost))))</f>
        <v/>
      </c>
      <c r="V103" s="185" t="str">
        <f t="shared" si="36"/>
        <v/>
      </c>
      <c r="W103" s="186" t="str">
        <f t="shared" si="37"/>
        <v/>
      </c>
      <c r="X103" s="185" t="str">
        <f t="shared" si="38"/>
        <v/>
      </c>
      <c r="Y103" s="185" t="str">
        <f t="shared" si="39"/>
        <v/>
      </c>
      <c r="Z103" s="185" t="str">
        <f>IF(C103="","",IF($B$31=0,"",-'Debt Financing Calculations'!F52))</f>
        <v/>
      </c>
      <c r="AA103" s="185" t="str">
        <f t="shared" si="40"/>
        <v/>
      </c>
      <c r="AB103" s="185" t="str">
        <f t="shared" si="23"/>
        <v/>
      </c>
      <c r="AC103" s="938" t="str">
        <f t="shared" si="41"/>
        <v/>
      </c>
      <c r="AD103" s="132"/>
      <c r="AE103" s="942" t="str">
        <f t="shared" si="42"/>
        <v/>
      </c>
      <c r="AF103" s="938" t="str">
        <f t="shared" si="43"/>
        <v/>
      </c>
    </row>
    <row r="104" spans="1:32" x14ac:dyDescent="0.25">
      <c r="A104" s="56" t="str">
        <f t="shared" si="21"/>
        <v/>
      </c>
      <c r="B104" s="183" t="str">
        <f>IF(MAX($B$65:B103)&lt;(construct+anal_period),B103+1,"")</f>
        <v/>
      </c>
      <c r="C104" s="183" t="str">
        <f t="shared" si="22"/>
        <v/>
      </c>
      <c r="D104" s="183" t="str">
        <f t="shared" si="25"/>
        <v/>
      </c>
      <c r="E104" s="184" t="str">
        <f t="shared" si="26"/>
        <v/>
      </c>
      <c r="F104" s="57" t="str">
        <f t="shared" si="27"/>
        <v/>
      </c>
      <c r="G104" s="951"/>
      <c r="H104" s="960" t="str">
        <f t="shared" si="24"/>
        <v/>
      </c>
      <c r="I104" s="185" t="str">
        <f>IF(OR(C104&lt;0,C104=""),"",-E104*INDEX('Replacement Costs'!$A$16:$H$57,MATCH(C104,'Replacement Costs'!$C$16:$C$57,0),MATCH("Total Yearly Replacement Costs",'Replacement Costs'!$A$16:$H$16,0)))</f>
        <v/>
      </c>
      <c r="J104" s="185" t="str">
        <f>IF(AND(C104&gt;=1,C104&lt;anal_period),WorkingCap*SUM(N104:R104)-WorkingCap*SUM(N103:R103),IF(C104&lt;0,0,IF(B104="","",-SUM(J$65:J103))))</f>
        <v/>
      </c>
      <c r="K104" s="185" t="str">
        <f t="shared" si="28"/>
        <v/>
      </c>
      <c r="L104" s="185" t="str">
        <f t="shared" si="29"/>
        <v/>
      </c>
      <c r="M104" s="185" t="str">
        <f t="shared" si="30"/>
        <v/>
      </c>
      <c r="N104" s="185" t="str">
        <f t="shared" si="31"/>
        <v/>
      </c>
      <c r="O104" s="185" t="str">
        <f t="shared" si="32"/>
        <v/>
      </c>
      <c r="P104" s="185" t="str">
        <f t="shared" si="33"/>
        <v/>
      </c>
      <c r="Q104" s="185" t="str">
        <f t="shared" si="10"/>
        <v/>
      </c>
      <c r="R104" s="185" t="str">
        <f t="shared" si="34"/>
        <v/>
      </c>
      <c r="S104" s="185" t="str">
        <f>IF(B104="","",IF($B$31=0,"",-'Debt Financing Calculations'!E53))</f>
        <v/>
      </c>
      <c r="T104" s="185" t="str">
        <f t="shared" si="35"/>
        <v/>
      </c>
      <c r="U104" s="185" t="str">
        <f>IF(C104="","",IF(C104&lt;-1,0,IF(C104=anal_period,-LOOKUP(C104,depr_yr,depr_cost)-Depreciation!$C$141-Depreciation!$B$166,-LOOKUP(C104,depr_yr,depr_cost))))</f>
        <v/>
      </c>
      <c r="V104" s="185" t="str">
        <f t="shared" si="36"/>
        <v/>
      </c>
      <c r="W104" s="186" t="str">
        <f t="shared" si="37"/>
        <v/>
      </c>
      <c r="X104" s="185" t="str">
        <f t="shared" si="38"/>
        <v/>
      </c>
      <c r="Y104" s="185" t="str">
        <f t="shared" si="39"/>
        <v/>
      </c>
      <c r="Z104" s="185" t="str">
        <f>IF(C104="","",IF($B$31=0,"",-'Debt Financing Calculations'!F53))</f>
        <v/>
      </c>
      <c r="AA104" s="185" t="str">
        <f t="shared" si="40"/>
        <v/>
      </c>
      <c r="AB104" s="185" t="str">
        <f t="shared" si="23"/>
        <v/>
      </c>
      <c r="AC104" s="938" t="str">
        <f t="shared" si="41"/>
        <v/>
      </c>
      <c r="AD104" s="132"/>
      <c r="AE104" s="942" t="str">
        <f t="shared" si="42"/>
        <v/>
      </c>
      <c r="AF104" s="938" t="str">
        <f t="shared" si="43"/>
        <v/>
      </c>
    </row>
    <row r="105" spans="1:32" x14ac:dyDescent="0.25">
      <c r="A105" s="56" t="str">
        <f t="shared" si="21"/>
        <v/>
      </c>
      <c r="B105" s="183" t="str">
        <f>IF(MAX($B$65:B104)&lt;(construct+anal_period),B104+1,"")</f>
        <v/>
      </c>
      <c r="C105" s="183" t="str">
        <f t="shared" si="22"/>
        <v/>
      </c>
      <c r="D105" s="183" t="str">
        <f t="shared" si="25"/>
        <v/>
      </c>
      <c r="E105" s="184" t="str">
        <f t="shared" si="26"/>
        <v/>
      </c>
      <c r="F105" s="57" t="str">
        <f t="shared" si="27"/>
        <v/>
      </c>
      <c r="G105" s="951"/>
      <c r="H105" s="960" t="str">
        <f t="shared" si="24"/>
        <v/>
      </c>
      <c r="I105" s="185" t="str">
        <f>IF(OR(C105&lt;0,C105=""),"",-E105*INDEX('Replacement Costs'!$A$16:$H$57,MATCH(C105,'Replacement Costs'!$C$16:$C$57,0),MATCH("Total Yearly Replacement Costs",'Replacement Costs'!$A$16:$H$16,0)))</f>
        <v/>
      </c>
      <c r="J105" s="185" t="str">
        <f>IF(AND(C105&gt;=1,C105&lt;anal_period),WorkingCap*SUM(N105:R105)-WorkingCap*SUM(N104:R104),IF(C105&lt;0,0,IF(B105="","",-SUM(J$65:J104))))</f>
        <v/>
      </c>
      <c r="K105" s="185" t="str">
        <f t="shared" si="28"/>
        <v/>
      </c>
      <c r="L105" s="185" t="str">
        <f t="shared" si="29"/>
        <v/>
      </c>
      <c r="M105" s="185" t="str">
        <f t="shared" si="30"/>
        <v/>
      </c>
      <c r="N105" s="185" t="str">
        <f t="shared" si="31"/>
        <v/>
      </c>
      <c r="O105" s="185" t="str">
        <f t="shared" si="32"/>
        <v/>
      </c>
      <c r="P105" s="185" t="str">
        <f t="shared" si="33"/>
        <v/>
      </c>
      <c r="Q105" s="185" t="str">
        <f t="shared" si="10"/>
        <v/>
      </c>
      <c r="R105" s="185" t="str">
        <f t="shared" si="34"/>
        <v/>
      </c>
      <c r="S105" s="185" t="str">
        <f>IF(B105="","",IF($B$31=0,"",-'Debt Financing Calculations'!E54))</f>
        <v/>
      </c>
      <c r="T105" s="185" t="str">
        <f t="shared" si="35"/>
        <v/>
      </c>
      <c r="U105" s="185" t="str">
        <f>IF(C105="","",IF(C105&lt;-1,0,IF(C105=anal_period,-LOOKUP(C105,depr_yr,depr_cost)-Depreciation!$C$141-Depreciation!$B$166,-LOOKUP(C105,depr_yr,depr_cost))))</f>
        <v/>
      </c>
      <c r="V105" s="185" t="str">
        <f t="shared" si="36"/>
        <v/>
      </c>
      <c r="W105" s="186" t="str">
        <f t="shared" si="37"/>
        <v/>
      </c>
      <c r="X105" s="185" t="str">
        <f t="shared" si="38"/>
        <v/>
      </c>
      <c r="Y105" s="185" t="str">
        <f t="shared" si="39"/>
        <v/>
      </c>
      <c r="Z105" s="185" t="str">
        <f>IF(C105="","",IF($B$31=0,"",-'Debt Financing Calculations'!F54))</f>
        <v/>
      </c>
      <c r="AA105" s="185" t="str">
        <f t="shared" si="40"/>
        <v/>
      </c>
      <c r="AB105" s="185" t="str">
        <f t="shared" si="23"/>
        <v/>
      </c>
      <c r="AC105" s="938" t="str">
        <f t="shared" si="41"/>
        <v/>
      </c>
      <c r="AD105" s="132"/>
      <c r="AE105" s="942" t="str">
        <f t="shared" si="42"/>
        <v/>
      </c>
      <c r="AF105" s="938" t="str">
        <f t="shared" si="43"/>
        <v/>
      </c>
    </row>
    <row r="106" spans="1:32" x14ac:dyDescent="0.25">
      <c r="A106" s="56" t="str">
        <f t="shared" si="21"/>
        <v/>
      </c>
      <c r="B106" s="183" t="str">
        <f>IF(MAX($B$65:B105)&lt;(construct+anal_period),B105+1,"")</f>
        <v/>
      </c>
      <c r="C106" s="183" t="str">
        <f t="shared" si="22"/>
        <v/>
      </c>
      <c r="D106" s="183" t="str">
        <f t="shared" si="25"/>
        <v/>
      </c>
      <c r="E106" s="184" t="str">
        <f t="shared" si="26"/>
        <v/>
      </c>
      <c r="F106" s="57" t="str">
        <f t="shared" si="27"/>
        <v/>
      </c>
      <c r="G106" s="951"/>
      <c r="H106" s="960" t="str">
        <f t="shared" si="24"/>
        <v/>
      </c>
      <c r="I106" s="185" t="str">
        <f>IF(OR(C106&lt;0,C106=""),"",-E106*INDEX('Replacement Costs'!$A$16:$H$57,MATCH(C106,'Replacement Costs'!$C$16:$C$57,0),MATCH("Total Yearly Replacement Costs",'Replacement Costs'!$A$16:$H$16,0)))</f>
        <v/>
      </c>
      <c r="J106" s="185" t="str">
        <f>IF(AND(C106&gt;=1,C106&lt;anal_period),WorkingCap*SUM(N106:R106)-WorkingCap*SUM(N105:R105),IF(C106&lt;0,0,IF(B106="","",-SUM(J$65:J105))))</f>
        <v/>
      </c>
      <c r="K106" s="185" t="str">
        <f t="shared" si="28"/>
        <v/>
      </c>
      <c r="L106" s="185" t="str">
        <f t="shared" si="29"/>
        <v/>
      </c>
      <c r="M106" s="185" t="str">
        <f t="shared" si="30"/>
        <v/>
      </c>
      <c r="N106" s="185" t="str">
        <f t="shared" si="31"/>
        <v/>
      </c>
      <c r="O106" s="185" t="str">
        <f t="shared" si="32"/>
        <v/>
      </c>
      <c r="P106" s="185" t="str">
        <f t="shared" si="33"/>
        <v/>
      </c>
      <c r="Q106" s="185" t="str">
        <f t="shared" si="10"/>
        <v/>
      </c>
      <c r="R106" s="185" t="str">
        <f t="shared" si="34"/>
        <v/>
      </c>
      <c r="S106" s="185" t="str">
        <f>IF(B106="","",IF($B$31=0,"",-'Debt Financing Calculations'!E55))</f>
        <v/>
      </c>
      <c r="T106" s="185" t="str">
        <f>IF(C106="","",F106+SUM(L106:S106))</f>
        <v/>
      </c>
      <c r="U106" s="185" t="str">
        <f>IF(C106="","",IF(C106&lt;-1,0,IF(C106=anal_period,-LOOKUP(C106,depr_yr,depr_cost)-Depreciation!$C$141-Depreciation!$B$166,-LOOKUP(C106,depr_yr,depr_cost))))</f>
        <v/>
      </c>
      <c r="V106" s="185" t="str">
        <f t="shared" si="36"/>
        <v/>
      </c>
      <c r="W106" s="186" t="str">
        <f t="shared" si="37"/>
        <v/>
      </c>
      <c r="X106" s="185" t="str">
        <f t="shared" si="38"/>
        <v/>
      </c>
      <c r="Y106" s="185" t="str">
        <f t="shared" si="39"/>
        <v/>
      </c>
      <c r="Z106" s="185" t="str">
        <f>IF(C106="","",IF($B$31=0,"",-'Debt Financing Calculations'!F55))</f>
        <v/>
      </c>
      <c r="AA106" s="185" t="str">
        <f t="shared" si="40"/>
        <v/>
      </c>
      <c r="AB106" s="185" t="str">
        <f t="shared" si="23"/>
        <v/>
      </c>
      <c r="AC106" s="938" t="str">
        <f>IF(C106="","",SUM(H106,I106,J106,K106,T106,Z106))</f>
        <v/>
      </c>
      <c r="AD106" s="132"/>
      <c r="AE106" s="942" t="str">
        <f t="shared" si="42"/>
        <v/>
      </c>
      <c r="AF106" s="938" t="str">
        <f t="shared" si="43"/>
        <v/>
      </c>
    </row>
    <row r="107" spans="1:32" x14ac:dyDescent="0.25">
      <c r="A107" s="56" t="str">
        <f t="shared" si="21"/>
        <v/>
      </c>
      <c r="B107" s="183" t="str">
        <f>IF(MAX($B$65:B106)&lt;(construct+anal_period),B106+1,"")</f>
        <v/>
      </c>
      <c r="C107" s="183" t="str">
        <f t="shared" si="22"/>
        <v/>
      </c>
      <c r="D107" s="183" t="str">
        <f t="shared" si="25"/>
        <v/>
      </c>
      <c r="E107" s="184" t="str">
        <f t="shared" si="26"/>
        <v/>
      </c>
      <c r="F107" s="57" t="str">
        <f t="shared" si="27"/>
        <v/>
      </c>
      <c r="G107" s="951"/>
      <c r="H107" s="960" t="str">
        <f t="shared" si="24"/>
        <v/>
      </c>
      <c r="I107" s="185" t="str">
        <f>IF(OR(C107&lt;0,C107=""),"",-E107*INDEX('Replacement Costs'!$A$16:$H$57,MATCH(C107,'Replacement Costs'!$C$16:$C$57,0),MATCH("Total Yearly Replacement Costs",'Replacement Costs'!$A$16:$H$16,0)))</f>
        <v/>
      </c>
      <c r="J107" s="185" t="str">
        <f>IF(AND(C107&gt;=1,C107&lt;anal_period),WorkingCap*SUM(N107:R107)-WorkingCap*SUM(N106:R106),IF(C107&lt;0,0,IF(B107="","",-SUM(J$65:J106))))</f>
        <v/>
      </c>
      <c r="K107" s="185" t="str">
        <f t="shared" si="28"/>
        <v/>
      </c>
      <c r="L107" s="185" t="str">
        <f t="shared" si="29"/>
        <v/>
      </c>
      <c r="M107" s="185" t="str">
        <f t="shared" si="30"/>
        <v/>
      </c>
      <c r="N107" s="185" t="str">
        <f t="shared" si="31"/>
        <v/>
      </c>
      <c r="O107" s="185" t="str">
        <f t="shared" si="32"/>
        <v/>
      </c>
      <c r="P107" s="185" t="str">
        <f t="shared" si="33"/>
        <v/>
      </c>
      <c r="Q107" s="185" t="str">
        <f t="shared" si="10"/>
        <v/>
      </c>
      <c r="R107" s="185" t="str">
        <f t="shared" si="34"/>
        <v/>
      </c>
      <c r="S107" s="185" t="str">
        <f>IF(B107="","",IF($B$31=0,"",-'Debt Financing Calculations'!E56))</f>
        <v/>
      </c>
      <c r="T107" s="185" t="str">
        <f t="shared" si="35"/>
        <v/>
      </c>
      <c r="U107" s="185" t="str">
        <f>IF(C107="","",IF(C107&lt;-1,0,IF(C107=anal_period,-LOOKUP(C107,depr_yr,depr_cost)-Depreciation!$C$141-Depreciation!$B$166,-LOOKUP(C107,depr_yr,depr_cost))))</f>
        <v/>
      </c>
      <c r="V107" s="185" t="str">
        <f t="shared" si="36"/>
        <v/>
      </c>
      <c r="W107" s="186" t="str">
        <f t="shared" si="37"/>
        <v/>
      </c>
      <c r="X107" s="185" t="str">
        <f t="shared" si="38"/>
        <v/>
      </c>
      <c r="Y107" s="185" t="str">
        <f t="shared" si="39"/>
        <v/>
      </c>
      <c r="Z107" s="185" t="str">
        <f>IF(C107="","",IF($B$31=0,"",-'Debt Financing Calculations'!F56))</f>
        <v/>
      </c>
      <c r="AA107" s="185" t="str">
        <f t="shared" si="40"/>
        <v/>
      </c>
      <c r="AB107" s="185" t="str">
        <f t="shared" si="23"/>
        <v/>
      </c>
      <c r="AC107" s="938" t="str">
        <f t="shared" si="41"/>
        <v/>
      </c>
      <c r="AD107" s="132"/>
      <c r="AE107" s="942" t="str">
        <f t="shared" si="42"/>
        <v/>
      </c>
      <c r="AF107" s="938" t="str">
        <f t="shared" si="43"/>
        <v/>
      </c>
    </row>
    <row r="108" spans="1:32" x14ac:dyDescent="0.25">
      <c r="A108" s="56" t="str">
        <f t="shared" si="21"/>
        <v/>
      </c>
      <c r="B108" s="183" t="str">
        <f>IF(MAX($B$65:B107)&lt;(construct+anal_period),B107+1,"")</f>
        <v/>
      </c>
      <c r="C108" s="183" t="str">
        <f t="shared" si="22"/>
        <v/>
      </c>
      <c r="D108" s="183" t="str">
        <f t="shared" si="25"/>
        <v/>
      </c>
      <c r="E108" s="184" t="str">
        <f t="shared" si="26"/>
        <v/>
      </c>
      <c r="F108" s="57" t="str">
        <f t="shared" si="27"/>
        <v/>
      </c>
      <c r="G108" s="951"/>
      <c r="H108" s="960" t="str">
        <f t="shared" si="24"/>
        <v/>
      </c>
      <c r="I108" s="185" t="str">
        <f>IF(OR(C108&lt;0,C108=""),"",-E108*INDEX('Replacement Costs'!$A$16:$H$57,MATCH(C108,'Replacement Costs'!$C$16:$C$57,0),MATCH("Total Yearly Replacement Costs",'Replacement Costs'!$A$16:$H$16,0)))</f>
        <v/>
      </c>
      <c r="J108" s="185" t="str">
        <f>IF(AND(C108&gt;=1,C108&lt;anal_period),WorkingCap*SUM(N108:R108)-WorkingCap*SUM(N107:R107),IF(C108&lt;0,0,IF(B108="","",-SUM(J$65:J107))))</f>
        <v/>
      </c>
      <c r="K108" s="185" t="str">
        <f t="shared" si="28"/>
        <v/>
      </c>
      <c r="L108" s="185" t="str">
        <f t="shared" si="29"/>
        <v/>
      </c>
      <c r="M108" s="185" t="str">
        <f t="shared" si="30"/>
        <v/>
      </c>
      <c r="N108" s="185" t="str">
        <f t="shared" si="31"/>
        <v/>
      </c>
      <c r="O108" s="185" t="str">
        <f t="shared" si="32"/>
        <v/>
      </c>
      <c r="P108" s="185" t="str">
        <f t="shared" si="33"/>
        <v/>
      </c>
      <c r="Q108" s="185" t="str">
        <f t="shared" si="10"/>
        <v/>
      </c>
      <c r="R108" s="185" t="str">
        <f t="shared" si="34"/>
        <v/>
      </c>
      <c r="S108" s="185" t="str">
        <f>IF(B108="","",IF($B$31=0,"",-'Debt Financing Calculations'!E57))</f>
        <v/>
      </c>
      <c r="T108" s="185" t="str">
        <f t="shared" si="35"/>
        <v/>
      </c>
      <c r="U108" s="185" t="str">
        <f>IF(C108="","",IF(C108&lt;-1,0,IF(C108=anal_period,-LOOKUP(C108,depr_yr,depr_cost)-Depreciation!$C$141-Depreciation!$B$166,-LOOKUP(C108,depr_yr,depr_cost))))</f>
        <v/>
      </c>
      <c r="V108" s="185" t="str">
        <f t="shared" si="36"/>
        <v/>
      </c>
      <c r="W108" s="186" t="str">
        <f t="shared" si="37"/>
        <v/>
      </c>
      <c r="X108" s="185" t="str">
        <f t="shared" si="38"/>
        <v/>
      </c>
      <c r="Y108" s="185" t="str">
        <f t="shared" si="39"/>
        <v/>
      </c>
      <c r="Z108" s="185" t="str">
        <f>IF(C108="","",IF($B$31=0,"",-'Debt Financing Calculations'!F57))</f>
        <v/>
      </c>
      <c r="AA108" s="185" t="str">
        <f t="shared" si="40"/>
        <v/>
      </c>
      <c r="AB108" s="185" t="str">
        <f t="shared" si="23"/>
        <v/>
      </c>
      <c r="AC108" s="938" t="str">
        <f t="shared" si="41"/>
        <v/>
      </c>
      <c r="AD108" s="132"/>
      <c r="AE108" s="942" t="str">
        <f t="shared" si="42"/>
        <v/>
      </c>
      <c r="AF108" s="938" t="str">
        <f t="shared" si="43"/>
        <v/>
      </c>
    </row>
    <row r="109" spans="1:32" x14ac:dyDescent="0.25">
      <c r="A109" s="56" t="str">
        <f t="shared" si="21"/>
        <v/>
      </c>
      <c r="B109" s="183" t="str">
        <f>IF(MAX($B$65:B108)&lt;(construct+anal_period),B108+1,"")</f>
        <v/>
      </c>
      <c r="C109" s="183" t="str">
        <f t="shared" si="22"/>
        <v/>
      </c>
      <c r="D109" s="183" t="str">
        <f t="shared" si="25"/>
        <v/>
      </c>
      <c r="E109" s="184" t="str">
        <f t="shared" si="26"/>
        <v/>
      </c>
      <c r="F109" s="57" t="str">
        <f t="shared" si="27"/>
        <v/>
      </c>
      <c r="G109" s="951"/>
      <c r="H109" s="960" t="str">
        <f t="shared" si="24"/>
        <v/>
      </c>
      <c r="I109" s="185" t="str">
        <f>IF(OR(C109&lt;0,C109=""),"",-E109*INDEX('Replacement Costs'!$A$16:$H$57,MATCH(C109,'Replacement Costs'!$C$16:$C$57,0),MATCH("Total Yearly Replacement Costs",'Replacement Costs'!$A$16:$H$16,0)))</f>
        <v/>
      </c>
      <c r="J109" s="185" t="str">
        <f>IF(AND(C109&gt;=1,C109&lt;anal_period),WorkingCap*SUM(N109:R109)-WorkingCap*SUM(N108:R108),IF(C109&lt;0,0,IF(B109="","",-SUM(J$65:J108))))</f>
        <v/>
      </c>
      <c r="K109" s="185" t="str">
        <f t="shared" si="28"/>
        <v/>
      </c>
      <c r="L109" s="185" t="str">
        <f t="shared" si="29"/>
        <v/>
      </c>
      <c r="M109" s="185" t="str">
        <f t="shared" si="30"/>
        <v/>
      </c>
      <c r="N109" s="185" t="str">
        <f t="shared" si="31"/>
        <v/>
      </c>
      <c r="O109" s="185" t="str">
        <f t="shared" si="32"/>
        <v/>
      </c>
      <c r="P109" s="185" t="str">
        <f t="shared" si="33"/>
        <v/>
      </c>
      <c r="Q109" s="185" t="str">
        <f t="shared" si="10"/>
        <v/>
      </c>
      <c r="R109" s="185" t="str">
        <f t="shared" si="34"/>
        <v/>
      </c>
      <c r="S109" s="185" t="str">
        <f>IF(B109="","",IF($B$31=0,"",-'Debt Financing Calculations'!E58))</f>
        <v/>
      </c>
      <c r="T109" s="185" t="str">
        <f t="shared" si="35"/>
        <v/>
      </c>
      <c r="U109" s="185" t="str">
        <f>IF(C109="","",IF(C109&lt;-1,0,IF(C109=anal_period,-LOOKUP(C109,depr_yr,depr_cost)-Depreciation!$C$141-Depreciation!$B$166,-LOOKUP(C109,depr_yr,depr_cost))))</f>
        <v/>
      </c>
      <c r="V109" s="185" t="str">
        <f t="shared" si="36"/>
        <v/>
      </c>
      <c r="W109" s="186" t="str">
        <f t="shared" si="37"/>
        <v/>
      </c>
      <c r="X109" s="185" t="str">
        <f t="shared" si="38"/>
        <v/>
      </c>
      <c r="Y109" s="185" t="str">
        <f t="shared" si="39"/>
        <v/>
      </c>
      <c r="Z109" s="185" t="str">
        <f>IF(C109="","",IF($B$31=0,"",-'Debt Financing Calculations'!F58))</f>
        <v/>
      </c>
      <c r="AA109" s="185" t="str">
        <f t="shared" si="40"/>
        <v/>
      </c>
      <c r="AB109" s="185" t="str">
        <f t="shared" si="23"/>
        <v/>
      </c>
      <c r="AC109" s="938" t="str">
        <f t="shared" si="41"/>
        <v/>
      </c>
      <c r="AD109" s="132"/>
      <c r="AE109" s="942" t="str">
        <f t="shared" si="42"/>
        <v/>
      </c>
      <c r="AF109" s="938" t="str">
        <f t="shared" si="43"/>
        <v/>
      </c>
    </row>
    <row r="110" spans="1:32" x14ac:dyDescent="0.25">
      <c r="A110" s="56" t="str">
        <f t="shared" si="21"/>
        <v/>
      </c>
      <c r="B110" s="183" t="str">
        <f>IF(MAX($B$65:B109)&lt;(construct+anal_period),B109+1,"")</f>
        <v/>
      </c>
      <c r="C110" s="183" t="str">
        <f t="shared" si="22"/>
        <v/>
      </c>
      <c r="D110" s="183" t="str">
        <f t="shared" si="25"/>
        <v/>
      </c>
      <c r="E110" s="184" t="str">
        <f t="shared" si="26"/>
        <v/>
      </c>
      <c r="F110" s="57" t="str">
        <f t="shared" si="27"/>
        <v/>
      </c>
      <c r="G110" s="951"/>
      <c r="H110" s="960" t="str">
        <f t="shared" si="24"/>
        <v/>
      </c>
      <c r="I110" s="185" t="str">
        <f>IF(OR(C110&lt;0,C110=""),"",-E110*INDEX('Replacement Costs'!$A$16:$H$57,MATCH(C110,'Replacement Costs'!$C$16:$C$57,0),MATCH("Total Yearly Replacement Costs",'Replacement Costs'!$A$16:$H$16,0)))</f>
        <v/>
      </c>
      <c r="J110" s="185" t="str">
        <f>IF(AND(C110&gt;=1,C110&lt;anal_period),WorkingCap*SUM(N110:R110)-WorkingCap*SUM(N109:R109),IF(C110&lt;0,0,IF(B110="","",-SUM(J$65:J109))))</f>
        <v/>
      </c>
      <c r="K110" s="185" t="str">
        <f t="shared" si="28"/>
        <v/>
      </c>
      <c r="L110" s="185" t="str">
        <f t="shared" si="29"/>
        <v/>
      </c>
      <c r="M110" s="185" t="str">
        <f t="shared" si="30"/>
        <v/>
      </c>
      <c r="N110" s="185" t="str">
        <f t="shared" si="31"/>
        <v/>
      </c>
      <c r="O110" s="185" t="str">
        <f>IF(C110="","",IF(C110&lt;0,0,IF(AND(C110=1,start_time&lt;1),-(SUM(B185:E185)*output_kgyear*E110*percnt_var*start_time+SUM(B185:E185)*output_kgyear*E110*(1-start_time)),IF(C110&lt;=start_time,-SUM(B185:E185)*output_kgyear*E110*percnt_var,-SUM(B185:E185)*output_kgyear*E110))))</f>
        <v/>
      </c>
      <c r="P110" s="185" t="str">
        <f t="shared" si="33"/>
        <v/>
      </c>
      <c r="Q110" s="185" t="str">
        <f>IF(C110="","",IF(C110&lt;0,0,IF(AND(C110=1,start_time&lt;1),SUM(K185:N185,T185:V185)*output_kgyear*E110*percnt_revs*start_time+SUM(K185:N185,T185:V185)*output_kgyear*E110*(1-start_time),IF(C110&lt;=start_time,SUM(K185:N185,T185:V185)*output_kgyear*E110*percnt_revs,SUM(K185:N185,T185:V185)*output_kgyear*E110))))</f>
        <v/>
      </c>
      <c r="R110" s="185"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5" t="str">
        <f>IF(B110="","",IF($B$31=0,"",-'Debt Financing Calculations'!E59))</f>
        <v/>
      </c>
      <c r="T110" s="185" t="str">
        <f t="shared" si="35"/>
        <v/>
      </c>
      <c r="U110" s="185" t="str">
        <f>IF(C110="","",IF(C110&lt;-1,0,IF(C110=anal_period,-LOOKUP(C110,depr_yr,depr_cost)-Depreciation!$C$141-Depreciation!$B$166,-LOOKUP(C110,depr_yr,depr_cost))))</f>
        <v/>
      </c>
      <c r="V110" s="185" t="str">
        <f t="shared" si="36"/>
        <v/>
      </c>
      <c r="W110" s="186" t="str">
        <f t="shared" si="37"/>
        <v/>
      </c>
      <c r="X110" s="185" t="str">
        <f t="shared" si="38"/>
        <v/>
      </c>
      <c r="Y110" s="185" t="str">
        <f t="shared" si="39"/>
        <v/>
      </c>
      <c r="Z110" s="185" t="str">
        <f>IF(C110="","",IF($B$31=0,"",-'Debt Financing Calculations'!F59))</f>
        <v/>
      </c>
      <c r="AA110" s="185" t="str">
        <f t="shared" si="40"/>
        <v/>
      </c>
      <c r="AB110" s="185" t="str">
        <f t="shared" si="23"/>
        <v/>
      </c>
      <c r="AC110" s="938" t="str">
        <f t="shared" si="41"/>
        <v/>
      </c>
      <c r="AD110" s="132"/>
      <c r="AE110" s="942" t="str">
        <f t="shared" si="42"/>
        <v/>
      </c>
      <c r="AF110" s="938" t="str">
        <f t="shared" si="43"/>
        <v/>
      </c>
    </row>
    <row r="111" spans="1:32" x14ac:dyDescent="0.25">
      <c r="A111" s="56" t="str">
        <f t="shared" si="21"/>
        <v/>
      </c>
      <c r="B111" s="183" t="str">
        <f>IF(MAX($B$65:B110)&lt;(construct+anal_period),B110+1,"")</f>
        <v/>
      </c>
      <c r="C111" s="183" t="str">
        <f t="shared" si="22"/>
        <v/>
      </c>
      <c r="D111" s="183" t="str">
        <f t="shared" si="25"/>
        <v/>
      </c>
      <c r="E111" s="184" t="str">
        <f t="shared" si="26"/>
        <v/>
      </c>
      <c r="F111" s="57" t="str">
        <f t="shared" si="27"/>
        <v/>
      </c>
      <c r="G111" s="951"/>
      <c r="H111" s="960" t="str">
        <f t="shared" si="24"/>
        <v/>
      </c>
      <c r="I111" s="185" t="str">
        <f>IF(OR(C111&lt;0,C111=""),"",-E111*INDEX('Replacement Costs'!$A$16:$H$57,MATCH(C111,'Replacement Costs'!$C$16:$C$57,0),MATCH("Total Yearly Replacement Costs",'Replacement Costs'!$A$16:$H$16,0)))</f>
        <v/>
      </c>
      <c r="J111" s="185" t="str">
        <f>IF(AND(C111&gt;=1,C111&lt;anal_period),WorkingCap*SUM(N111:R111)-WorkingCap*SUM(N110:R110),IF(C111&lt;0,0,IF(B111="","",-SUM(J$65:J110))))</f>
        <v/>
      </c>
      <c r="K111" s="185" t="str">
        <f t="shared" si="28"/>
        <v/>
      </c>
      <c r="L111" s="185" t="str">
        <f t="shared" si="29"/>
        <v/>
      </c>
      <c r="M111" s="185" t="str">
        <f t="shared" si="30"/>
        <v/>
      </c>
      <c r="N111" s="185" t="str">
        <f t="shared" si="31"/>
        <v/>
      </c>
      <c r="O111" s="185" t="str">
        <f>IF(C111="","",IF(C111&lt;0,0,IF(AND(C111=1,start_time&lt;1),-(SUM(B278:E278)*output_kgyear*E111*percnt_var*start_time+SUM(B278:E278)*output_kgyear*E111*(1-start_time)),IF(C111&lt;=start_time,-SUM(B278:E278)*output_kgyear*E111*percnt_var,-SUM(B278:E278)*output_kgyear*E111))))</f>
        <v/>
      </c>
      <c r="P111" s="185" t="str">
        <f t="shared" si="33"/>
        <v/>
      </c>
      <c r="Q111" s="185" t="str">
        <f>IF(C111="","",IF(C111&lt;0,0,IF(AND(C111=1,start_time&lt;1),SUM(K278:N278,T278:V278)*output_kgyear*E111*percnt_revs*start_time+SUM(K278:N278,T278:V278)*output_kgyear*E111*(1-start_time),IF(C111&lt;=start_time,SUM(K278:N278,T278:V278)*output_kgyear*E111*percnt_revs,SUM(K278:N278,T278:V278)*output_kgyear*E111))))</f>
        <v/>
      </c>
      <c r="R111" s="185"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5" t="str">
        <f>IF(B111="","",IF($B$31=0,"",-'Debt Financing Calculations'!E60))</f>
        <v/>
      </c>
      <c r="T111" s="185" t="str">
        <f t="shared" si="35"/>
        <v/>
      </c>
      <c r="U111" s="185" t="str">
        <f>IF(C111="","",IF(C111&lt;-1,0,IF(C111=anal_period,-LOOKUP(C111,depr_yr,depr_cost)-Depreciation!$C$141-Depreciation!$B$166,-LOOKUP(C111,depr_yr,depr_cost))))</f>
        <v/>
      </c>
      <c r="V111" s="185" t="str">
        <f t="shared" si="36"/>
        <v/>
      </c>
      <c r="W111" s="186" t="str">
        <f t="shared" si="37"/>
        <v/>
      </c>
      <c r="X111" s="185" t="str">
        <f t="shared" si="38"/>
        <v/>
      </c>
      <c r="Y111" s="185" t="str">
        <f t="shared" si="39"/>
        <v/>
      </c>
      <c r="Z111" s="185" t="str">
        <f>IF(C111="","",IF($B$31=0,"",-'Debt Financing Calculations'!F60))</f>
        <v/>
      </c>
      <c r="AA111" s="185" t="str">
        <f t="shared" si="40"/>
        <v/>
      </c>
      <c r="AB111" s="185" t="str">
        <f t="shared" si="23"/>
        <v/>
      </c>
      <c r="AC111" s="938" t="str">
        <f t="shared" si="41"/>
        <v/>
      </c>
      <c r="AD111" s="132"/>
      <c r="AE111" s="942" t="str">
        <f t="shared" si="42"/>
        <v/>
      </c>
      <c r="AF111" s="938" t="str">
        <f t="shared" si="43"/>
        <v/>
      </c>
    </row>
    <row r="112" spans="1:32" x14ac:dyDescent="0.25">
      <c r="A112" s="56" t="str">
        <f t="shared" si="21"/>
        <v/>
      </c>
      <c r="B112" s="183" t="str">
        <f>IF(MAX($B$65:B111)&lt;(construct+anal_period),B111+1,"")</f>
        <v/>
      </c>
      <c r="C112" s="183" t="str">
        <f t="shared" si="22"/>
        <v/>
      </c>
      <c r="D112" s="183" t="str">
        <f t="shared" si="25"/>
        <v/>
      </c>
      <c r="E112" s="184" t="str">
        <f t="shared" si="26"/>
        <v/>
      </c>
      <c r="F112" s="57" t="str">
        <f t="shared" si="27"/>
        <v/>
      </c>
      <c r="G112" s="951"/>
      <c r="H112" s="960" t="str">
        <f t="shared" si="24"/>
        <v/>
      </c>
      <c r="I112" s="185" t="str">
        <f>IF(OR(C112&lt;0,C112=""),"",-E112*INDEX('Replacement Costs'!$A$16:$H$57,MATCH(C112,'Replacement Costs'!$C$16:$C$57,0),MATCH("Total Yearly Replacement Costs",'Replacement Costs'!$A$16:$H$16,0)))</f>
        <v/>
      </c>
      <c r="J112" s="185" t="str">
        <f>IF(AND(C112&gt;=1,C112&lt;anal_period),WorkingCap*SUM(N112:R112)-WorkingCap*SUM(N111:R111),IF(C112&lt;0,0,IF(B112="","",-SUM(J$65:J111))))</f>
        <v/>
      </c>
      <c r="K112" s="185" t="str">
        <f t="shared" si="28"/>
        <v/>
      </c>
      <c r="L112" s="185" t="str">
        <f t="shared" si="29"/>
        <v/>
      </c>
      <c r="M112" s="185" t="str">
        <f t="shared" si="30"/>
        <v/>
      </c>
      <c r="N112" s="185" t="str">
        <f t="shared" si="31"/>
        <v/>
      </c>
      <c r="O112" s="185" t="str">
        <f>IF(C112="","",IF(C112&lt;0,0,IF(AND(C112=1,start_time&lt;1),-(SUM(B279:E279)*output_kgyear*E112*percnt_var*start_time+SUM(B279:E279)*output_kgyear*E112*(1-start_time)),IF(C112&lt;=start_time,-SUM(B279:E279)*output_kgyear*E112*percnt_var,-SUM(B279:E279)*output_kgyear*E112))))</f>
        <v/>
      </c>
      <c r="P112" s="185" t="str">
        <f t="shared" si="33"/>
        <v/>
      </c>
      <c r="Q112" s="185" t="str">
        <f>IF(C112="","",IF(C112&lt;0,0,IF(AND(C112=1,start_time&lt;1),SUM(K279:N279,T279:V279)*output_kgyear*E112*percnt_revs*start_time+SUM(K279:N279,T279:V279)*output_kgyear*E112*(1-start_time),IF(C112&lt;=start_time,SUM(K279:N279,T279:V279)*output_kgyear*E112*percnt_revs,SUM(K279:N279,T279:V279)*output_kgyear*E112))))</f>
        <v/>
      </c>
      <c r="R112" s="185"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5" t="str">
        <f>IF(B112="","",IF($B$31=0,"",-'Debt Financing Calculations'!E61))</f>
        <v/>
      </c>
      <c r="T112" s="185" t="str">
        <f t="shared" si="35"/>
        <v/>
      </c>
      <c r="U112" s="185" t="str">
        <f>IF(C112="","",IF(C112&lt;-1,0,IF(C112=anal_period,-LOOKUP(C112,depr_yr,depr_cost)-Depreciation!$C$141-Depreciation!$B$166,-LOOKUP(C112,depr_yr,depr_cost))))</f>
        <v/>
      </c>
      <c r="V112" s="185" t="str">
        <f t="shared" si="36"/>
        <v/>
      </c>
      <c r="W112" s="186" t="str">
        <f t="shared" si="37"/>
        <v/>
      </c>
      <c r="X112" s="185" t="str">
        <f t="shared" si="38"/>
        <v/>
      </c>
      <c r="Y112" s="185" t="str">
        <f t="shared" si="39"/>
        <v/>
      </c>
      <c r="Z112" s="185" t="str">
        <f>IF(C112="","",IF($B$31=0,"",-'Debt Financing Calculations'!F61))</f>
        <v/>
      </c>
      <c r="AA112" s="185" t="str">
        <f t="shared" si="40"/>
        <v/>
      </c>
      <c r="AB112" s="185" t="str">
        <f t="shared" si="23"/>
        <v/>
      </c>
      <c r="AC112" s="938" t="str">
        <f t="shared" si="41"/>
        <v/>
      </c>
      <c r="AD112" s="132"/>
      <c r="AE112" s="942" t="str">
        <f t="shared" si="42"/>
        <v/>
      </c>
      <c r="AF112" s="938" t="str">
        <f t="shared" si="43"/>
        <v/>
      </c>
    </row>
    <row r="113" spans="1:33" ht="13.8" thickBot="1" x14ac:dyDescent="0.3">
      <c r="A113" s="59" t="str">
        <f t="shared" si="21"/>
        <v/>
      </c>
      <c r="B113" s="187" t="str">
        <f>IF(MAX($B$65:B112)&lt;(construct+anal_period),B112+1,"")</f>
        <v/>
      </c>
      <c r="C113" s="187" t="str">
        <f t="shared" si="22"/>
        <v/>
      </c>
      <c r="D113" s="187" t="str">
        <f t="shared" si="25"/>
        <v/>
      </c>
      <c r="E113" s="945" t="str">
        <f t="shared" si="26"/>
        <v/>
      </c>
      <c r="F113" s="946" t="str">
        <f t="shared" si="27"/>
        <v/>
      </c>
      <c r="G113" s="953"/>
      <c r="H113" s="962" t="str">
        <f t="shared" si="24"/>
        <v/>
      </c>
      <c r="I113" s="947" t="str">
        <f>IF(OR(C113&lt;0,C113=""),"",-E113*INDEX('Replacement Costs'!$A$16:$H$57,MATCH(C113,'Replacement Costs'!$C$16:$C$57,0),MATCH("Total Yearly Replacement Costs",'Replacement Costs'!$A$16:$H$16,0)))</f>
        <v/>
      </c>
      <c r="J113" s="947" t="str">
        <f>IF(AND(C113&gt;=1,C113&lt;anal_period),WorkingCap*SUM(N113:R113)-WorkingCap*SUM(N112:R112),IF(C113&lt;0,0,IF(B113="","",-SUM(J$65:J112))))</f>
        <v/>
      </c>
      <c r="K113" s="947" t="str">
        <f t="shared" si="28"/>
        <v/>
      </c>
      <c r="L113" s="947" t="str">
        <f t="shared" si="29"/>
        <v/>
      </c>
      <c r="M113" s="947" t="str">
        <f t="shared" si="30"/>
        <v/>
      </c>
      <c r="N113" s="947" t="str">
        <f t="shared" si="31"/>
        <v/>
      </c>
      <c r="O113" s="947" t="str">
        <f>IF(C113="","",IF(C113&lt;0,0,IF(AND(C113=1,start_time&lt;1),-(SUM(B280:E280)*output_kgyear*E113*percnt_var*start_time+SUM(B280:E280)*output_kgyear*E113*(1-start_time)),IF(C113&lt;=start_time,-SUM(B280:E280)*output_kgyear*E113*percnt_var,-SUM(B280:E280)*output_kgyear*E113))))</f>
        <v/>
      </c>
      <c r="P113" s="947" t="str">
        <f t="shared" si="33"/>
        <v/>
      </c>
      <c r="Q113" s="947" t="str">
        <f>IF(C113="","",IF(C113&lt;0,0,IF(AND(C113=1,start_time&lt;1),SUM(K280:N280,T280:V280)*output_kgyear*E113*percnt_revs*start_time+SUM(K280:N280,T280:V280)*output_kgyear*E113*(1-start_time),IF(C113&lt;=start_time,SUM(K280:N280,T280:V280)*output_kgyear*E113*percnt_revs,SUM(K280:N280,T280:V280)*output_kgyear*E113))))</f>
        <v/>
      </c>
      <c r="R113" s="947"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947" t="str">
        <f>IF(B113="","",IF($B$31=0,"",-'Debt Financing Calculations'!E62))</f>
        <v/>
      </c>
      <c r="T113" s="947" t="str">
        <f t="shared" si="35"/>
        <v/>
      </c>
      <c r="U113" s="947" t="str">
        <f>IF(C113="","",IF(C113&lt;-1,0,IF(C113=anal_period,-LOOKUP(C113,depr_yr,depr_cost)-Depreciation!$C$141-Depreciation!$B$166,-LOOKUP(C113,depr_yr,depr_cost))))</f>
        <v/>
      </c>
      <c r="V113" s="947" t="str">
        <f t="shared" si="36"/>
        <v/>
      </c>
      <c r="W113" s="948" t="str">
        <f t="shared" si="37"/>
        <v/>
      </c>
      <c r="X113" s="947" t="str">
        <f t="shared" si="38"/>
        <v/>
      </c>
      <c r="Y113" s="947" t="str">
        <f t="shared" si="39"/>
        <v/>
      </c>
      <c r="Z113" s="947" t="str">
        <f>IF(C113="","",IF($B$31=0,"",-'Debt Financing Calculations'!F62))</f>
        <v/>
      </c>
      <c r="AA113" s="947" t="str">
        <f t="shared" si="40"/>
        <v/>
      </c>
      <c r="AB113" s="947" t="str">
        <f t="shared" si="23"/>
        <v/>
      </c>
      <c r="AC113" s="949" t="str">
        <f t="shared" si="41"/>
        <v/>
      </c>
      <c r="AD113" s="132"/>
      <c r="AE113" s="944" t="str">
        <f t="shared" si="42"/>
        <v/>
      </c>
      <c r="AF113" s="940" t="str">
        <f t="shared" si="43"/>
        <v/>
      </c>
    </row>
    <row r="114" spans="1:33" ht="13.8" thickTop="1" x14ac:dyDescent="0.25">
      <c r="A114" s="132"/>
      <c r="B114" s="132"/>
      <c r="C114" s="132"/>
      <c r="D114" s="132"/>
      <c r="E114" s="963" t="s">
        <v>148</v>
      </c>
      <c r="F114" s="964">
        <f t="shared" ref="F114:AC114" ca="1" si="44">SUM(F65:F113)</f>
        <v>28406083.201941334</v>
      </c>
      <c r="G114" s="964">
        <f t="shared" ca="1" si="44"/>
        <v>-1247544.4675126395</v>
      </c>
      <c r="H114" s="964">
        <f t="shared" ca="1" si="44"/>
        <v>-831696.31167509302</v>
      </c>
      <c r="I114" s="964">
        <f t="shared" ca="1" si="44"/>
        <v>-515623.00347347814</v>
      </c>
      <c r="J114" s="964">
        <f t="shared" ca="1" si="44"/>
        <v>0</v>
      </c>
      <c r="K114" s="964">
        <f t="shared" ca="1" si="44"/>
        <v>0</v>
      </c>
      <c r="L114" s="964">
        <f t="shared" ca="1" si="44"/>
        <v>302962.21291313489</v>
      </c>
      <c r="M114" s="964">
        <f t="shared" ca="1" si="44"/>
        <v>-302962.21291313489</v>
      </c>
      <c r="N114" s="964">
        <f t="shared" ca="1" si="44"/>
        <v>-2950846.5006161667</v>
      </c>
      <c r="O114" s="964">
        <f t="shared" ca="1" si="44"/>
        <v>-21329400.585610166</v>
      </c>
      <c r="P114" s="964">
        <f t="shared" ca="1" si="44"/>
        <v>0</v>
      </c>
      <c r="Q114" s="964">
        <f t="shared" ca="1" si="44"/>
        <v>0</v>
      </c>
      <c r="R114" s="964">
        <f t="shared" ca="1" si="44"/>
        <v>-279191.45842664351</v>
      </c>
      <c r="S114" s="964">
        <f t="shared" ca="1" si="44"/>
        <v>-969342.05125732138</v>
      </c>
      <c r="T114" s="964">
        <f t="shared" ca="1" si="44"/>
        <v>2877302.6060310351</v>
      </c>
      <c r="U114" s="964">
        <f t="shared" ca="1" si="44"/>
        <v>-2594863.7826612103</v>
      </c>
      <c r="V114" s="964">
        <f t="shared" ca="1" si="44"/>
        <v>282438.82336982357</v>
      </c>
      <c r="W114" s="964">
        <f t="shared" si="44"/>
        <v>5.4053999999999984</v>
      </c>
      <c r="X114" s="964">
        <f t="shared" ca="1" si="44"/>
        <v>-72699.753135392646</v>
      </c>
      <c r="Y114" s="964">
        <f t="shared" ca="1" si="44"/>
        <v>2804602.8528956417</v>
      </c>
      <c r="Z114" s="964">
        <f t="shared" ca="1" si="44"/>
        <v>-1247544.4675126395</v>
      </c>
      <c r="AA114" s="964">
        <f t="shared" ca="1" si="44"/>
        <v>209739.07023443119</v>
      </c>
      <c r="AB114" s="964">
        <f t="shared" ca="1" si="44"/>
        <v>5752113.5241574273</v>
      </c>
      <c r="AC114" s="965">
        <f t="shared" ca="1" si="44"/>
        <v>282438.8233698234</v>
      </c>
      <c r="AD114" s="132"/>
    </row>
    <row r="115" spans="1:33" ht="13.8" thickBot="1" x14ac:dyDescent="0.3">
      <c r="E115" s="966" t="s">
        <v>149</v>
      </c>
      <c r="F115" s="947">
        <f t="shared" ref="F115:AC115" ca="1" si="45">NPV(nominal_irr,F65:F113)</f>
        <v>10200092.761407945</v>
      </c>
      <c r="G115" s="947">
        <f t="shared" ca="1" si="45"/>
        <v>-1133595.4526157086</v>
      </c>
      <c r="H115" s="947">
        <f t="shared" ca="1" si="45"/>
        <v>-755730.30174380576</v>
      </c>
      <c r="I115" s="947">
        <f t="shared" ca="1" si="45"/>
        <v>-195065.66649554714</v>
      </c>
      <c r="J115" s="947">
        <f t="shared" ca="1" si="45"/>
        <v>-115918.44446749189</v>
      </c>
      <c r="K115" s="947">
        <f t="shared" ca="1" si="45"/>
        <v>0</v>
      </c>
      <c r="L115" s="947">
        <f t="shared" ca="1" si="45"/>
        <v>40535.145380015121</v>
      </c>
      <c r="M115" s="947">
        <f t="shared" ca="1" si="45"/>
        <v>-40535.145380015121</v>
      </c>
      <c r="N115" s="947">
        <f t="shared" ca="1" si="45"/>
        <v>-1066785.0797426223</v>
      </c>
      <c r="O115" s="947">
        <f t="shared" ca="1" si="45"/>
        <v>-7499399.4583572084</v>
      </c>
      <c r="P115" s="947">
        <f t="shared" ca="1" si="45"/>
        <v>0</v>
      </c>
      <c r="Q115" s="947">
        <f t="shared" ca="1" si="45"/>
        <v>0</v>
      </c>
      <c r="R115" s="947">
        <f t="shared" ca="1" si="45"/>
        <v>-100252.42670379531</v>
      </c>
      <c r="S115" s="947">
        <f t="shared" ca="1" si="45"/>
        <v>-397763.97026971873</v>
      </c>
      <c r="T115" s="947">
        <f t="shared" ca="1" si="45"/>
        <v>1135891.8263346013</v>
      </c>
      <c r="U115" s="947">
        <f t="shared" ca="1" si="45"/>
        <v>-1515608.6097853924</v>
      </c>
      <c r="V115" s="947">
        <f t="shared" ca="1" si="45"/>
        <v>-379716.78345079155</v>
      </c>
      <c r="W115" s="947">
        <f t="shared" ca="1" si="45"/>
        <v>2.2180749943810913</v>
      </c>
      <c r="X115" s="947">
        <f t="shared" ca="1" si="45"/>
        <v>97739.10006023373</v>
      </c>
      <c r="Y115" s="947">
        <f t="shared" ca="1" si="45"/>
        <v>1233630.9263948351</v>
      </c>
      <c r="Z115" s="947">
        <f t="shared" ca="1" si="45"/>
        <v>-166916.51368798793</v>
      </c>
      <c r="AA115" s="947">
        <f t="shared" ca="1" si="45"/>
        <v>2.5123249858155253E-9</v>
      </c>
      <c r="AB115" s="947">
        <f t="shared" ca="1" si="45"/>
        <v>-279170.88876429433</v>
      </c>
      <c r="AC115" s="949">
        <f t="shared" ca="1" si="45"/>
        <v>-97739.100060231358</v>
      </c>
      <c r="AD115" s="132"/>
    </row>
    <row r="116" spans="1:33" ht="13.8" thickBot="1" x14ac:dyDescent="0.3">
      <c r="D116" s="189"/>
      <c r="E116" s="967" t="s">
        <v>1098</v>
      </c>
      <c r="F116" s="968">
        <f t="shared" ref="F116:AC116" ca="1" si="46">+F65+NPV($X$59,F66:F113)</f>
        <v>11225406.085784672</v>
      </c>
      <c r="G116" s="968">
        <f t="shared" ca="1" si="46"/>
        <v>-1247544.4675126395</v>
      </c>
      <c r="H116" s="968">
        <f ca="1">+H65+NPV($X$59,H66:H113)</f>
        <v>-831696.31167509302</v>
      </c>
      <c r="I116" s="968">
        <f t="shared" ca="1" si="46"/>
        <v>-214673.66729167948</v>
      </c>
      <c r="J116" s="968">
        <f t="shared" ca="1" si="46"/>
        <v>-127570.56650536414</v>
      </c>
      <c r="K116" s="968">
        <f t="shared" ca="1" si="46"/>
        <v>0</v>
      </c>
      <c r="L116" s="968">
        <f t="shared" ca="1" si="46"/>
        <v>44609.738193614241</v>
      </c>
      <c r="M116" s="968">
        <f t="shared" ca="1" si="46"/>
        <v>-44609.738193614241</v>
      </c>
      <c r="N116" s="968">
        <f t="shared" ca="1" si="46"/>
        <v>-1174018.3159583509</v>
      </c>
      <c r="O116" s="968">
        <f t="shared" ca="1" si="46"/>
        <v>-8253239.0919112759</v>
      </c>
      <c r="P116" s="968">
        <f t="shared" ca="1" si="46"/>
        <v>0</v>
      </c>
      <c r="Q116" s="968">
        <f t="shared" ca="1" si="46"/>
        <v>0</v>
      </c>
      <c r="R116" s="968">
        <f t="shared" ca="1" si="46"/>
        <v>-110329.80063606078</v>
      </c>
      <c r="S116" s="968">
        <f t="shared" ca="1" si="46"/>
        <v>-437747.20456123078</v>
      </c>
      <c r="T116" s="968">
        <f t="shared" ca="1" si="46"/>
        <v>1250071.672717755</v>
      </c>
      <c r="U116" s="968">
        <f t="shared" ca="1" si="46"/>
        <v>-1667957.5872410205</v>
      </c>
      <c r="V116" s="968">
        <f t="shared" ca="1" si="46"/>
        <v>-417885.91452326498</v>
      </c>
      <c r="W116" s="968">
        <f t="shared" ca="1" si="46"/>
        <v>2.441035892816279</v>
      </c>
      <c r="X116" s="968">
        <f t="shared" ca="1" si="46"/>
        <v>107563.83439828844</v>
      </c>
      <c r="Y116" s="968">
        <f t="shared" ca="1" si="46"/>
        <v>1357635.5071160437</v>
      </c>
      <c r="Z116" s="968">
        <f t="shared" ca="1" si="46"/>
        <v>-183694.96164390448</v>
      </c>
      <c r="AA116" s="968">
        <f t="shared" ca="1" si="46"/>
        <v>2.7939677238464355E-9</v>
      </c>
      <c r="AB116" s="968">
        <f t="shared" ca="1" si="46"/>
        <v>-307233.14650288119</v>
      </c>
      <c r="AC116" s="969">
        <f t="shared" ca="1" si="46"/>
        <v>-107563.8343982856</v>
      </c>
      <c r="AD116" s="970"/>
      <c r="AE116" s="971">
        <f ca="1">+AE65+NPV(real_irr,AE66:AE113)</f>
        <v>4513881.6512419414</v>
      </c>
      <c r="AF116" s="972">
        <f ca="1">+AF65+NPV($X$59,AF66:AF113)</f>
        <v>0</v>
      </c>
      <c r="AG116" s="973"/>
    </row>
    <row r="117" spans="1:33" ht="16.8" thickTop="1" thickBot="1" x14ac:dyDescent="0.35">
      <c r="A117" s="47" t="s">
        <v>78</v>
      </c>
      <c r="B117" s="147"/>
      <c r="C117" s="147"/>
      <c r="D117" s="147"/>
      <c r="E117" s="974" t="s">
        <v>1154</v>
      </c>
      <c r="F117" s="984"/>
      <c r="G117" s="984"/>
      <c r="H117" s="984">
        <f ca="1">-H116/$AE$116*(1+inflation_rate)^construct/INFLATION_FACTOR</f>
        <v>0.11951113617208094</v>
      </c>
      <c r="I117" s="984">
        <f ca="1">-I116/$AE$116*(1+inflation_rate)^construct/INFLATION_FACTOR</f>
        <v>3.0847670627014306E-2</v>
      </c>
      <c r="J117" s="984">
        <f ca="1">-J116/$AE$116*(1+inflation_rate)^construct/INFLATION_FACTOR</f>
        <v>1.8331334564253857E-2</v>
      </c>
      <c r="K117" s="984">
        <f ca="1">-K116/$AE$116*(1+inflation_rate)^construct/INFLATION_FACTOR</f>
        <v>0</v>
      </c>
      <c r="L117" s="984"/>
      <c r="M117" s="984">
        <f ca="1">-M116/$AE$116*(1+inflation_rate)^construct/INFLATION_FACTOR</f>
        <v>6.4102250076355253E-3</v>
      </c>
      <c r="N117" s="984">
        <f ca="1">-N116/$AE$116*(1+inflation_rate)^construct/INFLATION_FACTOR</f>
        <v>0.16870131664336135</v>
      </c>
      <c r="O117" s="984">
        <f ca="1">-O116/$AE$116*(1+inflation_rate)^construct/INFLATION_FACTOR</f>
        <v>1.1859544970057232</v>
      </c>
      <c r="P117" s="984">
        <f ca="1">-P116/$AE$116*(1+inflation_rate)^construct/INFLATION_FACTOR</f>
        <v>0</v>
      </c>
      <c r="Q117" s="984"/>
      <c r="R117" s="984">
        <f ca="1">-R116/$AE$116*(1+inflation_rate)^construct/INFLATION_FACTOR</f>
        <v>1.585391162923162E-2</v>
      </c>
      <c r="S117" s="984">
        <f ca="1">-S116/$AE$116*(1+inflation_rate)^construct/INFLATION_FACTOR</f>
        <v>6.2902365970455856E-2</v>
      </c>
      <c r="T117" s="984"/>
      <c r="U117" s="984"/>
      <c r="V117" s="984"/>
      <c r="W117" s="984"/>
      <c r="X117" s="984">
        <f ca="1">-X116/$AE$116*(1+inflation_rate)^construct/INFLATION_FACTOR</f>
        <v>-1.545645433256042E-2</v>
      </c>
      <c r="Y117" s="984"/>
      <c r="Z117" s="984">
        <f ca="1">-Z116/$AE$116*(1+inflation_rate)^construct/INFLATION_FACTOR</f>
        <v>2.6396165603925568E-2</v>
      </c>
      <c r="AA117" s="984"/>
      <c r="AB117" s="984"/>
      <c r="AC117" s="985"/>
      <c r="AD117" s="986"/>
      <c r="AE117" s="987"/>
      <c r="AF117" s="987"/>
      <c r="AG117" s="985">
        <f ca="1">+SUM(F117:AC117)</f>
        <v>1.6194521688911219</v>
      </c>
    </row>
    <row r="118" spans="1:33" ht="15" customHeight="1" thickTop="1" thickBot="1" x14ac:dyDescent="0.3">
      <c r="A118" s="52" t="s">
        <v>79</v>
      </c>
      <c r="B118" s="54" t="s">
        <v>150</v>
      </c>
      <c r="C118" s="54" t="s">
        <v>151</v>
      </c>
      <c r="D118" s="872" t="s">
        <v>152</v>
      </c>
      <c r="E118" s="975" t="s">
        <v>1155</v>
      </c>
      <c r="F118" s="988">
        <f ca="1">F116/$AE$116*(1+inflation_rate)^construct/INFLATION_FACTOR</f>
        <v>1.613041943883486</v>
      </c>
      <c r="G118" s="988"/>
      <c r="H118" s="988"/>
      <c r="I118" s="988"/>
      <c r="J118" s="988"/>
      <c r="K118" s="988"/>
      <c r="L118" s="988">
        <f ca="1">L116/$AE$116*(1+inflation_rate)^construct/INFLATION_FACTOR</f>
        <v>6.4102250076355253E-3</v>
      </c>
      <c r="M118" s="988"/>
      <c r="N118" s="988"/>
      <c r="O118" s="988"/>
      <c r="P118" s="988"/>
      <c r="Q118" s="988">
        <f ca="1">Q116/$AE$116*(1+inflation_rate)^construct/INFLATION_FACTOR</f>
        <v>0</v>
      </c>
      <c r="R118" s="988"/>
      <c r="S118" s="988"/>
      <c r="T118" s="988"/>
      <c r="U118" s="988"/>
      <c r="V118" s="988"/>
      <c r="W118" s="988"/>
      <c r="X118" s="988"/>
      <c r="Y118" s="988"/>
      <c r="Z118" s="988"/>
      <c r="AA118" s="988"/>
      <c r="AB118" s="988"/>
      <c r="AC118" s="989"/>
      <c r="AD118" s="990"/>
      <c r="AE118" s="991"/>
      <c r="AF118" s="991"/>
      <c r="AG118" s="989">
        <f ca="1">+SUM(F118:AC118)</f>
        <v>1.6194521688911214</v>
      </c>
    </row>
    <row r="119" spans="1:33" ht="15" customHeight="1" x14ac:dyDescent="0.25">
      <c r="A119" s="192" t="s">
        <v>153</v>
      </c>
      <c r="B119" s="185">
        <f ca="1">(SUM(H115:K115)+L115*(1-total_tax_rate)+S115*(1-total_tax_rate)+U115*(-total_tax_rate)+Z115)/(1-total_tax_rate)</f>
        <v>-1493120.6512243021</v>
      </c>
      <c r="C119" s="193">
        <f t="shared" ref="C119:C125" ca="1" si="47">B119/SUM($B$118:$B$125)</f>
        <v>0.14638304632615939</v>
      </c>
      <c r="D119" s="194">
        <f t="shared" ref="D119:D125" ca="1" si="48">H2_price_real*C119</f>
        <v>0.23612199359753452</v>
      </c>
      <c r="E119" s="190"/>
    </row>
    <row r="120" spans="1:33" ht="15" customHeight="1" x14ac:dyDescent="0.25">
      <c r="A120" s="192" t="s">
        <v>83</v>
      </c>
      <c r="B120" s="185">
        <f ca="1">M115</f>
        <v>-40535.145380015121</v>
      </c>
      <c r="C120" s="193">
        <f t="shared" ca="1" si="47"/>
        <v>3.9739977202344536E-3</v>
      </c>
      <c r="D120" s="194">
        <f t="shared" ca="1" si="48"/>
        <v>6.4102250076355245E-3</v>
      </c>
      <c r="E120" s="190"/>
      <c r="V120" s="149"/>
      <c r="W120" s="132"/>
      <c r="X120" s="132"/>
      <c r="Y120" s="132"/>
    </row>
    <row r="121" spans="1:33" ht="15" customHeight="1" x14ac:dyDescent="0.25">
      <c r="A121" s="192" t="s">
        <v>84</v>
      </c>
      <c r="B121" s="185">
        <f ca="1">N115</f>
        <v>-1066785.0797426223</v>
      </c>
      <c r="C121" s="193">
        <f t="shared" ca="1" si="47"/>
        <v>0.10458582139358617</v>
      </c>
      <c r="D121" s="194">
        <f t="shared" ca="1" si="48"/>
        <v>0.16870131664336133</v>
      </c>
      <c r="E121" s="190"/>
      <c r="V121" s="149"/>
      <c r="W121" s="132"/>
      <c r="X121" s="132"/>
      <c r="Y121" s="132"/>
    </row>
    <row r="122" spans="1:33" ht="15" customHeight="1" x14ac:dyDescent="0.25">
      <c r="A122" s="192" t="s">
        <v>986</v>
      </c>
      <c r="B122" s="185">
        <f ca="1">O115</f>
        <v>-7499399.4583572084</v>
      </c>
      <c r="C122" s="193">
        <f t="shared" ca="1" si="47"/>
        <v>0.73522855465895276</v>
      </c>
      <c r="D122" s="194">
        <f t="shared" ca="1" si="48"/>
        <v>1.185954497005723</v>
      </c>
      <c r="E122" s="190"/>
      <c r="V122" s="149"/>
      <c r="W122" s="132"/>
      <c r="X122" s="132"/>
      <c r="Y122" s="132"/>
    </row>
    <row r="123" spans="1:33" ht="15" customHeight="1" x14ac:dyDescent="0.25">
      <c r="A123" s="192" t="s">
        <v>85</v>
      </c>
      <c r="B123" s="185">
        <f ca="1">P115</f>
        <v>0</v>
      </c>
      <c r="C123" s="193">
        <f t="shared" ca="1" si="47"/>
        <v>0</v>
      </c>
      <c r="D123" s="194">
        <f t="shared" ca="1" si="48"/>
        <v>0</v>
      </c>
      <c r="E123" s="190"/>
      <c r="V123" s="149"/>
      <c r="W123" s="132"/>
      <c r="X123" s="132"/>
      <c r="Y123" s="132"/>
    </row>
    <row r="124" spans="1:33" ht="15" customHeight="1" x14ac:dyDescent="0.25">
      <c r="A124" s="192" t="s">
        <v>86</v>
      </c>
      <c r="B124" s="185">
        <f ca="1">Q115</f>
        <v>0</v>
      </c>
      <c r="C124" s="193">
        <f t="shared" ca="1" si="47"/>
        <v>0</v>
      </c>
      <c r="D124" s="194">
        <f t="shared" ca="1" si="48"/>
        <v>0</v>
      </c>
      <c r="E124" s="190"/>
      <c r="V124" s="149"/>
      <c r="W124" s="132"/>
      <c r="X124" s="132"/>
      <c r="Y124" s="132"/>
    </row>
    <row r="125" spans="1:33" ht="29.25" customHeight="1" thickBot="1" x14ac:dyDescent="0.3">
      <c r="A125" s="195" t="s">
        <v>87</v>
      </c>
      <c r="B125" s="188">
        <f ca="1">R115</f>
        <v>-100252.42670379531</v>
      </c>
      <c r="C125" s="196">
        <f t="shared" ca="1" si="47"/>
        <v>9.8285799010672161E-3</v>
      </c>
      <c r="D125" s="197">
        <f t="shared" ca="1" si="48"/>
        <v>1.5853911629231623E-2</v>
      </c>
      <c r="E125" s="190"/>
      <c r="V125" s="149"/>
      <c r="W125" s="132"/>
      <c r="X125" s="132"/>
      <c r="Y125" s="132"/>
    </row>
    <row r="126" spans="1:33" ht="15" customHeight="1" thickTop="1" x14ac:dyDescent="0.25">
      <c r="D126" s="189"/>
      <c r="E126" s="190"/>
      <c r="K126"/>
      <c r="L126"/>
      <c r="M126"/>
      <c r="V126" s="149"/>
      <c r="W126" s="132"/>
      <c r="X126" s="132"/>
      <c r="Y126" s="132"/>
    </row>
    <row r="127" spans="1:33" ht="15" customHeight="1" x14ac:dyDescent="0.25">
      <c r="D127" s="189"/>
      <c r="E127" s="190"/>
      <c r="K127"/>
      <c r="L127"/>
      <c r="M127"/>
      <c r="V127" s="149"/>
      <c r="W127" s="132"/>
      <c r="X127" s="132"/>
      <c r="Y127" s="132"/>
    </row>
    <row r="128" spans="1:33" ht="42.75" customHeight="1" thickBot="1" x14ac:dyDescent="0.3">
      <c r="A128" s="226" t="s">
        <v>260</v>
      </c>
      <c r="B128" s="397">
        <f>(1+inflation_rate)^(startup_year-ref_year)</f>
        <v>1.5710153055430329</v>
      </c>
      <c r="P128" s="703"/>
    </row>
    <row r="129" spans="1:22" ht="51.75" customHeight="1" thickBot="1" x14ac:dyDescent="0.35">
      <c r="A129" s="198" t="s">
        <v>154</v>
      </c>
      <c r="B129" s="199"/>
      <c r="C129" s="199"/>
      <c r="D129" s="199"/>
      <c r="E129" s="199"/>
      <c r="F129" s="199"/>
      <c r="G129" s="199"/>
      <c r="H129" s="199"/>
      <c r="I129" s="199"/>
      <c r="J129" s="199"/>
      <c r="K129" s="199"/>
      <c r="L129" s="199"/>
      <c r="M129" s="199"/>
      <c r="N129" s="199"/>
      <c r="O129" s="199"/>
      <c r="P129" s="702"/>
      <c r="Q129" s="199"/>
      <c r="R129" s="199"/>
      <c r="S129" s="199"/>
      <c r="T129" s="199"/>
      <c r="U129" s="199"/>
      <c r="V129" s="234"/>
    </row>
    <row r="130" spans="1:22" ht="31.95" customHeight="1" thickTop="1" thickBot="1" x14ac:dyDescent="0.35">
      <c r="A130" s="354"/>
      <c r="B130" s="200" t="s">
        <v>66</v>
      </c>
      <c r="C130" s="228"/>
      <c r="D130" s="228"/>
      <c r="E130" s="147"/>
      <c r="F130" s="201" t="s">
        <v>67</v>
      </c>
      <c r="G130" s="228"/>
      <c r="H130" s="228"/>
      <c r="I130" s="229"/>
      <c r="J130" s="507" t="s">
        <v>984</v>
      </c>
      <c r="K130" s="231" t="s">
        <v>68</v>
      </c>
      <c r="L130" s="147"/>
      <c r="M130" s="147"/>
      <c r="N130" s="191"/>
      <c r="O130" s="375" t="s">
        <v>69</v>
      </c>
      <c r="P130" s="380"/>
      <c r="Q130" s="380"/>
      <c r="R130" s="381"/>
      <c r="S130" s="200" t="s">
        <v>72</v>
      </c>
      <c r="T130" s="391"/>
      <c r="U130" s="391"/>
      <c r="V130" s="392"/>
    </row>
    <row r="131" spans="1:22" ht="30.75" customHeight="1" thickTop="1" thickBot="1" x14ac:dyDescent="0.35">
      <c r="A131" s="355" t="s">
        <v>262</v>
      </c>
      <c r="B131" s="357" t="str">
        <f>Input_Sheet_Template!$B$75</f>
        <v>Industrial Natural Gas</v>
      </c>
      <c r="C131" s="358" t="str">
        <f>Input_Sheet_Template!$B$77</f>
        <v>Commercial Electricity</v>
      </c>
      <c r="D131" s="358"/>
      <c r="E131" s="358"/>
      <c r="F131" s="359"/>
      <c r="G131" s="358"/>
      <c r="H131" s="358"/>
      <c r="I131" s="360"/>
      <c r="J131" s="515" t="str">
        <f>IF(CO2_CashFlow_eUse&gt;0,'HyARC Physical Property Data'!A77,"")</f>
        <v/>
      </c>
      <c r="K131" s="509"/>
      <c r="L131" s="361"/>
      <c r="M131" s="361"/>
      <c r="N131" s="362"/>
      <c r="O131" s="376" t="s">
        <v>70</v>
      </c>
      <c r="P131" s="382" t="str">
        <f>Input_Sheet_Template!$B$138</f>
        <v>Process Water</v>
      </c>
      <c r="Q131" s="382"/>
      <c r="R131" s="383"/>
      <c r="S131" s="376" t="s">
        <v>70</v>
      </c>
      <c r="T131" s="382"/>
      <c r="U131" s="382"/>
      <c r="V131" s="383"/>
    </row>
    <row r="132" spans="1:22" ht="31.5" customHeight="1" thickBot="1" x14ac:dyDescent="0.35">
      <c r="A132" s="356" t="s">
        <v>920</v>
      </c>
      <c r="B132" s="363">
        <f>Input_Sheet_Template!$C$75</f>
        <v>1.0549999999999999</v>
      </c>
      <c r="C132" s="364">
        <f>Input_Sheet_Template!$C$77</f>
        <v>3.5999999999999995E-3</v>
      </c>
      <c r="D132" s="364"/>
      <c r="E132" s="364"/>
      <c r="F132" s="365"/>
      <c r="G132" s="364"/>
      <c r="H132" s="364"/>
      <c r="I132" s="366"/>
      <c r="J132" s="516">
        <f>IF(J131="",0,VLOOKUP(J131,MASTER_PROPERTY_TABLE,9,FALSE))</f>
        <v>0</v>
      </c>
      <c r="K132" s="510"/>
      <c r="L132" s="367"/>
      <c r="M132" s="367"/>
      <c r="N132" s="368"/>
      <c r="O132" s="377" t="s">
        <v>263</v>
      </c>
      <c r="P132" s="704">
        <f>Input_Sheet_Template!$D$138</f>
        <v>4.38</v>
      </c>
      <c r="Q132" s="704"/>
      <c r="R132" s="705"/>
      <c r="S132" s="377" t="s">
        <v>263</v>
      </c>
      <c r="T132" s="384"/>
      <c r="U132" s="384"/>
      <c r="V132" s="385"/>
    </row>
    <row r="133" spans="1:22" ht="16.5" customHeight="1" thickBot="1" x14ac:dyDescent="0.35">
      <c r="A133" s="356" t="s">
        <v>263</v>
      </c>
      <c r="B133" s="363">
        <f ca="1">feedstockIndustrial_Natural_Gas_Usage</f>
        <v>0.145799343</v>
      </c>
      <c r="C133" s="364">
        <f ca="1">feedstockCommercial_Electricity_Usage</f>
        <v>2.2679999999999998</v>
      </c>
      <c r="D133" s="364"/>
      <c r="E133" s="364"/>
      <c r="F133" s="365"/>
      <c r="G133" s="364"/>
      <c r="H133" s="364"/>
      <c r="I133" s="366"/>
      <c r="J133" s="516"/>
      <c r="K133" s="510"/>
      <c r="L133" s="367"/>
      <c r="M133" s="367"/>
      <c r="N133" s="368"/>
      <c r="O133" s="377" t="s">
        <v>71</v>
      </c>
      <c r="P133" s="384">
        <f>Input_Sheet_Template!$C$138</f>
        <v>2.374951094500801E-3</v>
      </c>
      <c r="Q133" s="384"/>
      <c r="R133" s="385"/>
      <c r="S133" s="377" t="s">
        <v>73</v>
      </c>
      <c r="T133" s="384"/>
      <c r="U133" s="384"/>
      <c r="V133" s="385"/>
    </row>
    <row r="134" spans="1:22" ht="16.5" customHeight="1" thickBot="1" x14ac:dyDescent="0.35">
      <c r="A134" s="356" t="s">
        <v>264</v>
      </c>
      <c r="B134" s="363">
        <f>feedstockIndustrial_Natural_Gas_Price</f>
        <v>3.7336748144174337</v>
      </c>
      <c r="C134" s="364">
        <f>feedstockCommercial_Electricity_Price</f>
        <v>0.10775596291985907</v>
      </c>
      <c r="D134" s="364"/>
      <c r="E134" s="364"/>
      <c r="F134" s="365"/>
      <c r="G134" s="364"/>
      <c r="H134" s="364"/>
      <c r="I134" s="366"/>
      <c r="J134" s="516">
        <f>IF(J131="",0,CO2_eCost)</f>
        <v>0</v>
      </c>
      <c r="K134" s="510"/>
      <c r="L134" s="367"/>
      <c r="M134" s="367"/>
      <c r="N134" s="368"/>
      <c r="O134" s="378" t="s">
        <v>265</v>
      </c>
      <c r="P134" s="386" t="str">
        <f>Input_Sheet_Template!$F$138</f>
        <v>Yes</v>
      </c>
      <c r="Q134" s="386"/>
      <c r="R134" s="387"/>
      <c r="S134" s="378" t="s">
        <v>265</v>
      </c>
      <c r="T134" s="393"/>
      <c r="U134" s="393"/>
      <c r="V134" s="394"/>
    </row>
    <row r="135" spans="1:22" ht="16.5" customHeight="1" thickBot="1" x14ac:dyDescent="0.35">
      <c r="A135" s="398" t="s">
        <v>265</v>
      </c>
      <c r="B135" s="369" t="str">
        <f>Input_Sheet_Template!$G$75</f>
        <v>yes</v>
      </c>
      <c r="C135" s="370" t="str">
        <f>Input_Sheet_Template!$G$77</f>
        <v>yes</v>
      </c>
      <c r="D135" s="370"/>
      <c r="E135" s="370"/>
      <c r="F135" s="371"/>
      <c r="G135" s="370"/>
      <c r="H135" s="370"/>
      <c r="I135" s="372"/>
      <c r="J135" s="517" t="str">
        <f>IF(J131="","","yes")</f>
        <v/>
      </c>
      <c r="K135" s="511"/>
      <c r="L135" s="373"/>
      <c r="M135" s="373"/>
      <c r="N135" s="374"/>
      <c r="O135" s="379"/>
      <c r="P135" s="388"/>
      <c r="Q135" s="388"/>
      <c r="R135" s="389"/>
      <c r="S135" s="390"/>
      <c r="T135" s="395"/>
      <c r="U135" s="395"/>
      <c r="V135" s="396"/>
    </row>
    <row r="136" spans="1:22" ht="30" customHeight="1" thickBot="1" x14ac:dyDescent="0.35">
      <c r="A136" s="356" t="s">
        <v>520</v>
      </c>
      <c r="B136" s="461">
        <f ca="1">IF(B131="",0,VLOOKUP(B131,MASTER_PROPERTY_TABLE,11,FALSE)*B132*B133)</f>
        <v>8.6623300401302146</v>
      </c>
      <c r="C136" s="462">
        <f ca="1">IF(C131="",0,VLOOKUP(C131,MASTER_PROPERTY_TABLE,11,FALSE)*C132*C133)</f>
        <v>0</v>
      </c>
      <c r="D136" s="462">
        <f>IF(D131="",0,VLOOKUP(D131,MASTER_PROPERTY_TABLE,11,FALSE)*D132*D133)</f>
        <v>0</v>
      </c>
      <c r="E136" s="463">
        <f>IF(E131="",0,VLOOKUP(E131,MASTER_PROPERTY_TABLE,11,FALSE)*E132*E133)</f>
        <v>0</v>
      </c>
      <c r="F136" s="461">
        <f>IF(F131="",,VLOOKUP(F131,MASTER_PROPERTY_TABLE,11,FALSE)*F132*F133)</f>
        <v>0</v>
      </c>
      <c r="G136" s="462">
        <f>IF(G131="",,VLOOKUP(G131,MASTER_PROPERTY_TABLE,11,FALSE)*G132*G133)</f>
        <v>0</v>
      </c>
      <c r="H136" s="462">
        <f>IF(H131="",,VLOOKUP(H131,MASTER_PROPERTY_TABLE,11,FALSE)*H132*H133)</f>
        <v>0</v>
      </c>
      <c r="I136" s="462">
        <f>IF(I131="",,VLOOKUP(I131,MASTER_PROPERTY_TABLE,11,FALSE)*I132*I133)</f>
        <v>0</v>
      </c>
      <c r="J136" s="463">
        <f>IF($J$131="",0,VLOOKUP($J$131,MASTER_PROPERTY_TABLE,12,FALSE)*$J$132*$J$133)</f>
        <v>0</v>
      </c>
      <c r="K136" s="364"/>
      <c r="L136" s="367"/>
      <c r="M136" s="367"/>
      <c r="N136" s="368"/>
      <c r="O136" s="401"/>
      <c r="P136" s="399"/>
      <c r="Q136" s="399"/>
      <c r="R136" s="400"/>
      <c r="S136" s="402"/>
      <c r="T136" s="403"/>
      <c r="U136" s="403"/>
      <c r="V136" s="404"/>
    </row>
    <row r="137" spans="1:22" ht="30" customHeight="1" thickBot="1" x14ac:dyDescent="0.35">
      <c r="A137" s="460" t="s">
        <v>921</v>
      </c>
      <c r="B137" s="405">
        <f ca="1">IF(B131="",0,IF(VLOOKUP(B131,MASTER_PROPERTY_TABLE,12,FALSE)="English",mmBTU_to_GJ,1))</f>
        <v>1</v>
      </c>
      <c r="C137" s="406">
        <f ca="1">IF(C131="",0,IF(VLOOKUP(C131,MASTER_PROPERTY_TABLE,12,FALSE)="English",mmBTU_to_GJ,1))</f>
        <v>1</v>
      </c>
      <c r="D137" s="406">
        <f>IF(D131="",0,IF(VLOOKUP(D131,MASTER_PROPERTY_TABLE,12,FALSE)="English",mmBTU_to_GJ,1))</f>
        <v>0</v>
      </c>
      <c r="E137" s="407">
        <f>IF(E131="",,IF(VLOOKUP(E131,MASTER_PROPERTY_TABLE,12,FALSE)="English",mmBTU_to_GJ,1))</f>
        <v>0</v>
      </c>
      <c r="F137" s="405">
        <f>IF(F131="",,IF(VLOOKUP(F131,MASTER_PROPERTY_TABLE,12,FALSE)="English",mmBTU_to_GJ,1))</f>
        <v>0</v>
      </c>
      <c r="G137" s="406">
        <f>IF(G131="",,IF(VLOOKUP(G131,MASTER_PROPERTY_TABLE,12,FALSE)="English",mmBTU_to_GJ,1))</f>
        <v>0</v>
      </c>
      <c r="H137" s="406">
        <f>IF(H131="",,IF(VLOOKUP(H131,MASTER_PROPERTY_TABLE,12,FALSE)="English",mmBTU_to_GJ,1))</f>
        <v>0</v>
      </c>
      <c r="I137" s="406">
        <f>IF(I131="",,IF(VLOOKUP(I131,MASTER_PROPERTY_TABLE,12,FALSE)="English",mmBTU_to_GJ,1))</f>
        <v>0</v>
      </c>
      <c r="J137" s="407">
        <f>IF($J$131="",0,IF(VLOOKUP($J$131,MASTER_PROPERTY_TABLE,12,FALSE)="English",mmBTU_to_GJ,1))</f>
        <v>0</v>
      </c>
      <c r="K137" s="406">
        <f>IF(K131="",,IF(VLOOKUP(K131,MASTER_PROPERTY_TABLE,12,FALSE)="English",mmBTU_to_GJ,1))</f>
        <v>0</v>
      </c>
      <c r="L137" s="406">
        <f>IF(L131="",,IF(VLOOKUP(L131,MASTER_PROPERTY_TABLE,12,FALSE)="English",mmBTU_to_GJ,1))</f>
        <v>0</v>
      </c>
      <c r="M137" s="406">
        <f>IF(M131="",,IF(VLOOKUP(M131,MASTER_PROPERTY_TABLE,12,FALSE)="English",mmBTU_to_GJ,1))</f>
        <v>0</v>
      </c>
      <c r="N137" s="406">
        <f>IF(N131="",,IF(VLOOKUP(N131,MASTER_PROPERTY_TABLE,12,FALSE)="English",mmBTU_to_GJ,1))</f>
        <v>0</v>
      </c>
      <c r="O137" s="459"/>
      <c r="P137" s="457"/>
      <c r="Q137" s="457"/>
      <c r="R137" s="458"/>
      <c r="S137" s="390"/>
      <c r="T137" s="395"/>
      <c r="U137" s="395"/>
      <c r="V137" s="396"/>
    </row>
    <row r="138" spans="1:22" ht="38.25" customHeight="1" thickTop="1" x14ac:dyDescent="0.25">
      <c r="A138" s="202" t="s">
        <v>1016</v>
      </c>
      <c r="B138" s="235" t="str">
        <f t="shared" ref="B138:N138" si="49">IF(B$131="","",B$131&amp;" ($/kg of H2)")</f>
        <v>Industrial Natural Gas ($/kg of H2)</v>
      </c>
      <c r="C138" s="235" t="str">
        <f t="shared" si="49"/>
        <v>Commercial Electricity ($/kg of H2)</v>
      </c>
      <c r="D138" s="235" t="str">
        <f t="shared" si="49"/>
        <v/>
      </c>
      <c r="E138" s="235" t="str">
        <f t="shared" si="49"/>
        <v/>
      </c>
      <c r="F138" s="235" t="str">
        <f t="shared" si="49"/>
        <v/>
      </c>
      <c r="G138" s="235" t="str">
        <f t="shared" si="49"/>
        <v/>
      </c>
      <c r="H138" s="235" t="str">
        <f t="shared" si="49"/>
        <v/>
      </c>
      <c r="I138" s="508" t="str">
        <f t="shared" si="49"/>
        <v/>
      </c>
      <c r="J138" s="514"/>
      <c r="K138" s="512" t="str">
        <f t="shared" si="49"/>
        <v/>
      </c>
      <c r="L138" s="235" t="str">
        <f t="shared" si="49"/>
        <v/>
      </c>
      <c r="M138" s="235" t="str">
        <f t="shared" si="49"/>
        <v/>
      </c>
      <c r="N138" s="235" t="str">
        <f t="shared" si="49"/>
        <v/>
      </c>
      <c r="O138" s="235"/>
      <c r="P138" s="235" t="str">
        <f>IF(P$131="","",P$131&amp;" ($/kg of H2)")</f>
        <v>Process Water ($/kg of H2)</v>
      </c>
      <c r="Q138" s="235" t="str">
        <f>IF(Q$131="","",Q$131&amp;" ($/kg of H2)")</f>
        <v/>
      </c>
      <c r="R138" s="235" t="str">
        <f>IF(R$131="","",R$131&amp;" ($/kg of H2)")</f>
        <v/>
      </c>
      <c r="S138" s="236"/>
      <c r="T138" s="235" t="str">
        <f>IF(T$131="","",T$131&amp;" ($/kg of H2)")</f>
        <v/>
      </c>
      <c r="U138" s="235" t="str">
        <f>IF(U$131="","",U$131&amp;" ($/kg of H2)")</f>
        <v/>
      </c>
      <c r="V138" s="235" t="str">
        <f>IF(V$131="","",V$131&amp;" ($/kg of H2)")</f>
        <v/>
      </c>
    </row>
    <row r="139" spans="1:22" ht="15" customHeight="1" x14ac:dyDescent="0.25">
      <c r="A139" s="203">
        <f t="shared" ref="A139:A182" si="50">IF(A65="","",A65)</f>
        <v>2039</v>
      </c>
      <c r="B139" s="205">
        <f ca="1">IF($A139="","",IF($B$131="","",IF($B$135="no",INFLATION_FACTOR*$B$133*$B$134,INFLATION_FACTOR*$B$133*$B$132*INDEX(FEEDPRICETABLE,MATCH($B$131,List_Energy_Feedstocks,0),MATCH($A139,Feedstock_Year,0)))))</f>
        <v>1.3688167826878421</v>
      </c>
      <c r="C139" s="205">
        <f t="shared" ref="C139:C182" ca="1" si="51">IF($A139="","",IF($C$131="","",IF($C$135="no",INFLATION_FACTOR*$C$133*$C$134,INFLATION_FACTOR*$C$133*$C$132*INDEX(FEEDPRICETABLE,MATCH($C$131,List_Energy_Feedstocks,0),MATCH($A139,Feedstock_Year,0)))))</f>
        <v>0.41117541620151149</v>
      </c>
      <c r="D139" s="205" t="str">
        <f t="shared" ref="D139:D182" si="52">IF($A139="","",IF($D$131="","",IF($D$135="no",INFLATION_FACTOR*$D$133*$D$134,INFLATION_FACTOR*$D$133*$D$132*INDEX(FEEDPRICETABLE,MATCH($D$131,List_Energy_Feedstocks,0),MATCH($A139,Feedstock_Year,0)))))</f>
        <v/>
      </c>
      <c r="E139" s="232" t="str">
        <f t="shared" ref="E139:E182" si="53">IF($A139="","",IF($E$131="","",IF($E$135="no",INFLATION_FACTOR*$E$133*$E$134,INFLATION_FACTOR*$E$133*$E$132*INDEX(FEEDPRICETABLE,MATCH($E$131,List_Energy_Feedstocks,0),MATCH($A139,Feedstock_Year,0)))))</f>
        <v/>
      </c>
      <c r="F139" s="204" t="str">
        <f>IF($A139="","",IF($F$131="","",IF($F$135="no",INFLATION_FACTOR*$F$133*$F$134,INFLATION_FACTOR*$F$133*$F$132*INDEX(FEEDPRICETABLE,MATCH($F$131,List_Energy_Feedstocks,0),MATCH($A139,Feedstock_Year,0)))))</f>
        <v/>
      </c>
      <c r="G139" s="205" t="str">
        <f t="shared" ref="G139:G182" si="54">IF($A139="","",IF($G$131="","",IF($G$135="no",INFLATION_FACTOR*$G$133*$G$134,INFLATION_FACTOR*$G$133*$G$132*INDEX(FEEDPRICETABLE,MATCH($G$131,List_Energy_Feedstocks,0),MATCH($A139,Feedstock_Year,0)))))</f>
        <v/>
      </c>
      <c r="H139" s="205" t="str">
        <f t="shared" ref="H139:H182" si="55">IF($A139="","",IF($H$131="","",IF($H$135="no",INFLATION_FACTOR*$H$133*$H$134,INFLATION_FACTOR*$H$133*$H$132*INDEX(FEEDPRICETABLE,MATCH(H$131,List_Energy_Feedstocks,0),MATCH($A139,Feedstock_Year,0)))))</f>
        <v/>
      </c>
      <c r="I139" s="232" t="str">
        <f t="shared" ref="I139:I182" si="56">IF($A139="","",IF($I$131="","",IF($I$135="no",INFLATION_FACTOR*$I$133*$I$134,INFLATION_FACTOR*$I$133*$I$132*INDEX(FEEDPRICETABLE,MATCH($I$131,List_Energy_Feedstocks,0),MATCH($A139,Feedstock_Year,0)))))</f>
        <v/>
      </c>
      <c r="J139" s="513" t="str">
        <f t="shared" ref="J139:J182" si="57">IF($A139="","",IF($J$131="","",IF($J$135="no",INFLATION_FACTOR*$J$133*$J$134,INFLATION_FACTOR*$J$133*$J$132*INDEX(FEEDPRICETABLE,MATCH($J$131,List_Energy_Feedstocks,0),MATCH($A139,Feedstock_Year,0)))))</f>
        <v/>
      </c>
      <c r="K139" s="230" t="str">
        <f t="shared" ref="K139:K182" si="58">IF($A139="","",IF($K$131="","",IF($K$135="no",INFLATION_FACTOR*$K$133*$K$134,INFLATION_FACTOR*$K$133*$K$132*INDEX(FEEDPRICETABLE,MATCH($K$131,List_Energy_Feedstocks,0),MATCH($A139,Feedstock_Year,0)))))</f>
        <v/>
      </c>
      <c r="L139" s="230" t="str">
        <f t="shared" ref="L139:L182" si="59">IF($A139="","",IF($L$131="","",IF($L$135="no",INFLATION_FACTOR*$L$133*$L$134,INFLATION_FACTOR*$L$133*$L$132*INDEX(FEEDPRICETABLE,MATCH($L$131,List_Energy_Feedstocks,0),MATCH($A139,Feedstock_Year,0)))))</f>
        <v/>
      </c>
      <c r="M139" s="205" t="str">
        <f t="shared" ref="M139:M182" si="60">IF($A139="","",IF(M$131="","",IF($M$135="no",INFLATION_FACTOR*$M$133*$M$134,INFLATION_FACTOR*$M$133*$M$132*INDEX(FEEDPRICETABLE,MATCH($M$131,List_Energy_Feedstocks,0),MATCH($A139,Feedstock_Year,0)))))</f>
        <v/>
      </c>
      <c r="N139" s="233" t="str">
        <f t="shared" ref="N139:N182" si="61">IF($A139="","",IF($N$131="","",IF($N$135="no",INFLATION_FACTOR*$N$133*$N$134,INFLATION_FACTOR*$N$133*$N$132*INDEX(FEEDPRICETABLE,MATCH($N$131,List_Energy_Feedstocks,0),MATCH($A139,Feedstock_Year,0)))))</f>
        <v/>
      </c>
      <c r="O139" s="237"/>
      <c r="P139" s="227">
        <f ca="1">IF(OR($A139="",$P$131=""),"",IF($P$134="No",INFLATION_FACTOR*$P$132*$P$133,INFLATION_FACTOR*$P$132*INDEX(Tbl_Other_Inputs_and_Byproducts,MATCH($P$131,Other_Inputs_List,0),MATCH($A139,Other_Inputs_years,0))))</f>
        <v>1.634215019487098E-2</v>
      </c>
      <c r="Q139" s="227" t="str">
        <f>IF(OR($A139="",$Q$131=""),"",IF($Q$134="No",INFLATION_FACTOR*$Q$132*$Q$133,INFLATION_FACTOR*$Q$132*INDEX(Tbl_Other_Inputs_and_Byproducts,MATCH($Q$131,Other_Inputs_List,0),MATCH($A139,Other_Inputs_years,0))))</f>
        <v/>
      </c>
      <c r="R139" s="227" t="str">
        <f t="shared" ref="R139:R182" si="62">IF(OR($A139="",$R$131=""),"",IF($R$134="No",INFLATION_FACTOR*$R$132*$R$133,INFLATION_FACTOR*$R$132*INDEX(Tbl_Other_Inputs_and_Byproducts,MATCH($R$131,Other_Inputs_List,0),MATCH($A139,Other_Inputs_years,0))))</f>
        <v/>
      </c>
      <c r="S139" s="237"/>
      <c r="T139" s="227" t="str">
        <f t="shared" ref="T139:T182" si="63">IF(OR($A139="",$T$131=""),"",IF($T$134="No",INFLATION_FACTOR*$T$132*$T$133,INFLATION_FACTOR*$T$132*INDEX(Tbl_Other_Inputs_and_Byproducts,MATCH($T$131,Other_Inputs_List,0),MATCH($A139,Other_Inputs_years,0))))</f>
        <v/>
      </c>
      <c r="U139" s="227" t="str">
        <f t="shared" ref="U139:U182" si="64">IF(OR($A139="",$U$131=""),"",IF($U$134="No",INFLATION_FACTOR*$U$132*$U$133,INFLATION_FACTOR*$U$132*INDEX(Tbl_Other_Inputs_and_Byproducts,MATCH($U$131,Other_Inputs_List,0),MATCH($A139,Other_Inputs_years,0))))</f>
        <v/>
      </c>
      <c r="V139" s="227" t="str">
        <f t="shared" ref="V139:V182" si="65">IF(OR($A139="",$V$131=""),"",IF($V$134="No",INFLATION_FACTOR*$V$132*$V$133,INFLATION_FACTOR*$V$132*INDEX(Tbl_Other_Inputs_and_Byproducts,MATCH($V$131,Other_Inputs_List,0),MATCH($A139,Other_Inputs_years,0))))</f>
        <v/>
      </c>
    </row>
    <row r="140" spans="1:22" ht="15" customHeight="1" x14ac:dyDescent="0.25">
      <c r="A140" s="203">
        <f t="shared" si="50"/>
        <v>2040</v>
      </c>
      <c r="B140" s="205">
        <f t="shared" ref="B140:B182" ca="1" si="66">IF($A140="","",IF($B$131="","",IF($B$135="no",INFLATION_FACTOR*$B$133*$B$134,INFLATION_FACTOR*$B$133*$B$132*INDEX(FEEDPRICETABLE,MATCH($B$131,List_Energy_Feedstocks,0),MATCH($A140,Feedstock_Year,0)))))</f>
        <v>1.3584478747399373</v>
      </c>
      <c r="C140" s="205">
        <f t="shared" ca="1" si="51"/>
        <v>0.4102826418055307</v>
      </c>
      <c r="D140" s="205" t="str">
        <f t="shared" si="52"/>
        <v/>
      </c>
      <c r="E140" s="232" t="str">
        <f t="shared" si="53"/>
        <v/>
      </c>
      <c r="F140" s="204" t="str">
        <f t="shared" ref="F140:F182" si="67">IF($A140="","",IF($F$131="","",IF($F$135="no",INFLATION_FACTOR*$F$133*$F$134,INFLATION_FACTOR*$F$133*$F$132*INDEX(FEEDPRICETABLE,MATCH($F$131,List_Energy_Feedstocks,0),MATCH($A140,Feedstock_Year,0)))))</f>
        <v/>
      </c>
      <c r="G140" s="205" t="str">
        <f t="shared" si="54"/>
        <v/>
      </c>
      <c r="H140" s="205" t="str">
        <f t="shared" si="55"/>
        <v/>
      </c>
      <c r="I140" s="232" t="str">
        <f t="shared" si="56"/>
        <v/>
      </c>
      <c r="J140" s="513" t="str">
        <f t="shared" si="57"/>
        <v/>
      </c>
      <c r="K140" s="230" t="str">
        <f t="shared" si="58"/>
        <v/>
      </c>
      <c r="L140" s="230" t="str">
        <f t="shared" si="59"/>
        <v/>
      </c>
      <c r="M140" s="205" t="str">
        <f t="shared" si="60"/>
        <v/>
      </c>
      <c r="N140" s="233" t="str">
        <f t="shared" si="61"/>
        <v/>
      </c>
      <c r="O140" s="238"/>
      <c r="P140" s="227">
        <f t="shared" ref="P140:P182" ca="1" si="68">IF(OR($A140="",$P$131=""),"",IF($P$134="No",INFLATION_FACTOR*$P$132*$P$133,INFLATION_FACTOR*$P$132*INDEX(Tbl_Other_Inputs_and_Byproducts,MATCH($P$131,Other_Inputs_List,0),MATCH($A140,Other_Inputs_years,0))))</f>
        <v>1.634215019487098E-2</v>
      </c>
      <c r="Q140" s="227" t="str">
        <f t="shared" ref="Q140:Q182" si="69">IF(OR($A140="",$Q$131=""),"",IF($Q$134="No",INFLATION_FACTOR*$Q$132*$Q$133,INFLATION_FACTOR*$Q$132*INDEX(Tbl_Other_Inputs_and_Byproducts,MATCH($Q$131,Other_Inputs_List,0),MATCH($A140,Other_Inputs_years,0))))</f>
        <v/>
      </c>
      <c r="R140" s="227" t="str">
        <f t="shared" si="62"/>
        <v/>
      </c>
      <c r="S140" s="237"/>
      <c r="T140" s="227" t="str">
        <f t="shared" si="63"/>
        <v/>
      </c>
      <c r="U140" s="227" t="str">
        <f t="shared" si="64"/>
        <v/>
      </c>
      <c r="V140" s="227" t="str">
        <f t="shared" si="65"/>
        <v/>
      </c>
    </row>
    <row r="141" spans="1:22" ht="15" customHeight="1" x14ac:dyDescent="0.25">
      <c r="A141" s="203">
        <f t="shared" si="50"/>
        <v>2041</v>
      </c>
      <c r="B141" s="205">
        <f t="shared" ca="1" si="66"/>
        <v>1.3595465836579226</v>
      </c>
      <c r="C141" s="205">
        <f t="shared" ca="1" si="51"/>
        <v>0.40897149756881768</v>
      </c>
      <c r="D141" s="205" t="str">
        <f t="shared" si="52"/>
        <v/>
      </c>
      <c r="E141" s="232" t="str">
        <f t="shared" si="53"/>
        <v/>
      </c>
      <c r="F141" s="204" t="str">
        <f t="shared" si="67"/>
        <v/>
      </c>
      <c r="G141" s="205" t="str">
        <f t="shared" si="54"/>
        <v/>
      </c>
      <c r="H141" s="205" t="str">
        <f t="shared" si="55"/>
        <v/>
      </c>
      <c r="I141" s="232" t="str">
        <f t="shared" si="56"/>
        <v/>
      </c>
      <c r="J141" s="513" t="str">
        <f t="shared" si="57"/>
        <v/>
      </c>
      <c r="K141" s="230" t="str">
        <f t="shared" si="58"/>
        <v/>
      </c>
      <c r="L141" s="230" t="str">
        <f t="shared" si="59"/>
        <v/>
      </c>
      <c r="M141" s="205" t="str">
        <f t="shared" si="60"/>
        <v/>
      </c>
      <c r="N141" s="233" t="str">
        <f t="shared" si="61"/>
        <v/>
      </c>
      <c r="O141" s="238"/>
      <c r="P141" s="227">
        <f t="shared" ca="1" si="68"/>
        <v>1.634215019487098E-2</v>
      </c>
      <c r="Q141" s="227" t="str">
        <f t="shared" si="69"/>
        <v/>
      </c>
      <c r="R141" s="227" t="str">
        <f t="shared" si="62"/>
        <v/>
      </c>
      <c r="S141" s="237"/>
      <c r="T141" s="227" t="str">
        <f t="shared" si="63"/>
        <v/>
      </c>
      <c r="U141" s="227" t="str">
        <f t="shared" si="64"/>
        <v/>
      </c>
      <c r="V141" s="227" t="str">
        <f t="shared" si="65"/>
        <v/>
      </c>
    </row>
    <row r="142" spans="1:22" ht="15" customHeight="1" x14ac:dyDescent="0.25">
      <c r="A142" s="203">
        <f t="shared" si="50"/>
        <v>2042</v>
      </c>
      <c r="B142" s="205">
        <f t="shared" ca="1" si="66"/>
        <v>1.3726369548877735</v>
      </c>
      <c r="C142" s="205">
        <f t="shared" ca="1" si="51"/>
        <v>0.40893119488306773</v>
      </c>
      <c r="D142" s="205" t="str">
        <f t="shared" si="52"/>
        <v/>
      </c>
      <c r="E142" s="232" t="str">
        <f t="shared" si="53"/>
        <v/>
      </c>
      <c r="F142" s="204" t="str">
        <f t="shared" si="67"/>
        <v/>
      </c>
      <c r="G142" s="205" t="str">
        <f t="shared" si="54"/>
        <v/>
      </c>
      <c r="H142" s="205" t="str">
        <f t="shared" si="55"/>
        <v/>
      </c>
      <c r="I142" s="232" t="str">
        <f t="shared" si="56"/>
        <v/>
      </c>
      <c r="J142" s="513" t="str">
        <f t="shared" si="57"/>
        <v/>
      </c>
      <c r="K142" s="230" t="str">
        <f t="shared" si="58"/>
        <v/>
      </c>
      <c r="L142" s="230" t="str">
        <f t="shared" si="59"/>
        <v/>
      </c>
      <c r="M142" s="205" t="str">
        <f t="shared" si="60"/>
        <v/>
      </c>
      <c r="N142" s="233" t="str">
        <f t="shared" si="61"/>
        <v/>
      </c>
      <c r="O142" s="238"/>
      <c r="P142" s="227">
        <f t="shared" ca="1" si="68"/>
        <v>1.634215019487098E-2</v>
      </c>
      <c r="Q142" s="227" t="str">
        <f t="shared" si="69"/>
        <v/>
      </c>
      <c r="R142" s="227" t="str">
        <f t="shared" si="62"/>
        <v/>
      </c>
      <c r="S142" s="237"/>
      <c r="T142" s="227" t="str">
        <f t="shared" si="63"/>
        <v/>
      </c>
      <c r="U142" s="227" t="str">
        <f t="shared" si="64"/>
        <v/>
      </c>
      <c r="V142" s="227" t="str">
        <f t="shared" si="65"/>
        <v/>
      </c>
    </row>
    <row r="143" spans="1:22" ht="15" customHeight="1" x14ac:dyDescent="0.25">
      <c r="A143" s="203">
        <f t="shared" si="50"/>
        <v>2043</v>
      </c>
      <c r="B143" s="205">
        <f t="shared" ca="1" si="66"/>
        <v>1.3926734477260736</v>
      </c>
      <c r="C143" s="205">
        <f t="shared" ca="1" si="51"/>
        <v>0.40946208398673084</v>
      </c>
      <c r="D143" s="205" t="str">
        <f t="shared" si="52"/>
        <v/>
      </c>
      <c r="E143" s="232" t="str">
        <f t="shared" si="53"/>
        <v/>
      </c>
      <c r="F143" s="204" t="str">
        <f t="shared" si="67"/>
        <v/>
      </c>
      <c r="G143" s="205" t="str">
        <f t="shared" si="54"/>
        <v/>
      </c>
      <c r="H143" s="205" t="str">
        <f t="shared" si="55"/>
        <v/>
      </c>
      <c r="I143" s="232" t="str">
        <f t="shared" si="56"/>
        <v/>
      </c>
      <c r="J143" s="513" t="str">
        <f t="shared" si="57"/>
        <v/>
      </c>
      <c r="K143" s="230" t="str">
        <f t="shared" si="58"/>
        <v/>
      </c>
      <c r="L143" s="230" t="str">
        <f t="shared" si="59"/>
        <v/>
      </c>
      <c r="M143" s="205" t="str">
        <f t="shared" si="60"/>
        <v/>
      </c>
      <c r="N143" s="233" t="str">
        <f t="shared" si="61"/>
        <v/>
      </c>
      <c r="O143" s="238"/>
      <c r="P143" s="227">
        <f t="shared" ca="1" si="68"/>
        <v>1.634215019487098E-2</v>
      </c>
      <c r="Q143" s="227" t="str">
        <f t="shared" si="69"/>
        <v/>
      </c>
      <c r="R143" s="227" t="str">
        <f t="shared" si="62"/>
        <v/>
      </c>
      <c r="S143" s="237"/>
      <c r="T143" s="227" t="str">
        <f t="shared" si="63"/>
        <v/>
      </c>
      <c r="U143" s="227" t="str">
        <f t="shared" si="64"/>
        <v/>
      </c>
      <c r="V143" s="227" t="str">
        <f t="shared" si="65"/>
        <v/>
      </c>
    </row>
    <row r="144" spans="1:22" ht="15" customHeight="1" x14ac:dyDescent="0.25">
      <c r="A144" s="203">
        <f t="shared" si="50"/>
        <v>2044</v>
      </c>
      <c r="B144" s="205">
        <f t="shared" ca="1" si="66"/>
        <v>1.4064062785170977</v>
      </c>
      <c r="C144" s="205">
        <f t="shared" ca="1" si="51"/>
        <v>0.41005177975433743</v>
      </c>
      <c r="D144" s="205" t="str">
        <f t="shared" si="52"/>
        <v/>
      </c>
      <c r="E144" s="232" t="str">
        <f t="shared" si="53"/>
        <v/>
      </c>
      <c r="F144" s="204" t="str">
        <f t="shared" si="67"/>
        <v/>
      </c>
      <c r="G144" s="205" t="str">
        <f t="shared" si="54"/>
        <v/>
      </c>
      <c r="H144" s="205" t="str">
        <f t="shared" si="55"/>
        <v/>
      </c>
      <c r="I144" s="232" t="str">
        <f t="shared" si="56"/>
        <v/>
      </c>
      <c r="J144" s="513" t="str">
        <f t="shared" si="57"/>
        <v/>
      </c>
      <c r="K144" s="230" t="str">
        <f t="shared" si="58"/>
        <v/>
      </c>
      <c r="L144" s="230" t="str">
        <f t="shared" si="59"/>
        <v/>
      </c>
      <c r="M144" s="205" t="str">
        <f t="shared" si="60"/>
        <v/>
      </c>
      <c r="N144" s="233" t="str">
        <f t="shared" si="61"/>
        <v/>
      </c>
      <c r="O144" s="238"/>
      <c r="P144" s="227">
        <f t="shared" ca="1" si="68"/>
        <v>1.634215019487098E-2</v>
      </c>
      <c r="Q144" s="227" t="str">
        <f t="shared" si="69"/>
        <v/>
      </c>
      <c r="R144" s="227" t="str">
        <f t="shared" si="62"/>
        <v/>
      </c>
      <c r="S144" s="237"/>
      <c r="T144" s="227" t="str">
        <f t="shared" si="63"/>
        <v/>
      </c>
      <c r="U144" s="227" t="str">
        <f t="shared" si="64"/>
        <v/>
      </c>
      <c r="V144" s="227" t="str">
        <f t="shared" si="65"/>
        <v/>
      </c>
    </row>
    <row r="145" spans="1:22" ht="15" customHeight="1" x14ac:dyDescent="0.25">
      <c r="A145" s="203">
        <f t="shared" si="50"/>
        <v>2045</v>
      </c>
      <c r="B145" s="205">
        <f t="shared" ca="1" si="66"/>
        <v>1.4244654617683714</v>
      </c>
      <c r="C145" s="205">
        <f t="shared" ca="1" si="51"/>
        <v>0.41060631553184174</v>
      </c>
      <c r="D145" s="205" t="str">
        <f t="shared" si="52"/>
        <v/>
      </c>
      <c r="E145" s="232" t="str">
        <f t="shared" si="53"/>
        <v/>
      </c>
      <c r="F145" s="204" t="str">
        <f t="shared" si="67"/>
        <v/>
      </c>
      <c r="G145" s="205" t="str">
        <f t="shared" si="54"/>
        <v/>
      </c>
      <c r="H145" s="205" t="str">
        <f t="shared" si="55"/>
        <v/>
      </c>
      <c r="I145" s="232" t="str">
        <f t="shared" si="56"/>
        <v/>
      </c>
      <c r="J145" s="513" t="str">
        <f t="shared" si="57"/>
        <v/>
      </c>
      <c r="K145" s="230" t="str">
        <f t="shared" si="58"/>
        <v/>
      </c>
      <c r="L145" s="230" t="str">
        <f t="shared" si="59"/>
        <v/>
      </c>
      <c r="M145" s="205" t="str">
        <f t="shared" si="60"/>
        <v/>
      </c>
      <c r="N145" s="233" t="str">
        <f t="shared" si="61"/>
        <v/>
      </c>
      <c r="O145" s="238"/>
      <c r="P145" s="227">
        <f t="shared" ca="1" si="68"/>
        <v>1.634215019487098E-2</v>
      </c>
      <c r="Q145" s="227" t="str">
        <f t="shared" si="69"/>
        <v/>
      </c>
      <c r="R145" s="227" t="str">
        <f t="shared" si="62"/>
        <v/>
      </c>
      <c r="S145" s="237"/>
      <c r="T145" s="227" t="str">
        <f t="shared" si="63"/>
        <v/>
      </c>
      <c r="U145" s="227" t="str">
        <f t="shared" si="64"/>
        <v/>
      </c>
      <c r="V145" s="227" t="str">
        <f t="shared" si="65"/>
        <v/>
      </c>
    </row>
    <row r="146" spans="1:22" ht="15" customHeight="1" x14ac:dyDescent="0.25">
      <c r="A146" s="203">
        <f t="shared" si="50"/>
        <v>2046</v>
      </c>
      <c r="B146" s="205">
        <f t="shared" ca="1" si="66"/>
        <v>1.4382711275470794</v>
      </c>
      <c r="C146" s="205">
        <f t="shared" ca="1" si="51"/>
        <v>0.41098039497010419</v>
      </c>
      <c r="D146" s="205" t="str">
        <f t="shared" si="52"/>
        <v/>
      </c>
      <c r="E146" s="232" t="str">
        <f t="shared" si="53"/>
        <v/>
      </c>
      <c r="F146" s="204" t="str">
        <f t="shared" si="67"/>
        <v/>
      </c>
      <c r="G146" s="205" t="str">
        <f t="shared" si="54"/>
        <v/>
      </c>
      <c r="H146" s="205" t="str">
        <f t="shared" si="55"/>
        <v/>
      </c>
      <c r="I146" s="232" t="str">
        <f t="shared" si="56"/>
        <v/>
      </c>
      <c r="J146" s="513" t="str">
        <f t="shared" si="57"/>
        <v/>
      </c>
      <c r="K146" s="230" t="str">
        <f t="shared" si="58"/>
        <v/>
      </c>
      <c r="L146" s="230" t="str">
        <f t="shared" si="59"/>
        <v/>
      </c>
      <c r="M146" s="205" t="str">
        <f t="shared" si="60"/>
        <v/>
      </c>
      <c r="N146" s="233" t="str">
        <f t="shared" si="61"/>
        <v/>
      </c>
      <c r="O146" s="238"/>
      <c r="P146" s="227">
        <f t="shared" ca="1" si="68"/>
        <v>1.634215019487098E-2</v>
      </c>
      <c r="Q146" s="227" t="str">
        <f t="shared" si="69"/>
        <v/>
      </c>
      <c r="R146" s="227" t="str">
        <f t="shared" si="62"/>
        <v/>
      </c>
      <c r="S146" s="237"/>
      <c r="T146" s="227" t="str">
        <f t="shared" si="63"/>
        <v/>
      </c>
      <c r="U146" s="227" t="str">
        <f t="shared" si="64"/>
        <v/>
      </c>
      <c r="V146" s="227" t="str">
        <f t="shared" si="65"/>
        <v/>
      </c>
    </row>
    <row r="147" spans="1:22" ht="15" customHeight="1" x14ac:dyDescent="0.25">
      <c r="A147" s="203">
        <f t="shared" si="50"/>
        <v>2047</v>
      </c>
      <c r="B147" s="205">
        <f t="shared" ca="1" si="66"/>
        <v>1.453413933760058</v>
      </c>
      <c r="C147" s="205">
        <f t="shared" ca="1" si="51"/>
        <v>0.41154560518443778</v>
      </c>
      <c r="D147" s="205" t="str">
        <f t="shared" si="52"/>
        <v/>
      </c>
      <c r="E147" s="232" t="str">
        <f t="shared" si="53"/>
        <v/>
      </c>
      <c r="F147" s="204" t="str">
        <f t="shared" si="67"/>
        <v/>
      </c>
      <c r="G147" s="205" t="str">
        <f t="shared" si="54"/>
        <v/>
      </c>
      <c r="H147" s="205" t="str">
        <f t="shared" si="55"/>
        <v/>
      </c>
      <c r="I147" s="232" t="str">
        <f t="shared" si="56"/>
        <v/>
      </c>
      <c r="J147" s="513" t="str">
        <f t="shared" si="57"/>
        <v/>
      </c>
      <c r="K147" s="230" t="str">
        <f t="shared" si="58"/>
        <v/>
      </c>
      <c r="L147" s="230" t="str">
        <f t="shared" si="59"/>
        <v/>
      </c>
      <c r="M147" s="205" t="str">
        <f t="shared" si="60"/>
        <v/>
      </c>
      <c r="N147" s="233" t="str">
        <f t="shared" si="61"/>
        <v/>
      </c>
      <c r="O147" s="238"/>
      <c r="P147" s="227">
        <f t="shared" ca="1" si="68"/>
        <v>1.634215019487098E-2</v>
      </c>
      <c r="Q147" s="227" t="str">
        <f t="shared" si="69"/>
        <v/>
      </c>
      <c r="R147" s="227" t="str">
        <f t="shared" si="62"/>
        <v/>
      </c>
      <c r="S147" s="237"/>
      <c r="T147" s="227" t="str">
        <f t="shared" si="63"/>
        <v/>
      </c>
      <c r="U147" s="227" t="str">
        <f t="shared" si="64"/>
        <v/>
      </c>
      <c r="V147" s="227" t="str">
        <f t="shared" si="65"/>
        <v/>
      </c>
    </row>
    <row r="148" spans="1:22" ht="15" customHeight="1" x14ac:dyDescent="0.25">
      <c r="A148" s="203">
        <f t="shared" si="50"/>
        <v>2048</v>
      </c>
      <c r="B148" s="205">
        <f t="shared" ca="1" si="66"/>
        <v>1.4800543611891983</v>
      </c>
      <c r="C148" s="205">
        <f t="shared" ca="1" si="51"/>
        <v>0.41204133429799861</v>
      </c>
      <c r="D148" s="205" t="str">
        <f t="shared" si="52"/>
        <v/>
      </c>
      <c r="E148" s="232" t="str">
        <f t="shared" si="53"/>
        <v/>
      </c>
      <c r="F148" s="204" t="str">
        <f t="shared" si="67"/>
        <v/>
      </c>
      <c r="G148" s="205" t="str">
        <f t="shared" si="54"/>
        <v/>
      </c>
      <c r="H148" s="205" t="str">
        <f t="shared" si="55"/>
        <v/>
      </c>
      <c r="I148" s="232" t="str">
        <f t="shared" si="56"/>
        <v/>
      </c>
      <c r="J148" s="513" t="str">
        <f t="shared" si="57"/>
        <v/>
      </c>
      <c r="K148" s="230" t="str">
        <f t="shared" si="58"/>
        <v/>
      </c>
      <c r="L148" s="230" t="str">
        <f t="shared" si="59"/>
        <v/>
      </c>
      <c r="M148" s="205" t="str">
        <f t="shared" si="60"/>
        <v/>
      </c>
      <c r="N148" s="233" t="str">
        <f t="shared" si="61"/>
        <v/>
      </c>
      <c r="O148" s="238"/>
      <c r="P148" s="227">
        <f t="shared" ca="1" si="68"/>
        <v>1.634215019487098E-2</v>
      </c>
      <c r="Q148" s="227" t="str">
        <f t="shared" si="69"/>
        <v/>
      </c>
      <c r="R148" s="227" t="str">
        <f t="shared" si="62"/>
        <v/>
      </c>
      <c r="S148" s="237"/>
      <c r="T148" s="227" t="str">
        <f t="shared" si="63"/>
        <v/>
      </c>
      <c r="U148" s="227" t="str">
        <f t="shared" si="64"/>
        <v/>
      </c>
      <c r="V148" s="227" t="str">
        <f t="shared" si="65"/>
        <v/>
      </c>
    </row>
    <row r="149" spans="1:22" ht="15" customHeight="1" x14ac:dyDescent="0.25">
      <c r="A149" s="203">
        <f t="shared" si="50"/>
        <v>2049</v>
      </c>
      <c r="B149" s="205">
        <f t="shared" ca="1" si="66"/>
        <v>1.4887224118460967</v>
      </c>
      <c r="C149" s="205">
        <f t="shared" ca="1" si="51"/>
        <v>0.41231042007287155</v>
      </c>
      <c r="D149" s="205" t="str">
        <f t="shared" si="52"/>
        <v/>
      </c>
      <c r="E149" s="232" t="str">
        <f t="shared" si="53"/>
        <v/>
      </c>
      <c r="F149" s="204" t="str">
        <f t="shared" si="67"/>
        <v/>
      </c>
      <c r="G149" s="205" t="str">
        <f t="shared" si="54"/>
        <v/>
      </c>
      <c r="H149" s="205" t="str">
        <f t="shared" si="55"/>
        <v/>
      </c>
      <c r="I149" s="232" t="str">
        <f t="shared" si="56"/>
        <v/>
      </c>
      <c r="J149" s="513" t="str">
        <f t="shared" si="57"/>
        <v/>
      </c>
      <c r="K149" s="230" t="str">
        <f t="shared" si="58"/>
        <v/>
      </c>
      <c r="L149" s="230" t="str">
        <f t="shared" si="59"/>
        <v/>
      </c>
      <c r="M149" s="205" t="str">
        <f t="shared" si="60"/>
        <v/>
      </c>
      <c r="N149" s="233" t="str">
        <f t="shared" si="61"/>
        <v/>
      </c>
      <c r="O149" s="238"/>
      <c r="P149" s="227">
        <f t="shared" ca="1" si="68"/>
        <v>1.634215019487098E-2</v>
      </c>
      <c r="Q149" s="227" t="str">
        <f t="shared" si="69"/>
        <v/>
      </c>
      <c r="R149" s="227" t="str">
        <f t="shared" si="62"/>
        <v/>
      </c>
      <c r="S149" s="237"/>
      <c r="T149" s="227" t="str">
        <f t="shared" si="63"/>
        <v/>
      </c>
      <c r="U149" s="227" t="str">
        <f t="shared" si="64"/>
        <v/>
      </c>
      <c r="V149" s="227" t="str">
        <f t="shared" si="65"/>
        <v/>
      </c>
    </row>
    <row r="150" spans="1:22" ht="15" customHeight="1" x14ac:dyDescent="0.25">
      <c r="A150" s="203">
        <f t="shared" si="50"/>
        <v>2050</v>
      </c>
      <c r="B150" s="205">
        <f t="shared" ca="1" si="66"/>
        <v>1.5075715569606456</v>
      </c>
      <c r="C150" s="205">
        <f t="shared" ca="1" si="51"/>
        <v>0.41316567589020242</v>
      </c>
      <c r="D150" s="205" t="str">
        <f t="shared" si="52"/>
        <v/>
      </c>
      <c r="E150" s="232" t="str">
        <f t="shared" si="53"/>
        <v/>
      </c>
      <c r="F150" s="204" t="str">
        <f t="shared" si="67"/>
        <v/>
      </c>
      <c r="G150" s="205" t="str">
        <f t="shared" si="54"/>
        <v/>
      </c>
      <c r="H150" s="205" t="str">
        <f t="shared" si="55"/>
        <v/>
      </c>
      <c r="I150" s="232" t="str">
        <f t="shared" si="56"/>
        <v/>
      </c>
      <c r="J150" s="513" t="str">
        <f t="shared" si="57"/>
        <v/>
      </c>
      <c r="K150" s="230" t="str">
        <f t="shared" si="58"/>
        <v/>
      </c>
      <c r="L150" s="230" t="str">
        <f t="shared" si="59"/>
        <v/>
      </c>
      <c r="M150" s="205" t="str">
        <f t="shared" si="60"/>
        <v/>
      </c>
      <c r="N150" s="233" t="str">
        <f t="shared" si="61"/>
        <v/>
      </c>
      <c r="O150" s="238"/>
      <c r="P150" s="227">
        <f t="shared" ca="1" si="68"/>
        <v>1.634215019487098E-2</v>
      </c>
      <c r="Q150" s="227" t="str">
        <f t="shared" si="69"/>
        <v/>
      </c>
      <c r="R150" s="227" t="str">
        <f t="shared" si="62"/>
        <v/>
      </c>
      <c r="S150" s="237"/>
      <c r="T150" s="227" t="str">
        <f t="shared" si="63"/>
        <v/>
      </c>
      <c r="U150" s="227" t="str">
        <f t="shared" si="64"/>
        <v/>
      </c>
      <c r="V150" s="227" t="str">
        <f t="shared" si="65"/>
        <v/>
      </c>
    </row>
    <row r="151" spans="1:22" ht="15" customHeight="1" x14ac:dyDescent="0.25">
      <c r="A151" s="203">
        <f t="shared" si="50"/>
        <v>2051</v>
      </c>
      <c r="B151" s="205">
        <f t="shared" ca="1" si="66"/>
        <v>1.5159526618392936</v>
      </c>
      <c r="C151" s="205">
        <f t="shared" ca="1" si="51"/>
        <v>0.41319080384910134</v>
      </c>
      <c r="D151" s="205" t="str">
        <f t="shared" si="52"/>
        <v/>
      </c>
      <c r="E151" s="232" t="str">
        <f t="shared" si="53"/>
        <v/>
      </c>
      <c r="F151" s="204" t="str">
        <f t="shared" si="67"/>
        <v/>
      </c>
      <c r="G151" s="205" t="str">
        <f t="shared" si="54"/>
        <v/>
      </c>
      <c r="H151" s="205" t="str">
        <f t="shared" si="55"/>
        <v/>
      </c>
      <c r="I151" s="232" t="str">
        <f t="shared" si="56"/>
        <v/>
      </c>
      <c r="J151" s="513" t="str">
        <f t="shared" si="57"/>
        <v/>
      </c>
      <c r="K151" s="230" t="str">
        <f t="shared" si="58"/>
        <v/>
      </c>
      <c r="L151" s="230" t="str">
        <f t="shared" si="59"/>
        <v/>
      </c>
      <c r="M151" s="205" t="str">
        <f t="shared" si="60"/>
        <v/>
      </c>
      <c r="N151" s="233" t="str">
        <f t="shared" si="61"/>
        <v/>
      </c>
      <c r="O151" s="238"/>
      <c r="P151" s="227">
        <f t="shared" ca="1" si="68"/>
        <v>1.634215019487098E-2</v>
      </c>
      <c r="Q151" s="227" t="str">
        <f t="shared" si="69"/>
        <v/>
      </c>
      <c r="R151" s="227" t="str">
        <f t="shared" si="62"/>
        <v/>
      </c>
      <c r="S151" s="237"/>
      <c r="T151" s="227" t="str">
        <f t="shared" si="63"/>
        <v/>
      </c>
      <c r="U151" s="227" t="str">
        <f t="shared" si="64"/>
        <v/>
      </c>
      <c r="V151" s="227" t="str">
        <f t="shared" si="65"/>
        <v/>
      </c>
    </row>
    <row r="152" spans="1:22" ht="15" customHeight="1" x14ac:dyDescent="0.25">
      <c r="A152" s="203">
        <f t="shared" si="50"/>
        <v>2052</v>
      </c>
      <c r="B152" s="205">
        <f t="shared" ca="1" si="66"/>
        <v>1.5243803601407628</v>
      </c>
      <c r="C152" s="205">
        <f t="shared" ca="1" si="51"/>
        <v>0.41321593333623541</v>
      </c>
      <c r="D152" s="205" t="str">
        <f t="shared" si="52"/>
        <v/>
      </c>
      <c r="E152" s="232" t="str">
        <f t="shared" si="53"/>
        <v/>
      </c>
      <c r="F152" s="204" t="str">
        <f t="shared" si="67"/>
        <v/>
      </c>
      <c r="G152" s="205" t="str">
        <f t="shared" si="54"/>
        <v/>
      </c>
      <c r="H152" s="205" t="str">
        <f t="shared" si="55"/>
        <v/>
      </c>
      <c r="I152" s="232" t="str">
        <f t="shared" si="56"/>
        <v/>
      </c>
      <c r="J152" s="513" t="str">
        <f t="shared" si="57"/>
        <v/>
      </c>
      <c r="K152" s="230" t="str">
        <f t="shared" si="58"/>
        <v/>
      </c>
      <c r="L152" s="230" t="str">
        <f t="shared" si="59"/>
        <v/>
      </c>
      <c r="M152" s="205" t="str">
        <f t="shared" si="60"/>
        <v/>
      </c>
      <c r="N152" s="233" t="str">
        <f t="shared" si="61"/>
        <v/>
      </c>
      <c r="O152" s="238"/>
      <c r="P152" s="227">
        <f t="shared" ca="1" si="68"/>
        <v>1.634215019487098E-2</v>
      </c>
      <c r="Q152" s="227" t="str">
        <f t="shared" si="69"/>
        <v/>
      </c>
      <c r="R152" s="227" t="str">
        <f t="shared" si="62"/>
        <v/>
      </c>
      <c r="S152" s="237"/>
      <c r="T152" s="227" t="str">
        <f t="shared" si="63"/>
        <v/>
      </c>
      <c r="U152" s="227" t="str">
        <f t="shared" si="64"/>
        <v/>
      </c>
      <c r="V152" s="227" t="str">
        <f t="shared" si="65"/>
        <v/>
      </c>
    </row>
    <row r="153" spans="1:22" ht="15" customHeight="1" x14ac:dyDescent="0.25">
      <c r="A153" s="203">
        <f t="shared" si="50"/>
        <v>2053</v>
      </c>
      <c r="B153" s="205">
        <f t="shared" ca="1" si="66"/>
        <v>1.532854910893795</v>
      </c>
      <c r="C153" s="205">
        <f t="shared" ca="1" si="51"/>
        <v>0.41324106435169761</v>
      </c>
      <c r="D153" s="205" t="str">
        <f t="shared" si="52"/>
        <v/>
      </c>
      <c r="E153" s="232" t="str">
        <f t="shared" si="53"/>
        <v/>
      </c>
      <c r="F153" s="204" t="str">
        <f t="shared" si="67"/>
        <v/>
      </c>
      <c r="G153" s="205" t="str">
        <f t="shared" si="54"/>
        <v/>
      </c>
      <c r="H153" s="205" t="str">
        <f t="shared" si="55"/>
        <v/>
      </c>
      <c r="I153" s="232" t="str">
        <f t="shared" si="56"/>
        <v/>
      </c>
      <c r="J153" s="513" t="str">
        <f t="shared" si="57"/>
        <v/>
      </c>
      <c r="K153" s="230" t="str">
        <f t="shared" si="58"/>
        <v/>
      </c>
      <c r="L153" s="230" t="str">
        <f t="shared" si="59"/>
        <v/>
      </c>
      <c r="M153" s="205" t="str">
        <f t="shared" si="60"/>
        <v/>
      </c>
      <c r="N153" s="233" t="str">
        <f t="shared" si="61"/>
        <v/>
      </c>
      <c r="O153" s="238"/>
      <c r="P153" s="227">
        <f t="shared" ca="1" si="68"/>
        <v>1.634215019487098E-2</v>
      </c>
      <c r="Q153" s="227" t="str">
        <f t="shared" si="69"/>
        <v/>
      </c>
      <c r="R153" s="227" t="str">
        <f t="shared" si="62"/>
        <v/>
      </c>
      <c r="S153" s="237"/>
      <c r="T153" s="227" t="str">
        <f t="shared" si="63"/>
        <v/>
      </c>
      <c r="U153" s="227" t="str">
        <f t="shared" si="64"/>
        <v/>
      </c>
      <c r="V153" s="227" t="str">
        <f t="shared" si="65"/>
        <v/>
      </c>
    </row>
    <row r="154" spans="1:22" ht="15" customHeight="1" x14ac:dyDescent="0.25">
      <c r="A154" s="203">
        <f t="shared" si="50"/>
        <v>2054</v>
      </c>
      <c r="B154" s="205">
        <f t="shared" ca="1" si="66"/>
        <v>1.541376574567161</v>
      </c>
      <c r="C154" s="205">
        <f t="shared" ca="1" si="51"/>
        <v>0.41326619689558086</v>
      </c>
      <c r="D154" s="205" t="str">
        <f t="shared" si="52"/>
        <v/>
      </c>
      <c r="E154" s="232" t="str">
        <f t="shared" si="53"/>
        <v/>
      </c>
      <c r="F154" s="204" t="str">
        <f t="shared" si="67"/>
        <v/>
      </c>
      <c r="G154" s="205" t="str">
        <f t="shared" si="54"/>
        <v/>
      </c>
      <c r="H154" s="205" t="str">
        <f t="shared" si="55"/>
        <v/>
      </c>
      <c r="I154" s="232" t="str">
        <f t="shared" si="56"/>
        <v/>
      </c>
      <c r="J154" s="513" t="str">
        <f t="shared" si="57"/>
        <v/>
      </c>
      <c r="K154" s="230" t="str">
        <f t="shared" si="58"/>
        <v/>
      </c>
      <c r="L154" s="230" t="str">
        <f t="shared" si="59"/>
        <v/>
      </c>
      <c r="M154" s="205" t="str">
        <f t="shared" si="60"/>
        <v/>
      </c>
      <c r="N154" s="233" t="str">
        <f t="shared" si="61"/>
        <v/>
      </c>
      <c r="O154" s="238"/>
      <c r="P154" s="227">
        <f t="shared" ca="1" si="68"/>
        <v>1.634215019487098E-2</v>
      </c>
      <c r="Q154" s="227" t="str">
        <f t="shared" si="69"/>
        <v/>
      </c>
      <c r="R154" s="227" t="str">
        <f t="shared" si="62"/>
        <v/>
      </c>
      <c r="S154" s="237"/>
      <c r="T154" s="227" t="str">
        <f t="shared" si="63"/>
        <v/>
      </c>
      <c r="U154" s="227" t="str">
        <f t="shared" si="64"/>
        <v/>
      </c>
      <c r="V154" s="227" t="str">
        <f t="shared" si="65"/>
        <v/>
      </c>
    </row>
    <row r="155" spans="1:22" ht="15" customHeight="1" x14ac:dyDescent="0.25">
      <c r="A155" s="203">
        <f t="shared" si="50"/>
        <v>2055</v>
      </c>
      <c r="B155" s="205">
        <f t="shared" ca="1" si="66"/>
        <v>1.5499456130776665</v>
      </c>
      <c r="C155" s="205">
        <f t="shared" ca="1" si="51"/>
        <v>0.41329133096797815</v>
      </c>
      <c r="D155" s="205" t="str">
        <f t="shared" si="52"/>
        <v/>
      </c>
      <c r="E155" s="232" t="str">
        <f t="shared" si="53"/>
        <v/>
      </c>
      <c r="F155" s="204" t="str">
        <f t="shared" si="67"/>
        <v/>
      </c>
      <c r="G155" s="205" t="str">
        <f t="shared" si="54"/>
        <v/>
      </c>
      <c r="H155" s="205" t="str">
        <f t="shared" si="55"/>
        <v/>
      </c>
      <c r="I155" s="232" t="str">
        <f t="shared" si="56"/>
        <v/>
      </c>
      <c r="J155" s="513" t="str">
        <f t="shared" si="57"/>
        <v/>
      </c>
      <c r="K155" s="230" t="str">
        <f t="shared" si="58"/>
        <v/>
      </c>
      <c r="L155" s="230" t="str">
        <f t="shared" si="59"/>
        <v/>
      </c>
      <c r="M155" s="205" t="str">
        <f t="shared" si="60"/>
        <v/>
      </c>
      <c r="N155" s="233" t="str">
        <f t="shared" si="61"/>
        <v/>
      </c>
      <c r="O155" s="238"/>
      <c r="P155" s="227">
        <f t="shared" ca="1" si="68"/>
        <v>1.634215019487098E-2</v>
      </c>
      <c r="Q155" s="227" t="str">
        <f t="shared" si="69"/>
        <v/>
      </c>
      <c r="R155" s="227" t="str">
        <f t="shared" si="62"/>
        <v/>
      </c>
      <c r="S155" s="237"/>
      <c r="T155" s="227" t="str">
        <f t="shared" si="63"/>
        <v/>
      </c>
      <c r="U155" s="227" t="str">
        <f t="shared" si="64"/>
        <v/>
      </c>
      <c r="V155" s="227" t="str">
        <f t="shared" si="65"/>
        <v/>
      </c>
    </row>
    <row r="156" spans="1:22" ht="15" customHeight="1" x14ac:dyDescent="0.25">
      <c r="A156" s="203">
        <f t="shared" si="50"/>
        <v>2056</v>
      </c>
      <c r="B156" s="205">
        <f t="shared" ca="1" si="66"/>
        <v>1.5582649083734219</v>
      </c>
      <c r="C156" s="205">
        <f t="shared" ca="1" si="51"/>
        <v>0.41335178478591483</v>
      </c>
      <c r="D156" s="205" t="str">
        <f t="shared" si="52"/>
        <v/>
      </c>
      <c r="E156" s="232" t="str">
        <f t="shared" si="53"/>
        <v/>
      </c>
      <c r="F156" s="204" t="str">
        <f t="shared" si="67"/>
        <v/>
      </c>
      <c r="G156" s="205" t="str">
        <f t="shared" si="54"/>
        <v/>
      </c>
      <c r="H156" s="205" t="str">
        <f t="shared" si="55"/>
        <v/>
      </c>
      <c r="I156" s="232" t="str">
        <f t="shared" si="56"/>
        <v/>
      </c>
      <c r="J156" s="513" t="str">
        <f t="shared" si="57"/>
        <v/>
      </c>
      <c r="K156" s="230" t="str">
        <f t="shared" si="58"/>
        <v/>
      </c>
      <c r="L156" s="230" t="str">
        <f t="shared" si="59"/>
        <v/>
      </c>
      <c r="M156" s="205" t="str">
        <f t="shared" si="60"/>
        <v/>
      </c>
      <c r="N156" s="233" t="str">
        <f t="shared" si="61"/>
        <v/>
      </c>
      <c r="O156" s="238"/>
      <c r="P156" s="227">
        <f t="shared" ca="1" si="68"/>
        <v>1.634215019487098E-2</v>
      </c>
      <c r="Q156" s="227" t="str">
        <f t="shared" si="69"/>
        <v/>
      </c>
      <c r="R156" s="227" t="str">
        <f t="shared" si="62"/>
        <v/>
      </c>
      <c r="S156" s="237"/>
      <c r="T156" s="227" t="str">
        <f t="shared" si="63"/>
        <v/>
      </c>
      <c r="U156" s="227" t="str">
        <f t="shared" si="64"/>
        <v/>
      </c>
      <c r="V156" s="227" t="str">
        <f t="shared" si="65"/>
        <v/>
      </c>
    </row>
    <row r="157" spans="1:22" ht="15" customHeight="1" x14ac:dyDescent="0.25">
      <c r="A157" s="203">
        <f t="shared" si="50"/>
        <v>2057</v>
      </c>
      <c r="B157" s="205">
        <f t="shared" ca="1" si="66"/>
        <v>1.5666288572838807</v>
      </c>
      <c r="C157" s="205">
        <f t="shared" ca="1" si="51"/>
        <v>0.41341224744667937</v>
      </c>
      <c r="D157" s="205" t="str">
        <f t="shared" si="52"/>
        <v/>
      </c>
      <c r="E157" s="232" t="str">
        <f t="shared" si="53"/>
        <v/>
      </c>
      <c r="F157" s="204" t="str">
        <f t="shared" si="67"/>
        <v/>
      </c>
      <c r="G157" s="205" t="str">
        <f t="shared" si="54"/>
        <v/>
      </c>
      <c r="H157" s="205" t="str">
        <f t="shared" si="55"/>
        <v/>
      </c>
      <c r="I157" s="232" t="str">
        <f t="shared" si="56"/>
        <v/>
      </c>
      <c r="J157" s="513" t="str">
        <f t="shared" si="57"/>
        <v/>
      </c>
      <c r="K157" s="230" t="str">
        <f t="shared" si="58"/>
        <v/>
      </c>
      <c r="L157" s="230" t="str">
        <f t="shared" si="59"/>
        <v/>
      </c>
      <c r="M157" s="205" t="str">
        <f t="shared" si="60"/>
        <v/>
      </c>
      <c r="N157" s="233" t="str">
        <f t="shared" si="61"/>
        <v/>
      </c>
      <c r="O157" s="238"/>
      <c r="P157" s="227">
        <f t="shared" ca="1" si="68"/>
        <v>1.634215019487098E-2</v>
      </c>
      <c r="Q157" s="227" t="str">
        <f t="shared" si="69"/>
        <v/>
      </c>
      <c r="R157" s="227" t="str">
        <f t="shared" si="62"/>
        <v/>
      </c>
      <c r="S157" s="237"/>
      <c r="T157" s="227" t="str">
        <f t="shared" si="63"/>
        <v/>
      </c>
      <c r="U157" s="227" t="str">
        <f t="shared" si="64"/>
        <v/>
      </c>
      <c r="V157" s="227" t="str">
        <f t="shared" si="65"/>
        <v/>
      </c>
    </row>
    <row r="158" spans="1:22" ht="15" customHeight="1" x14ac:dyDescent="0.25">
      <c r="A158" s="203">
        <f t="shared" si="50"/>
        <v>2058</v>
      </c>
      <c r="B158" s="205">
        <f t="shared" ca="1" si="66"/>
        <v>1.5750376994862314</v>
      </c>
      <c r="C158" s="205">
        <f t="shared" ca="1" si="51"/>
        <v>0.41347271895156518</v>
      </c>
      <c r="D158" s="205" t="str">
        <f t="shared" si="52"/>
        <v/>
      </c>
      <c r="E158" s="232" t="str">
        <f t="shared" si="53"/>
        <v/>
      </c>
      <c r="F158" s="204" t="str">
        <f t="shared" si="67"/>
        <v/>
      </c>
      <c r="G158" s="205" t="str">
        <f t="shared" si="54"/>
        <v/>
      </c>
      <c r="H158" s="205" t="str">
        <f t="shared" si="55"/>
        <v/>
      </c>
      <c r="I158" s="232" t="str">
        <f t="shared" si="56"/>
        <v/>
      </c>
      <c r="J158" s="513" t="str">
        <f t="shared" si="57"/>
        <v/>
      </c>
      <c r="K158" s="230" t="str">
        <f t="shared" si="58"/>
        <v/>
      </c>
      <c r="L158" s="230" t="str">
        <f t="shared" si="59"/>
        <v/>
      </c>
      <c r="M158" s="205" t="str">
        <f t="shared" si="60"/>
        <v/>
      </c>
      <c r="N158" s="233" t="str">
        <f t="shared" si="61"/>
        <v/>
      </c>
      <c r="O158" s="238"/>
      <c r="P158" s="227">
        <f t="shared" ca="1" si="68"/>
        <v>1.634215019487098E-2</v>
      </c>
      <c r="Q158" s="227" t="str">
        <f t="shared" si="69"/>
        <v/>
      </c>
      <c r="R158" s="227" t="str">
        <f t="shared" si="62"/>
        <v/>
      </c>
      <c r="S158" s="237"/>
      <c r="T158" s="227" t="str">
        <f t="shared" si="63"/>
        <v/>
      </c>
      <c r="U158" s="227" t="str">
        <f t="shared" si="64"/>
        <v/>
      </c>
      <c r="V158" s="227" t="str">
        <f t="shared" si="65"/>
        <v/>
      </c>
    </row>
    <row r="159" spans="1:22" ht="15" customHeight="1" x14ac:dyDescent="0.25">
      <c r="A159" s="203">
        <f t="shared" si="50"/>
        <v>2059</v>
      </c>
      <c r="B159" s="205">
        <f t="shared" ca="1" si="66"/>
        <v>1.5834916759441244</v>
      </c>
      <c r="C159" s="205">
        <f t="shared" ca="1" si="51"/>
        <v>0.41353319930186611</v>
      </c>
      <c r="D159" s="205" t="str">
        <f t="shared" si="52"/>
        <v/>
      </c>
      <c r="E159" s="232" t="str">
        <f t="shared" si="53"/>
        <v/>
      </c>
      <c r="F159" s="204" t="str">
        <f t="shared" si="67"/>
        <v/>
      </c>
      <c r="G159" s="205" t="str">
        <f t="shared" si="54"/>
        <v/>
      </c>
      <c r="H159" s="205" t="str">
        <f t="shared" si="55"/>
        <v/>
      </c>
      <c r="I159" s="232" t="str">
        <f t="shared" si="56"/>
        <v/>
      </c>
      <c r="J159" s="513" t="str">
        <f t="shared" si="57"/>
        <v/>
      </c>
      <c r="K159" s="230" t="str">
        <f t="shared" si="58"/>
        <v/>
      </c>
      <c r="L159" s="230" t="str">
        <f t="shared" si="59"/>
        <v/>
      </c>
      <c r="M159" s="205" t="str">
        <f t="shared" si="60"/>
        <v/>
      </c>
      <c r="N159" s="233" t="str">
        <f t="shared" si="61"/>
        <v/>
      </c>
      <c r="O159" s="238"/>
      <c r="P159" s="227">
        <f t="shared" ca="1" si="68"/>
        <v>1.634215019487098E-2</v>
      </c>
      <c r="Q159" s="227" t="str">
        <f t="shared" si="69"/>
        <v/>
      </c>
      <c r="R159" s="227" t="str">
        <f t="shared" si="62"/>
        <v/>
      </c>
      <c r="S159" s="237"/>
      <c r="T159" s="227" t="str">
        <f t="shared" si="63"/>
        <v/>
      </c>
      <c r="U159" s="227" t="str">
        <f t="shared" si="64"/>
        <v/>
      </c>
      <c r="V159" s="227" t="str">
        <f t="shared" si="65"/>
        <v/>
      </c>
    </row>
    <row r="160" spans="1:22" ht="15" customHeight="1" x14ac:dyDescent="0.25">
      <c r="A160" s="203" t="str">
        <f t="shared" si="50"/>
        <v/>
      </c>
      <c r="B160" s="205" t="str">
        <f t="shared" si="66"/>
        <v/>
      </c>
      <c r="C160" s="205" t="str">
        <f t="shared" si="51"/>
        <v/>
      </c>
      <c r="D160" s="205" t="str">
        <f t="shared" si="52"/>
        <v/>
      </c>
      <c r="E160" s="232" t="str">
        <f t="shared" si="53"/>
        <v/>
      </c>
      <c r="F160" s="204" t="str">
        <f t="shared" si="67"/>
        <v/>
      </c>
      <c r="G160" s="205" t="str">
        <f t="shared" si="54"/>
        <v/>
      </c>
      <c r="H160" s="205" t="str">
        <f t="shared" si="55"/>
        <v/>
      </c>
      <c r="I160" s="232" t="str">
        <f t="shared" si="56"/>
        <v/>
      </c>
      <c r="J160" s="513" t="str">
        <f t="shared" si="57"/>
        <v/>
      </c>
      <c r="K160" s="230" t="str">
        <f t="shared" si="58"/>
        <v/>
      </c>
      <c r="L160" s="230" t="str">
        <f t="shared" si="59"/>
        <v/>
      </c>
      <c r="M160" s="205" t="str">
        <f t="shared" si="60"/>
        <v/>
      </c>
      <c r="N160" s="233" t="str">
        <f t="shared" si="61"/>
        <v/>
      </c>
      <c r="O160" s="238"/>
      <c r="P160" s="227" t="str">
        <f t="shared" si="68"/>
        <v/>
      </c>
      <c r="Q160" s="227" t="str">
        <f t="shared" si="69"/>
        <v/>
      </c>
      <c r="R160" s="227" t="str">
        <f t="shared" si="62"/>
        <v/>
      </c>
      <c r="S160" s="237"/>
      <c r="T160" s="227" t="str">
        <f t="shared" si="63"/>
        <v/>
      </c>
      <c r="U160" s="227" t="str">
        <f t="shared" si="64"/>
        <v/>
      </c>
      <c r="V160" s="227" t="str">
        <f t="shared" si="65"/>
        <v/>
      </c>
    </row>
    <row r="161" spans="1:22" ht="15" customHeight="1" x14ac:dyDescent="0.25">
      <c r="A161" s="203" t="str">
        <f t="shared" si="50"/>
        <v/>
      </c>
      <c r="B161" s="205" t="str">
        <f t="shared" si="66"/>
        <v/>
      </c>
      <c r="C161" s="205" t="str">
        <f t="shared" si="51"/>
        <v/>
      </c>
      <c r="D161" s="205" t="str">
        <f t="shared" si="52"/>
        <v/>
      </c>
      <c r="E161" s="232" t="str">
        <f t="shared" si="53"/>
        <v/>
      </c>
      <c r="F161" s="204" t="str">
        <f t="shared" si="67"/>
        <v/>
      </c>
      <c r="G161" s="205" t="str">
        <f t="shared" si="54"/>
        <v/>
      </c>
      <c r="H161" s="205" t="str">
        <f t="shared" si="55"/>
        <v/>
      </c>
      <c r="I161" s="232" t="str">
        <f t="shared" si="56"/>
        <v/>
      </c>
      <c r="J161" s="513" t="str">
        <f t="shared" si="57"/>
        <v/>
      </c>
      <c r="K161" s="230" t="str">
        <f t="shared" si="58"/>
        <v/>
      </c>
      <c r="L161" s="230" t="str">
        <f t="shared" si="59"/>
        <v/>
      </c>
      <c r="M161" s="205" t="str">
        <f t="shared" si="60"/>
        <v/>
      </c>
      <c r="N161" s="233" t="str">
        <f t="shared" si="61"/>
        <v/>
      </c>
      <c r="O161" s="238"/>
      <c r="P161" s="227" t="str">
        <f t="shared" si="68"/>
        <v/>
      </c>
      <c r="Q161" s="227" t="str">
        <f t="shared" si="69"/>
        <v/>
      </c>
      <c r="R161" s="227" t="str">
        <f t="shared" si="62"/>
        <v/>
      </c>
      <c r="S161" s="237"/>
      <c r="T161" s="227" t="str">
        <f t="shared" si="63"/>
        <v/>
      </c>
      <c r="U161" s="227" t="str">
        <f t="shared" si="64"/>
        <v/>
      </c>
      <c r="V161" s="227" t="str">
        <f t="shared" si="65"/>
        <v/>
      </c>
    </row>
    <row r="162" spans="1:22" ht="15" customHeight="1" x14ac:dyDescent="0.25">
      <c r="A162" s="203" t="str">
        <f t="shared" si="50"/>
        <v/>
      </c>
      <c r="B162" s="205" t="str">
        <f t="shared" si="66"/>
        <v/>
      </c>
      <c r="C162" s="205" t="str">
        <f t="shared" si="51"/>
        <v/>
      </c>
      <c r="D162" s="205" t="str">
        <f t="shared" si="52"/>
        <v/>
      </c>
      <c r="E162" s="232" t="str">
        <f t="shared" si="53"/>
        <v/>
      </c>
      <c r="F162" s="204" t="str">
        <f t="shared" si="67"/>
        <v/>
      </c>
      <c r="G162" s="205" t="str">
        <f t="shared" si="54"/>
        <v/>
      </c>
      <c r="H162" s="205" t="str">
        <f t="shared" si="55"/>
        <v/>
      </c>
      <c r="I162" s="232" t="str">
        <f t="shared" si="56"/>
        <v/>
      </c>
      <c r="J162" s="513" t="str">
        <f t="shared" si="57"/>
        <v/>
      </c>
      <c r="K162" s="230" t="str">
        <f t="shared" si="58"/>
        <v/>
      </c>
      <c r="L162" s="230" t="str">
        <f t="shared" si="59"/>
        <v/>
      </c>
      <c r="M162" s="205" t="str">
        <f t="shared" si="60"/>
        <v/>
      </c>
      <c r="N162" s="233" t="str">
        <f t="shared" si="61"/>
        <v/>
      </c>
      <c r="O162" s="238"/>
      <c r="P162" s="227" t="str">
        <f t="shared" si="68"/>
        <v/>
      </c>
      <c r="Q162" s="227" t="str">
        <f t="shared" si="69"/>
        <v/>
      </c>
      <c r="R162" s="227" t="str">
        <f t="shared" si="62"/>
        <v/>
      </c>
      <c r="S162" s="237"/>
      <c r="T162" s="227" t="str">
        <f t="shared" si="63"/>
        <v/>
      </c>
      <c r="U162" s="227" t="str">
        <f t="shared" si="64"/>
        <v/>
      </c>
      <c r="V162" s="227" t="str">
        <f t="shared" si="65"/>
        <v/>
      </c>
    </row>
    <row r="163" spans="1:22" ht="15" customHeight="1" x14ac:dyDescent="0.25">
      <c r="A163" s="203" t="str">
        <f t="shared" si="50"/>
        <v/>
      </c>
      <c r="B163" s="205" t="str">
        <f t="shared" si="66"/>
        <v/>
      </c>
      <c r="C163" s="205" t="str">
        <f t="shared" si="51"/>
        <v/>
      </c>
      <c r="D163" s="205" t="str">
        <f t="shared" si="52"/>
        <v/>
      </c>
      <c r="E163" s="232" t="str">
        <f t="shared" si="53"/>
        <v/>
      </c>
      <c r="F163" s="204" t="str">
        <f t="shared" si="67"/>
        <v/>
      </c>
      <c r="G163" s="205" t="str">
        <f t="shared" si="54"/>
        <v/>
      </c>
      <c r="H163" s="205" t="str">
        <f t="shared" si="55"/>
        <v/>
      </c>
      <c r="I163" s="232" t="str">
        <f t="shared" si="56"/>
        <v/>
      </c>
      <c r="J163" s="513" t="str">
        <f t="shared" si="57"/>
        <v/>
      </c>
      <c r="K163" s="230" t="str">
        <f t="shared" si="58"/>
        <v/>
      </c>
      <c r="L163" s="230" t="str">
        <f t="shared" si="59"/>
        <v/>
      </c>
      <c r="M163" s="205" t="str">
        <f t="shared" si="60"/>
        <v/>
      </c>
      <c r="N163" s="233" t="str">
        <f t="shared" si="61"/>
        <v/>
      </c>
      <c r="O163" s="238"/>
      <c r="P163" s="227" t="str">
        <f t="shared" si="68"/>
        <v/>
      </c>
      <c r="Q163" s="227" t="str">
        <f t="shared" si="69"/>
        <v/>
      </c>
      <c r="R163" s="227" t="str">
        <f t="shared" si="62"/>
        <v/>
      </c>
      <c r="S163" s="237"/>
      <c r="T163" s="227" t="str">
        <f t="shared" si="63"/>
        <v/>
      </c>
      <c r="U163" s="227" t="str">
        <f t="shared" si="64"/>
        <v/>
      </c>
      <c r="V163" s="227" t="str">
        <f t="shared" si="65"/>
        <v/>
      </c>
    </row>
    <row r="164" spans="1:22" ht="15" customHeight="1" x14ac:dyDescent="0.25">
      <c r="A164" s="203" t="str">
        <f t="shared" si="50"/>
        <v/>
      </c>
      <c r="B164" s="205" t="str">
        <f t="shared" si="66"/>
        <v/>
      </c>
      <c r="C164" s="205" t="str">
        <f t="shared" si="51"/>
        <v/>
      </c>
      <c r="D164" s="205" t="str">
        <f t="shared" si="52"/>
        <v/>
      </c>
      <c r="E164" s="232" t="str">
        <f t="shared" si="53"/>
        <v/>
      </c>
      <c r="F164" s="204" t="str">
        <f t="shared" si="67"/>
        <v/>
      </c>
      <c r="G164" s="205" t="str">
        <f t="shared" si="54"/>
        <v/>
      </c>
      <c r="H164" s="205" t="str">
        <f t="shared" si="55"/>
        <v/>
      </c>
      <c r="I164" s="232" t="str">
        <f t="shared" si="56"/>
        <v/>
      </c>
      <c r="J164" s="513" t="str">
        <f t="shared" si="57"/>
        <v/>
      </c>
      <c r="K164" s="230" t="str">
        <f t="shared" si="58"/>
        <v/>
      </c>
      <c r="L164" s="230" t="str">
        <f t="shared" si="59"/>
        <v/>
      </c>
      <c r="M164" s="205" t="str">
        <f t="shared" si="60"/>
        <v/>
      </c>
      <c r="N164" s="233" t="str">
        <f t="shared" si="61"/>
        <v/>
      </c>
      <c r="O164" s="238"/>
      <c r="P164" s="227" t="str">
        <f t="shared" si="68"/>
        <v/>
      </c>
      <c r="Q164" s="227" t="str">
        <f t="shared" si="69"/>
        <v/>
      </c>
      <c r="R164" s="227" t="str">
        <f t="shared" si="62"/>
        <v/>
      </c>
      <c r="S164" s="237"/>
      <c r="T164" s="227" t="str">
        <f t="shared" si="63"/>
        <v/>
      </c>
      <c r="U164" s="227" t="str">
        <f t="shared" si="64"/>
        <v/>
      </c>
      <c r="V164" s="227" t="str">
        <f t="shared" si="65"/>
        <v/>
      </c>
    </row>
    <row r="165" spans="1:22" ht="15" customHeight="1" x14ac:dyDescent="0.25">
      <c r="A165" s="203" t="str">
        <f t="shared" si="50"/>
        <v/>
      </c>
      <c r="B165" s="205" t="str">
        <f t="shared" si="66"/>
        <v/>
      </c>
      <c r="C165" s="205" t="str">
        <f t="shared" si="51"/>
        <v/>
      </c>
      <c r="D165" s="205" t="str">
        <f t="shared" si="52"/>
        <v/>
      </c>
      <c r="E165" s="232" t="str">
        <f t="shared" si="53"/>
        <v/>
      </c>
      <c r="F165" s="204" t="str">
        <f t="shared" si="67"/>
        <v/>
      </c>
      <c r="G165" s="205" t="str">
        <f t="shared" si="54"/>
        <v/>
      </c>
      <c r="H165" s="205" t="str">
        <f t="shared" si="55"/>
        <v/>
      </c>
      <c r="I165" s="232" t="str">
        <f t="shared" si="56"/>
        <v/>
      </c>
      <c r="J165" s="513" t="str">
        <f t="shared" si="57"/>
        <v/>
      </c>
      <c r="K165" s="230" t="str">
        <f t="shared" si="58"/>
        <v/>
      </c>
      <c r="L165" s="230" t="str">
        <f t="shared" si="59"/>
        <v/>
      </c>
      <c r="M165" s="205" t="str">
        <f t="shared" si="60"/>
        <v/>
      </c>
      <c r="N165" s="233" t="str">
        <f t="shared" si="61"/>
        <v/>
      </c>
      <c r="O165" s="238"/>
      <c r="P165" s="227" t="str">
        <f t="shared" si="68"/>
        <v/>
      </c>
      <c r="Q165" s="227" t="str">
        <f t="shared" si="69"/>
        <v/>
      </c>
      <c r="R165" s="227" t="str">
        <f t="shared" si="62"/>
        <v/>
      </c>
      <c r="S165" s="237"/>
      <c r="T165" s="227" t="str">
        <f t="shared" si="63"/>
        <v/>
      </c>
      <c r="U165" s="227" t="str">
        <f t="shared" si="64"/>
        <v/>
      </c>
      <c r="V165" s="227" t="str">
        <f t="shared" si="65"/>
        <v/>
      </c>
    </row>
    <row r="166" spans="1:22" ht="15" customHeight="1" x14ac:dyDescent="0.25">
      <c r="A166" s="203" t="str">
        <f t="shared" si="50"/>
        <v/>
      </c>
      <c r="B166" s="205" t="str">
        <f t="shared" si="66"/>
        <v/>
      </c>
      <c r="C166" s="205" t="str">
        <f t="shared" si="51"/>
        <v/>
      </c>
      <c r="D166" s="205" t="str">
        <f t="shared" si="52"/>
        <v/>
      </c>
      <c r="E166" s="232" t="str">
        <f t="shared" si="53"/>
        <v/>
      </c>
      <c r="F166" s="204" t="str">
        <f t="shared" si="67"/>
        <v/>
      </c>
      <c r="G166" s="205" t="str">
        <f t="shared" si="54"/>
        <v/>
      </c>
      <c r="H166" s="205" t="str">
        <f t="shared" si="55"/>
        <v/>
      </c>
      <c r="I166" s="232" t="str">
        <f t="shared" si="56"/>
        <v/>
      </c>
      <c r="J166" s="513" t="str">
        <f t="shared" si="57"/>
        <v/>
      </c>
      <c r="K166" s="230" t="str">
        <f t="shared" si="58"/>
        <v/>
      </c>
      <c r="L166" s="230" t="str">
        <f t="shared" si="59"/>
        <v/>
      </c>
      <c r="M166" s="205" t="str">
        <f t="shared" si="60"/>
        <v/>
      </c>
      <c r="N166" s="233" t="str">
        <f t="shared" si="61"/>
        <v/>
      </c>
      <c r="O166" s="238"/>
      <c r="P166" s="227" t="str">
        <f t="shared" si="68"/>
        <v/>
      </c>
      <c r="Q166" s="227" t="str">
        <f t="shared" si="69"/>
        <v/>
      </c>
      <c r="R166" s="227" t="str">
        <f t="shared" si="62"/>
        <v/>
      </c>
      <c r="S166" s="237"/>
      <c r="T166" s="227" t="str">
        <f t="shared" si="63"/>
        <v/>
      </c>
      <c r="U166" s="227" t="str">
        <f t="shared" si="64"/>
        <v/>
      </c>
      <c r="V166" s="227" t="str">
        <f t="shared" si="65"/>
        <v/>
      </c>
    </row>
    <row r="167" spans="1:22" ht="15" customHeight="1" x14ac:dyDescent="0.25">
      <c r="A167" s="203" t="str">
        <f t="shared" si="50"/>
        <v/>
      </c>
      <c r="B167" s="205" t="str">
        <f t="shared" si="66"/>
        <v/>
      </c>
      <c r="C167" s="205" t="str">
        <f t="shared" si="51"/>
        <v/>
      </c>
      <c r="D167" s="205" t="str">
        <f t="shared" si="52"/>
        <v/>
      </c>
      <c r="E167" s="232" t="str">
        <f t="shared" si="53"/>
        <v/>
      </c>
      <c r="F167" s="204" t="str">
        <f t="shared" si="67"/>
        <v/>
      </c>
      <c r="G167" s="205" t="str">
        <f t="shared" si="54"/>
        <v/>
      </c>
      <c r="H167" s="205" t="str">
        <f t="shared" si="55"/>
        <v/>
      </c>
      <c r="I167" s="232" t="str">
        <f t="shared" si="56"/>
        <v/>
      </c>
      <c r="J167" s="513" t="str">
        <f t="shared" si="57"/>
        <v/>
      </c>
      <c r="K167" s="230" t="str">
        <f t="shared" si="58"/>
        <v/>
      </c>
      <c r="L167" s="230" t="str">
        <f t="shared" si="59"/>
        <v/>
      </c>
      <c r="M167" s="205" t="str">
        <f t="shared" si="60"/>
        <v/>
      </c>
      <c r="N167" s="233" t="str">
        <f t="shared" si="61"/>
        <v/>
      </c>
      <c r="O167" s="238"/>
      <c r="P167" s="227" t="str">
        <f t="shared" si="68"/>
        <v/>
      </c>
      <c r="Q167" s="227" t="str">
        <f t="shared" si="69"/>
        <v/>
      </c>
      <c r="R167" s="227" t="str">
        <f t="shared" si="62"/>
        <v/>
      </c>
      <c r="S167" s="237"/>
      <c r="T167" s="227" t="str">
        <f t="shared" si="63"/>
        <v/>
      </c>
      <c r="U167" s="227" t="str">
        <f t="shared" si="64"/>
        <v/>
      </c>
      <c r="V167" s="227" t="str">
        <f t="shared" si="65"/>
        <v/>
      </c>
    </row>
    <row r="168" spans="1:22" ht="15" customHeight="1" x14ac:dyDescent="0.25">
      <c r="A168" s="203" t="str">
        <f t="shared" si="50"/>
        <v/>
      </c>
      <c r="B168" s="205" t="str">
        <f t="shared" si="66"/>
        <v/>
      </c>
      <c r="C168" s="205" t="str">
        <f t="shared" si="51"/>
        <v/>
      </c>
      <c r="D168" s="205" t="str">
        <f t="shared" si="52"/>
        <v/>
      </c>
      <c r="E168" s="232" t="str">
        <f t="shared" si="53"/>
        <v/>
      </c>
      <c r="F168" s="204" t="str">
        <f t="shared" si="67"/>
        <v/>
      </c>
      <c r="G168" s="205" t="str">
        <f t="shared" si="54"/>
        <v/>
      </c>
      <c r="H168" s="205" t="str">
        <f t="shared" si="55"/>
        <v/>
      </c>
      <c r="I168" s="232" t="str">
        <f t="shared" si="56"/>
        <v/>
      </c>
      <c r="J168" s="513" t="str">
        <f t="shared" si="57"/>
        <v/>
      </c>
      <c r="K168" s="230" t="str">
        <f t="shared" si="58"/>
        <v/>
      </c>
      <c r="L168" s="230" t="str">
        <f t="shared" si="59"/>
        <v/>
      </c>
      <c r="M168" s="205" t="str">
        <f t="shared" si="60"/>
        <v/>
      </c>
      <c r="N168" s="233" t="str">
        <f t="shared" si="61"/>
        <v/>
      </c>
      <c r="O168" s="238"/>
      <c r="P168" s="227" t="str">
        <f t="shared" si="68"/>
        <v/>
      </c>
      <c r="Q168" s="227" t="str">
        <f t="shared" si="69"/>
        <v/>
      </c>
      <c r="R168" s="227" t="str">
        <f t="shared" si="62"/>
        <v/>
      </c>
      <c r="S168" s="237"/>
      <c r="T168" s="227" t="str">
        <f t="shared" si="63"/>
        <v/>
      </c>
      <c r="U168" s="227" t="str">
        <f t="shared" si="64"/>
        <v/>
      </c>
      <c r="V168" s="227" t="str">
        <f t="shared" si="65"/>
        <v/>
      </c>
    </row>
    <row r="169" spans="1:22" ht="15" customHeight="1" x14ac:dyDescent="0.25">
      <c r="A169" s="203" t="str">
        <f t="shared" si="50"/>
        <v/>
      </c>
      <c r="B169" s="205" t="str">
        <f t="shared" si="66"/>
        <v/>
      </c>
      <c r="C169" s="205" t="str">
        <f t="shared" si="51"/>
        <v/>
      </c>
      <c r="D169" s="205" t="str">
        <f t="shared" si="52"/>
        <v/>
      </c>
      <c r="E169" s="232" t="str">
        <f t="shared" si="53"/>
        <v/>
      </c>
      <c r="F169" s="204" t="str">
        <f t="shared" si="67"/>
        <v/>
      </c>
      <c r="G169" s="205" t="str">
        <f t="shared" si="54"/>
        <v/>
      </c>
      <c r="H169" s="205" t="str">
        <f t="shared" si="55"/>
        <v/>
      </c>
      <c r="I169" s="232" t="str">
        <f t="shared" si="56"/>
        <v/>
      </c>
      <c r="J169" s="513" t="str">
        <f t="shared" si="57"/>
        <v/>
      </c>
      <c r="K169" s="230" t="str">
        <f t="shared" si="58"/>
        <v/>
      </c>
      <c r="L169" s="230" t="str">
        <f t="shared" si="59"/>
        <v/>
      </c>
      <c r="M169" s="205" t="str">
        <f t="shared" si="60"/>
        <v/>
      </c>
      <c r="N169" s="233" t="str">
        <f t="shared" si="61"/>
        <v/>
      </c>
      <c r="O169" s="238"/>
      <c r="P169" s="227" t="str">
        <f t="shared" si="68"/>
        <v/>
      </c>
      <c r="Q169" s="227" t="str">
        <f t="shared" si="69"/>
        <v/>
      </c>
      <c r="R169" s="227" t="str">
        <f t="shared" si="62"/>
        <v/>
      </c>
      <c r="S169" s="237"/>
      <c r="T169" s="227" t="str">
        <f t="shared" si="63"/>
        <v/>
      </c>
      <c r="U169" s="227" t="str">
        <f t="shared" si="64"/>
        <v/>
      </c>
      <c r="V169" s="227" t="str">
        <f t="shared" si="65"/>
        <v/>
      </c>
    </row>
    <row r="170" spans="1:22" ht="15" customHeight="1" x14ac:dyDescent="0.25">
      <c r="A170" s="203" t="str">
        <f t="shared" si="50"/>
        <v/>
      </c>
      <c r="B170" s="205" t="str">
        <f t="shared" si="66"/>
        <v/>
      </c>
      <c r="C170" s="205" t="str">
        <f t="shared" si="51"/>
        <v/>
      </c>
      <c r="D170" s="205" t="str">
        <f t="shared" si="52"/>
        <v/>
      </c>
      <c r="E170" s="232" t="str">
        <f t="shared" si="53"/>
        <v/>
      </c>
      <c r="F170" s="204" t="str">
        <f t="shared" si="67"/>
        <v/>
      </c>
      <c r="G170" s="205" t="str">
        <f t="shared" si="54"/>
        <v/>
      </c>
      <c r="H170" s="205" t="str">
        <f t="shared" si="55"/>
        <v/>
      </c>
      <c r="I170" s="232" t="str">
        <f t="shared" si="56"/>
        <v/>
      </c>
      <c r="J170" s="513" t="str">
        <f t="shared" si="57"/>
        <v/>
      </c>
      <c r="K170" s="230" t="str">
        <f t="shared" si="58"/>
        <v/>
      </c>
      <c r="L170" s="230" t="str">
        <f t="shared" si="59"/>
        <v/>
      </c>
      <c r="M170" s="205" t="str">
        <f t="shared" si="60"/>
        <v/>
      </c>
      <c r="N170" s="233" t="str">
        <f t="shared" si="61"/>
        <v/>
      </c>
      <c r="O170" s="238"/>
      <c r="P170" s="227" t="str">
        <f t="shared" si="68"/>
        <v/>
      </c>
      <c r="Q170" s="227" t="str">
        <f t="shared" si="69"/>
        <v/>
      </c>
      <c r="R170" s="227" t="str">
        <f t="shared" si="62"/>
        <v/>
      </c>
      <c r="S170" s="237"/>
      <c r="T170" s="227" t="str">
        <f t="shared" si="63"/>
        <v/>
      </c>
      <c r="U170" s="227" t="str">
        <f t="shared" si="64"/>
        <v/>
      </c>
      <c r="V170" s="227" t="str">
        <f t="shared" si="65"/>
        <v/>
      </c>
    </row>
    <row r="171" spans="1:22" ht="15" customHeight="1" x14ac:dyDescent="0.25">
      <c r="A171" s="203" t="str">
        <f t="shared" si="50"/>
        <v/>
      </c>
      <c r="B171" s="205" t="str">
        <f t="shared" si="66"/>
        <v/>
      </c>
      <c r="C171" s="205" t="str">
        <f t="shared" si="51"/>
        <v/>
      </c>
      <c r="D171" s="205" t="str">
        <f t="shared" si="52"/>
        <v/>
      </c>
      <c r="E171" s="232" t="str">
        <f t="shared" si="53"/>
        <v/>
      </c>
      <c r="F171" s="204" t="str">
        <f t="shared" si="67"/>
        <v/>
      </c>
      <c r="G171" s="205" t="str">
        <f t="shared" si="54"/>
        <v/>
      </c>
      <c r="H171" s="205" t="str">
        <f t="shared" si="55"/>
        <v/>
      </c>
      <c r="I171" s="232" t="str">
        <f t="shared" si="56"/>
        <v/>
      </c>
      <c r="J171" s="513" t="str">
        <f t="shared" si="57"/>
        <v/>
      </c>
      <c r="K171" s="230" t="str">
        <f t="shared" si="58"/>
        <v/>
      </c>
      <c r="L171" s="230" t="str">
        <f t="shared" si="59"/>
        <v/>
      </c>
      <c r="M171" s="205" t="str">
        <f t="shared" si="60"/>
        <v/>
      </c>
      <c r="N171" s="233" t="str">
        <f t="shared" si="61"/>
        <v/>
      </c>
      <c r="O171" s="238"/>
      <c r="P171" s="227" t="str">
        <f t="shared" si="68"/>
        <v/>
      </c>
      <c r="Q171" s="227" t="str">
        <f t="shared" si="69"/>
        <v/>
      </c>
      <c r="R171" s="227" t="str">
        <f t="shared" si="62"/>
        <v/>
      </c>
      <c r="S171" s="237"/>
      <c r="T171" s="227" t="str">
        <f t="shared" si="63"/>
        <v/>
      </c>
      <c r="U171" s="227" t="str">
        <f t="shared" si="64"/>
        <v/>
      </c>
      <c r="V171" s="227" t="str">
        <f t="shared" si="65"/>
        <v/>
      </c>
    </row>
    <row r="172" spans="1:22" ht="15" customHeight="1" x14ac:dyDescent="0.25">
      <c r="A172" s="203" t="str">
        <f t="shared" si="50"/>
        <v/>
      </c>
      <c r="B172" s="205" t="str">
        <f t="shared" si="66"/>
        <v/>
      </c>
      <c r="C172" s="205" t="str">
        <f t="shared" si="51"/>
        <v/>
      </c>
      <c r="D172" s="205" t="str">
        <f t="shared" si="52"/>
        <v/>
      </c>
      <c r="E172" s="232" t="str">
        <f t="shared" si="53"/>
        <v/>
      </c>
      <c r="F172" s="204" t="str">
        <f t="shared" si="67"/>
        <v/>
      </c>
      <c r="G172" s="205" t="str">
        <f t="shared" si="54"/>
        <v/>
      </c>
      <c r="H172" s="205" t="str">
        <f t="shared" si="55"/>
        <v/>
      </c>
      <c r="I172" s="232" t="str">
        <f t="shared" si="56"/>
        <v/>
      </c>
      <c r="J172" s="513" t="str">
        <f t="shared" si="57"/>
        <v/>
      </c>
      <c r="K172" s="230" t="str">
        <f t="shared" si="58"/>
        <v/>
      </c>
      <c r="L172" s="230" t="str">
        <f t="shared" si="59"/>
        <v/>
      </c>
      <c r="M172" s="205" t="str">
        <f t="shared" si="60"/>
        <v/>
      </c>
      <c r="N172" s="233" t="str">
        <f t="shared" si="61"/>
        <v/>
      </c>
      <c r="O172" s="238"/>
      <c r="P172" s="227" t="str">
        <f t="shared" si="68"/>
        <v/>
      </c>
      <c r="Q172" s="227" t="str">
        <f t="shared" si="69"/>
        <v/>
      </c>
      <c r="R172" s="227" t="str">
        <f t="shared" si="62"/>
        <v/>
      </c>
      <c r="S172" s="237"/>
      <c r="T172" s="227" t="str">
        <f t="shared" si="63"/>
        <v/>
      </c>
      <c r="U172" s="227" t="str">
        <f t="shared" si="64"/>
        <v/>
      </c>
      <c r="V172" s="227" t="str">
        <f t="shared" si="65"/>
        <v/>
      </c>
    </row>
    <row r="173" spans="1:22" ht="15" customHeight="1" x14ac:dyDescent="0.25">
      <c r="A173" s="203" t="str">
        <f t="shared" si="50"/>
        <v/>
      </c>
      <c r="B173" s="205" t="str">
        <f t="shared" si="66"/>
        <v/>
      </c>
      <c r="C173" s="205" t="str">
        <f t="shared" si="51"/>
        <v/>
      </c>
      <c r="D173" s="205" t="str">
        <f t="shared" si="52"/>
        <v/>
      </c>
      <c r="E173" s="232" t="str">
        <f t="shared" si="53"/>
        <v/>
      </c>
      <c r="F173" s="204" t="str">
        <f t="shared" si="67"/>
        <v/>
      </c>
      <c r="G173" s="205" t="str">
        <f t="shared" si="54"/>
        <v/>
      </c>
      <c r="H173" s="205" t="str">
        <f t="shared" si="55"/>
        <v/>
      </c>
      <c r="I173" s="232" t="str">
        <f t="shared" si="56"/>
        <v/>
      </c>
      <c r="J173" s="513" t="str">
        <f t="shared" si="57"/>
        <v/>
      </c>
      <c r="K173" s="230" t="str">
        <f t="shared" si="58"/>
        <v/>
      </c>
      <c r="L173" s="230" t="str">
        <f t="shared" si="59"/>
        <v/>
      </c>
      <c r="M173" s="205" t="str">
        <f t="shared" si="60"/>
        <v/>
      </c>
      <c r="N173" s="233" t="str">
        <f t="shared" si="61"/>
        <v/>
      </c>
      <c r="O173" s="238"/>
      <c r="P173" s="227" t="str">
        <f t="shared" si="68"/>
        <v/>
      </c>
      <c r="Q173" s="227" t="str">
        <f t="shared" si="69"/>
        <v/>
      </c>
      <c r="R173" s="227" t="str">
        <f t="shared" si="62"/>
        <v/>
      </c>
      <c r="S173" s="237"/>
      <c r="T173" s="227" t="str">
        <f t="shared" si="63"/>
        <v/>
      </c>
      <c r="U173" s="227" t="str">
        <f t="shared" si="64"/>
        <v/>
      </c>
      <c r="V173" s="227" t="str">
        <f t="shared" si="65"/>
        <v/>
      </c>
    </row>
    <row r="174" spans="1:22" ht="15" customHeight="1" x14ac:dyDescent="0.25">
      <c r="A174" s="203" t="str">
        <f t="shared" si="50"/>
        <v/>
      </c>
      <c r="B174" s="205" t="str">
        <f t="shared" si="66"/>
        <v/>
      </c>
      <c r="C174" s="205" t="str">
        <f t="shared" si="51"/>
        <v/>
      </c>
      <c r="D174" s="205" t="str">
        <f t="shared" si="52"/>
        <v/>
      </c>
      <c r="E174" s="232" t="str">
        <f t="shared" si="53"/>
        <v/>
      </c>
      <c r="F174" s="204" t="str">
        <f t="shared" si="67"/>
        <v/>
      </c>
      <c r="G174" s="205" t="str">
        <f t="shared" si="54"/>
        <v/>
      </c>
      <c r="H174" s="205" t="str">
        <f t="shared" si="55"/>
        <v/>
      </c>
      <c r="I174" s="232" t="str">
        <f t="shared" si="56"/>
        <v/>
      </c>
      <c r="J174" s="513" t="str">
        <f t="shared" si="57"/>
        <v/>
      </c>
      <c r="K174" s="230" t="str">
        <f t="shared" si="58"/>
        <v/>
      </c>
      <c r="L174" s="230" t="str">
        <f t="shared" si="59"/>
        <v/>
      </c>
      <c r="M174" s="205" t="str">
        <f t="shared" si="60"/>
        <v/>
      </c>
      <c r="N174" s="233" t="str">
        <f t="shared" si="61"/>
        <v/>
      </c>
      <c r="O174" s="238"/>
      <c r="P174" s="227" t="str">
        <f t="shared" si="68"/>
        <v/>
      </c>
      <c r="Q174" s="227" t="str">
        <f t="shared" si="69"/>
        <v/>
      </c>
      <c r="R174" s="227" t="str">
        <f t="shared" si="62"/>
        <v/>
      </c>
      <c r="S174" s="237"/>
      <c r="T174" s="227" t="str">
        <f t="shared" si="63"/>
        <v/>
      </c>
      <c r="U174" s="227" t="str">
        <f t="shared" si="64"/>
        <v/>
      </c>
      <c r="V174" s="227" t="str">
        <f t="shared" si="65"/>
        <v/>
      </c>
    </row>
    <row r="175" spans="1:22" ht="15" customHeight="1" x14ac:dyDescent="0.25">
      <c r="A175" s="203" t="str">
        <f t="shared" si="50"/>
        <v/>
      </c>
      <c r="B175" s="205" t="str">
        <f t="shared" si="66"/>
        <v/>
      </c>
      <c r="C175" s="205" t="str">
        <f t="shared" si="51"/>
        <v/>
      </c>
      <c r="D175" s="205" t="str">
        <f t="shared" si="52"/>
        <v/>
      </c>
      <c r="E175" s="232" t="str">
        <f t="shared" si="53"/>
        <v/>
      </c>
      <c r="F175" s="204" t="str">
        <f t="shared" si="67"/>
        <v/>
      </c>
      <c r="G175" s="205" t="str">
        <f t="shared" si="54"/>
        <v/>
      </c>
      <c r="H175" s="205" t="str">
        <f t="shared" si="55"/>
        <v/>
      </c>
      <c r="I175" s="232" t="str">
        <f t="shared" si="56"/>
        <v/>
      </c>
      <c r="J175" s="513" t="str">
        <f t="shared" si="57"/>
        <v/>
      </c>
      <c r="K175" s="230" t="str">
        <f t="shared" si="58"/>
        <v/>
      </c>
      <c r="L175" s="230" t="str">
        <f t="shared" si="59"/>
        <v/>
      </c>
      <c r="M175" s="205" t="str">
        <f t="shared" si="60"/>
        <v/>
      </c>
      <c r="N175" s="233" t="str">
        <f t="shared" si="61"/>
        <v/>
      </c>
      <c r="O175" s="238"/>
      <c r="P175" s="227" t="str">
        <f t="shared" si="68"/>
        <v/>
      </c>
      <c r="Q175" s="227" t="str">
        <f t="shared" si="69"/>
        <v/>
      </c>
      <c r="R175" s="227" t="str">
        <f t="shared" si="62"/>
        <v/>
      </c>
      <c r="S175" s="237"/>
      <c r="T175" s="227" t="str">
        <f t="shared" si="63"/>
        <v/>
      </c>
      <c r="U175" s="227" t="str">
        <f t="shared" si="64"/>
        <v/>
      </c>
      <c r="V175" s="227" t="str">
        <f t="shared" si="65"/>
        <v/>
      </c>
    </row>
    <row r="176" spans="1:22" ht="15" customHeight="1" x14ac:dyDescent="0.25">
      <c r="A176" s="203" t="str">
        <f t="shared" si="50"/>
        <v/>
      </c>
      <c r="B176" s="205" t="str">
        <f t="shared" si="66"/>
        <v/>
      </c>
      <c r="C176" s="205" t="str">
        <f t="shared" si="51"/>
        <v/>
      </c>
      <c r="D176" s="205" t="str">
        <f t="shared" si="52"/>
        <v/>
      </c>
      <c r="E176" s="232" t="str">
        <f t="shared" si="53"/>
        <v/>
      </c>
      <c r="F176" s="204" t="str">
        <f t="shared" si="67"/>
        <v/>
      </c>
      <c r="G176" s="205" t="str">
        <f t="shared" si="54"/>
        <v/>
      </c>
      <c r="H176" s="205" t="str">
        <f t="shared" si="55"/>
        <v/>
      </c>
      <c r="I176" s="232" t="str">
        <f t="shared" si="56"/>
        <v/>
      </c>
      <c r="J176" s="513" t="str">
        <f t="shared" si="57"/>
        <v/>
      </c>
      <c r="K176" s="230" t="str">
        <f t="shared" si="58"/>
        <v/>
      </c>
      <c r="L176" s="230" t="str">
        <f t="shared" si="59"/>
        <v/>
      </c>
      <c r="M176" s="205" t="str">
        <f t="shared" si="60"/>
        <v/>
      </c>
      <c r="N176" s="233" t="str">
        <f t="shared" si="61"/>
        <v/>
      </c>
      <c r="O176" s="238"/>
      <c r="P176" s="227" t="str">
        <f t="shared" si="68"/>
        <v/>
      </c>
      <c r="Q176" s="227" t="str">
        <f t="shared" si="69"/>
        <v/>
      </c>
      <c r="R176" s="227" t="str">
        <f t="shared" si="62"/>
        <v/>
      </c>
      <c r="S176" s="237"/>
      <c r="T176" s="227" t="str">
        <f t="shared" si="63"/>
        <v/>
      </c>
      <c r="U176" s="227" t="str">
        <f t="shared" si="64"/>
        <v/>
      </c>
      <c r="V176" s="227" t="str">
        <f t="shared" si="65"/>
        <v/>
      </c>
    </row>
    <row r="177" spans="1:22" ht="15" customHeight="1" x14ac:dyDescent="0.25">
      <c r="A177" s="203" t="str">
        <f t="shared" si="50"/>
        <v/>
      </c>
      <c r="B177" s="205" t="str">
        <f t="shared" si="66"/>
        <v/>
      </c>
      <c r="C177" s="205" t="str">
        <f t="shared" si="51"/>
        <v/>
      </c>
      <c r="D177" s="205" t="str">
        <f t="shared" si="52"/>
        <v/>
      </c>
      <c r="E177" s="232" t="str">
        <f t="shared" si="53"/>
        <v/>
      </c>
      <c r="F177" s="204" t="str">
        <f t="shared" si="67"/>
        <v/>
      </c>
      <c r="G177" s="205" t="str">
        <f t="shared" si="54"/>
        <v/>
      </c>
      <c r="H177" s="205" t="str">
        <f t="shared" si="55"/>
        <v/>
      </c>
      <c r="I177" s="232" t="str">
        <f t="shared" si="56"/>
        <v/>
      </c>
      <c r="J177" s="513" t="str">
        <f t="shared" si="57"/>
        <v/>
      </c>
      <c r="K177" s="230" t="str">
        <f t="shared" si="58"/>
        <v/>
      </c>
      <c r="L177" s="230" t="str">
        <f t="shared" si="59"/>
        <v/>
      </c>
      <c r="M177" s="205" t="str">
        <f t="shared" si="60"/>
        <v/>
      </c>
      <c r="N177" s="233" t="str">
        <f t="shared" si="61"/>
        <v/>
      </c>
      <c r="O177" s="238"/>
      <c r="P177" s="227" t="str">
        <f t="shared" si="68"/>
        <v/>
      </c>
      <c r="Q177" s="227" t="str">
        <f t="shared" si="69"/>
        <v/>
      </c>
      <c r="R177" s="227" t="str">
        <f t="shared" si="62"/>
        <v/>
      </c>
      <c r="S177" s="237"/>
      <c r="T177" s="227" t="str">
        <f t="shared" si="63"/>
        <v/>
      </c>
      <c r="U177" s="227" t="str">
        <f t="shared" si="64"/>
        <v/>
      </c>
      <c r="V177" s="227" t="str">
        <f t="shared" si="65"/>
        <v/>
      </c>
    </row>
    <row r="178" spans="1:22" ht="15" customHeight="1" x14ac:dyDescent="0.25">
      <c r="A178" s="203" t="str">
        <f t="shared" si="50"/>
        <v/>
      </c>
      <c r="B178" s="205" t="str">
        <f t="shared" si="66"/>
        <v/>
      </c>
      <c r="C178" s="205" t="str">
        <f t="shared" si="51"/>
        <v/>
      </c>
      <c r="D178" s="205" t="str">
        <f t="shared" si="52"/>
        <v/>
      </c>
      <c r="E178" s="232" t="str">
        <f t="shared" si="53"/>
        <v/>
      </c>
      <c r="F178" s="204" t="str">
        <f t="shared" si="67"/>
        <v/>
      </c>
      <c r="G178" s="205" t="str">
        <f t="shared" si="54"/>
        <v/>
      </c>
      <c r="H178" s="205" t="str">
        <f t="shared" si="55"/>
        <v/>
      </c>
      <c r="I178" s="232" t="str">
        <f t="shared" si="56"/>
        <v/>
      </c>
      <c r="J178" s="513" t="str">
        <f t="shared" si="57"/>
        <v/>
      </c>
      <c r="K178" s="230" t="str">
        <f t="shared" si="58"/>
        <v/>
      </c>
      <c r="L178" s="230" t="str">
        <f t="shared" si="59"/>
        <v/>
      </c>
      <c r="M178" s="205" t="str">
        <f t="shared" si="60"/>
        <v/>
      </c>
      <c r="N178" s="233" t="str">
        <f t="shared" si="61"/>
        <v/>
      </c>
      <c r="O178" s="238"/>
      <c r="P178" s="227" t="str">
        <f t="shared" si="68"/>
        <v/>
      </c>
      <c r="Q178" s="227" t="str">
        <f t="shared" si="69"/>
        <v/>
      </c>
      <c r="R178" s="227" t="str">
        <f t="shared" si="62"/>
        <v/>
      </c>
      <c r="S178" s="237"/>
      <c r="T178" s="227" t="str">
        <f t="shared" si="63"/>
        <v/>
      </c>
      <c r="U178" s="227" t="str">
        <f t="shared" si="64"/>
        <v/>
      </c>
      <c r="V178" s="227" t="str">
        <f t="shared" si="65"/>
        <v/>
      </c>
    </row>
    <row r="179" spans="1:22" ht="15" customHeight="1" x14ac:dyDescent="0.25">
      <c r="A179" s="203" t="str">
        <f t="shared" si="50"/>
        <v/>
      </c>
      <c r="B179" s="205" t="str">
        <f t="shared" si="66"/>
        <v/>
      </c>
      <c r="C179" s="205" t="str">
        <f t="shared" si="51"/>
        <v/>
      </c>
      <c r="D179" s="205" t="str">
        <f t="shared" si="52"/>
        <v/>
      </c>
      <c r="E179" s="232" t="str">
        <f t="shared" si="53"/>
        <v/>
      </c>
      <c r="F179" s="204" t="str">
        <f t="shared" si="67"/>
        <v/>
      </c>
      <c r="G179" s="205" t="str">
        <f t="shared" si="54"/>
        <v/>
      </c>
      <c r="H179" s="205" t="str">
        <f t="shared" si="55"/>
        <v/>
      </c>
      <c r="I179" s="232" t="str">
        <f t="shared" si="56"/>
        <v/>
      </c>
      <c r="J179" s="513" t="str">
        <f t="shared" si="57"/>
        <v/>
      </c>
      <c r="K179" s="230" t="str">
        <f t="shared" si="58"/>
        <v/>
      </c>
      <c r="L179" s="230" t="str">
        <f t="shared" si="59"/>
        <v/>
      </c>
      <c r="M179" s="205" t="str">
        <f t="shared" si="60"/>
        <v/>
      </c>
      <c r="N179" s="233" t="str">
        <f t="shared" si="61"/>
        <v/>
      </c>
      <c r="O179" s="238"/>
      <c r="P179" s="227" t="str">
        <f t="shared" si="68"/>
        <v/>
      </c>
      <c r="Q179" s="227" t="str">
        <f t="shared" si="69"/>
        <v/>
      </c>
      <c r="R179" s="227" t="str">
        <f t="shared" si="62"/>
        <v/>
      </c>
      <c r="S179" s="237"/>
      <c r="T179" s="227" t="str">
        <f t="shared" si="63"/>
        <v/>
      </c>
      <c r="U179" s="227" t="str">
        <f t="shared" si="64"/>
        <v/>
      </c>
      <c r="V179" s="227" t="str">
        <f t="shared" si="65"/>
        <v/>
      </c>
    </row>
    <row r="180" spans="1:22" ht="15" customHeight="1" x14ac:dyDescent="0.25">
      <c r="A180" s="203" t="str">
        <f t="shared" si="50"/>
        <v/>
      </c>
      <c r="B180" s="205" t="str">
        <f t="shared" si="66"/>
        <v/>
      </c>
      <c r="C180" s="205" t="str">
        <f t="shared" si="51"/>
        <v/>
      </c>
      <c r="D180" s="205" t="str">
        <f t="shared" si="52"/>
        <v/>
      </c>
      <c r="E180" s="232" t="str">
        <f t="shared" si="53"/>
        <v/>
      </c>
      <c r="F180" s="204" t="str">
        <f t="shared" si="67"/>
        <v/>
      </c>
      <c r="G180" s="205" t="str">
        <f t="shared" si="54"/>
        <v/>
      </c>
      <c r="H180" s="205" t="str">
        <f t="shared" si="55"/>
        <v/>
      </c>
      <c r="I180" s="232" t="str">
        <f t="shared" si="56"/>
        <v/>
      </c>
      <c r="J180" s="513" t="str">
        <f t="shared" si="57"/>
        <v/>
      </c>
      <c r="K180" s="230" t="str">
        <f t="shared" si="58"/>
        <v/>
      </c>
      <c r="L180" s="230" t="str">
        <f t="shared" si="59"/>
        <v/>
      </c>
      <c r="M180" s="205" t="str">
        <f t="shared" si="60"/>
        <v/>
      </c>
      <c r="N180" s="233" t="str">
        <f t="shared" si="61"/>
        <v/>
      </c>
      <c r="O180" s="238"/>
      <c r="P180" s="227" t="str">
        <f t="shared" si="68"/>
        <v/>
      </c>
      <c r="Q180" s="227" t="str">
        <f t="shared" si="69"/>
        <v/>
      </c>
      <c r="R180" s="227" t="str">
        <f t="shared" si="62"/>
        <v/>
      </c>
      <c r="S180" s="237"/>
      <c r="T180" s="227" t="str">
        <f t="shared" si="63"/>
        <v/>
      </c>
      <c r="U180" s="227" t="str">
        <f t="shared" si="64"/>
        <v/>
      </c>
      <c r="V180" s="227" t="str">
        <f t="shared" si="65"/>
        <v/>
      </c>
    </row>
    <row r="181" spans="1:22" ht="15" customHeight="1" x14ac:dyDescent="0.25">
      <c r="A181" s="203" t="str">
        <f t="shared" si="50"/>
        <v/>
      </c>
      <c r="B181" s="205" t="str">
        <f t="shared" si="66"/>
        <v/>
      </c>
      <c r="C181" s="205" t="str">
        <f t="shared" si="51"/>
        <v/>
      </c>
      <c r="D181" s="205" t="str">
        <f t="shared" si="52"/>
        <v/>
      </c>
      <c r="E181" s="232" t="str">
        <f t="shared" si="53"/>
        <v/>
      </c>
      <c r="F181" s="204" t="str">
        <f t="shared" si="67"/>
        <v/>
      </c>
      <c r="G181" s="205" t="str">
        <f t="shared" si="54"/>
        <v/>
      </c>
      <c r="H181" s="205" t="str">
        <f t="shared" si="55"/>
        <v/>
      </c>
      <c r="I181" s="232" t="str">
        <f t="shared" si="56"/>
        <v/>
      </c>
      <c r="J181" s="513" t="str">
        <f t="shared" si="57"/>
        <v/>
      </c>
      <c r="K181" s="230" t="str">
        <f t="shared" si="58"/>
        <v/>
      </c>
      <c r="L181" s="230" t="str">
        <f t="shared" si="59"/>
        <v/>
      </c>
      <c r="M181" s="205" t="str">
        <f t="shared" si="60"/>
        <v/>
      </c>
      <c r="N181" s="233" t="str">
        <f t="shared" si="61"/>
        <v/>
      </c>
      <c r="O181" s="238"/>
      <c r="P181" s="227" t="str">
        <f t="shared" si="68"/>
        <v/>
      </c>
      <c r="Q181" s="227" t="str">
        <f t="shared" si="69"/>
        <v/>
      </c>
      <c r="R181" s="227" t="str">
        <f t="shared" si="62"/>
        <v/>
      </c>
      <c r="S181" s="237"/>
      <c r="T181" s="227" t="str">
        <f t="shared" si="63"/>
        <v/>
      </c>
      <c r="U181" s="227" t="str">
        <f t="shared" si="64"/>
        <v/>
      </c>
      <c r="V181" s="227" t="str">
        <f t="shared" si="65"/>
        <v/>
      </c>
    </row>
    <row r="182" spans="1:22" ht="15" customHeight="1" thickBot="1" x14ac:dyDescent="0.3">
      <c r="A182" s="206" t="str">
        <f t="shared" si="50"/>
        <v/>
      </c>
      <c r="B182" s="205" t="str">
        <f t="shared" si="66"/>
        <v/>
      </c>
      <c r="C182" s="205" t="str">
        <f t="shared" si="51"/>
        <v/>
      </c>
      <c r="D182" s="205" t="str">
        <f t="shared" si="52"/>
        <v/>
      </c>
      <c r="E182" s="232" t="str">
        <f t="shared" si="53"/>
        <v/>
      </c>
      <c r="F182" s="204" t="str">
        <f t="shared" si="67"/>
        <v/>
      </c>
      <c r="G182" s="205" t="str">
        <f t="shared" si="54"/>
        <v/>
      </c>
      <c r="H182" s="205" t="str">
        <f t="shared" si="55"/>
        <v/>
      </c>
      <c r="I182" s="232" t="str">
        <f t="shared" si="56"/>
        <v/>
      </c>
      <c r="J182" s="513" t="str">
        <f t="shared" si="57"/>
        <v/>
      </c>
      <c r="K182" s="230" t="str">
        <f t="shared" si="58"/>
        <v/>
      </c>
      <c r="L182" s="230" t="str">
        <f t="shared" si="59"/>
        <v/>
      </c>
      <c r="M182" s="205" t="str">
        <f t="shared" si="60"/>
        <v/>
      </c>
      <c r="N182" s="233" t="str">
        <f t="shared" si="61"/>
        <v/>
      </c>
      <c r="O182" s="239"/>
      <c r="P182" s="227" t="str">
        <f t="shared" si="68"/>
        <v/>
      </c>
      <c r="Q182" s="227" t="str">
        <f t="shared" si="69"/>
        <v/>
      </c>
      <c r="R182" s="227" t="str">
        <f t="shared" si="62"/>
        <v/>
      </c>
      <c r="S182" s="237"/>
      <c r="T182" s="227" t="str">
        <f t="shared" si="63"/>
        <v/>
      </c>
      <c r="U182" s="227" t="str">
        <f t="shared" si="64"/>
        <v/>
      </c>
      <c r="V182" s="227" t="str">
        <f t="shared" si="65"/>
        <v/>
      </c>
    </row>
    <row r="184" spans="1:22" ht="13.8" thickBot="1" x14ac:dyDescent="0.3">
      <c r="A184" s="865" t="s">
        <v>1168</v>
      </c>
    </row>
    <row r="185" spans="1:22" ht="27" thickTop="1" x14ac:dyDescent="0.25">
      <c r="A185" s="202" t="s">
        <v>1016</v>
      </c>
      <c r="B185" s="235" t="str">
        <f>IF(B$131="","",B$131&amp;" ($/year)")</f>
        <v>Industrial Natural Gas ($/year)</v>
      </c>
      <c r="C185" s="235" t="str">
        <f t="shared" ref="C185:N185" si="70">IF(C$131="","",C$131&amp;" ($/year)")</f>
        <v>Commercial Electricity ($/year)</v>
      </c>
      <c r="D185" s="235" t="str">
        <f t="shared" si="70"/>
        <v/>
      </c>
      <c r="E185" s="235" t="str">
        <f t="shared" si="70"/>
        <v/>
      </c>
      <c r="F185" s="235" t="str">
        <f t="shared" si="70"/>
        <v/>
      </c>
      <c r="G185" s="235" t="str">
        <f t="shared" si="70"/>
        <v/>
      </c>
      <c r="H185" s="235" t="str">
        <f t="shared" si="70"/>
        <v/>
      </c>
      <c r="I185" s="508" t="str">
        <f t="shared" si="70"/>
        <v/>
      </c>
      <c r="J185" s="235" t="str">
        <f t="shared" si="70"/>
        <v/>
      </c>
      <c r="K185" s="235" t="str">
        <f t="shared" si="70"/>
        <v/>
      </c>
      <c r="L185" s="235" t="str">
        <f t="shared" si="70"/>
        <v/>
      </c>
      <c r="M185" s="235" t="str">
        <f t="shared" si="70"/>
        <v/>
      </c>
      <c r="N185" s="235" t="str">
        <f t="shared" si="70"/>
        <v/>
      </c>
    </row>
    <row r="186" spans="1:22" x14ac:dyDescent="0.25">
      <c r="A186" s="203">
        <f>+A139</f>
        <v>2039</v>
      </c>
      <c r="B186" s="205">
        <f>IF($C65="","",IF($C65&lt;0,0,IF(AND($C65=1,start_time&lt;1),-(SUM(B139)*output_kgyear*$E65*percnt_var*start_time+SUM(B139)*output_kgyear*$E65*(1-start_time)),IF($C65&lt;=start_time,-SUM(B139)*output_kgyear*$E65*percnt_var,-SUM(B139)*output_kgyear*$E65))))</f>
        <v>0</v>
      </c>
      <c r="C186" s="205">
        <f t="shared" ref="C186:N186" si="71">IF($C65="","",IF($C65&lt;0,0,IF(AND($C65=1,start_time&lt;1),-(SUM(C139)*output_kgyear*$E65*percnt_var*start_time+SUM(C139)*output_kgyear*$E65*(1-start_time)),IF($C65&lt;=start_time,-SUM(C139)*output_kgyear*$E65*percnt_var,-SUM(C139)*output_kgyear*$E65))))</f>
        <v>0</v>
      </c>
      <c r="D186" s="205">
        <f t="shared" si="71"/>
        <v>0</v>
      </c>
      <c r="E186" s="232">
        <f t="shared" si="71"/>
        <v>0</v>
      </c>
      <c r="F186" s="204">
        <f t="shared" si="71"/>
        <v>0</v>
      </c>
      <c r="G186" s="205">
        <f t="shared" si="71"/>
        <v>0</v>
      </c>
      <c r="H186" s="205">
        <f t="shared" si="71"/>
        <v>0</v>
      </c>
      <c r="I186" s="232">
        <f t="shared" si="71"/>
        <v>0</v>
      </c>
      <c r="J186" s="513">
        <f t="shared" si="71"/>
        <v>0</v>
      </c>
      <c r="K186" s="230">
        <f t="shared" si="71"/>
        <v>0</v>
      </c>
      <c r="L186" s="230">
        <f t="shared" si="71"/>
        <v>0</v>
      </c>
      <c r="M186" s="205">
        <f t="shared" si="71"/>
        <v>0</v>
      </c>
      <c r="N186" s="233">
        <f t="shared" si="71"/>
        <v>0</v>
      </c>
    </row>
    <row r="187" spans="1:22" x14ac:dyDescent="0.25">
      <c r="A187" s="203">
        <f t="shared" ref="A187:A229" si="72">+A140</f>
        <v>2040</v>
      </c>
      <c r="B187" s="205">
        <f t="shared" ref="B187:N187" ca="1" si="73">IF($C66="","",IF($C66&lt;0,0,IF(AND($C66=1,start_time&lt;1),-(SUM(B140)*output_kgyear*$E66*percnt_var*start_time+SUM(B140)*output_kgyear*$E66*(1-start_time)),IF($C66&lt;=start_time,-SUM(B140)*output_kgyear*$E66*percnt_var,-SUM(B140)*output_kgyear*$E66))))</f>
        <v>-479718.88636597461</v>
      </c>
      <c r="C187" s="205">
        <f t="shared" ca="1" si="73"/>
        <v>-144886.1864206006</v>
      </c>
      <c r="D187" s="205">
        <f t="shared" ca="1" si="73"/>
        <v>0</v>
      </c>
      <c r="E187" s="232">
        <f t="shared" ca="1" si="73"/>
        <v>0</v>
      </c>
      <c r="F187" s="204">
        <f t="shared" ca="1" si="73"/>
        <v>0</v>
      </c>
      <c r="G187" s="205">
        <f t="shared" ca="1" si="73"/>
        <v>0</v>
      </c>
      <c r="H187" s="205">
        <f t="shared" ca="1" si="73"/>
        <v>0</v>
      </c>
      <c r="I187" s="232">
        <f t="shared" ca="1" si="73"/>
        <v>0</v>
      </c>
      <c r="J187" s="513">
        <f t="shared" ca="1" si="73"/>
        <v>0</v>
      </c>
      <c r="K187" s="230">
        <f t="shared" ca="1" si="73"/>
        <v>0</v>
      </c>
      <c r="L187" s="230">
        <f t="shared" ca="1" si="73"/>
        <v>0</v>
      </c>
      <c r="M187" s="205">
        <f t="shared" ca="1" si="73"/>
        <v>0</v>
      </c>
      <c r="N187" s="233">
        <f t="shared" ca="1" si="73"/>
        <v>0</v>
      </c>
    </row>
    <row r="188" spans="1:22" x14ac:dyDescent="0.25">
      <c r="A188" s="203">
        <f t="shared" si="72"/>
        <v>2041</v>
      </c>
      <c r="B188" s="205">
        <f t="shared" ref="B188:N188" ca="1" si="74">IF($C67="","",IF($C67&lt;0,0,IF(AND($C67=1,start_time&lt;1),-(SUM(B141)*output_kgyear*$E67*percnt_var*start_time+SUM(B141)*output_kgyear*$E67*(1-start_time)),IF($C67&lt;=start_time,-SUM(B141)*output_kgyear*$E67*percnt_var,-SUM(B141)*output_kgyear*$E67))))</f>
        <v>-652305.21658472414</v>
      </c>
      <c r="C188" s="205">
        <f t="shared" ca="1" si="74"/>
        <v>-196222.94999325307</v>
      </c>
      <c r="D188" s="205">
        <f t="shared" ca="1" si="74"/>
        <v>0</v>
      </c>
      <c r="E188" s="232">
        <f t="shared" ca="1" si="74"/>
        <v>0</v>
      </c>
      <c r="F188" s="204">
        <f t="shared" ca="1" si="74"/>
        <v>0</v>
      </c>
      <c r="G188" s="205">
        <f t="shared" ca="1" si="74"/>
        <v>0</v>
      </c>
      <c r="H188" s="205">
        <f t="shared" ca="1" si="74"/>
        <v>0</v>
      </c>
      <c r="I188" s="232">
        <f t="shared" ca="1" si="74"/>
        <v>0</v>
      </c>
      <c r="J188" s="513">
        <f t="shared" ca="1" si="74"/>
        <v>0</v>
      </c>
      <c r="K188" s="230">
        <f t="shared" ca="1" si="74"/>
        <v>0</v>
      </c>
      <c r="L188" s="230">
        <f t="shared" ca="1" si="74"/>
        <v>0</v>
      </c>
      <c r="M188" s="205">
        <f t="shared" ca="1" si="74"/>
        <v>0</v>
      </c>
      <c r="N188" s="233">
        <f t="shared" ca="1" si="74"/>
        <v>0</v>
      </c>
    </row>
    <row r="189" spans="1:22" x14ac:dyDescent="0.25">
      <c r="A189" s="203">
        <f t="shared" si="72"/>
        <v>2042</v>
      </c>
      <c r="B189" s="205">
        <f t="shared" ref="B189:N189" ca="1" si="75">IF($C68="","",IF($C68&lt;0,0,IF(AND($C68=1,start_time&lt;1),-(SUM(B142)*output_kgyear*$E68*percnt_var*start_time+SUM(B142)*output_kgyear*$E68*(1-start_time)),IF($C68&lt;=start_time,-SUM(B142)*output_kgyear*$E68*percnt_var,-SUM(B142)*output_kgyear*$E68))))</f>
        <v>-671099.05890263198</v>
      </c>
      <c r="C189" s="205">
        <f t="shared" ca="1" si="75"/>
        <v>-199931.48156527168</v>
      </c>
      <c r="D189" s="205">
        <f t="shared" ca="1" si="75"/>
        <v>0</v>
      </c>
      <c r="E189" s="232">
        <f t="shared" ca="1" si="75"/>
        <v>0</v>
      </c>
      <c r="F189" s="204">
        <f ca="1">IF($C68="","",IF($C68&lt;0,0,IF(AND($C68=1,start_time&lt;1),-(SUM(F142)*output_kgyear*$E68*percnt_var*start_time+SUM(F142)*output_kgyear*$E68*(1-start_time)),IF($C68&lt;=start_time,-SUM(F142)*output_kgyear*$E68*percnt_var,-SUM(F142)*output_kgyear*$E68))))</f>
        <v>0</v>
      </c>
      <c r="G189" s="205">
        <f t="shared" ca="1" si="75"/>
        <v>0</v>
      </c>
      <c r="H189" s="205">
        <f t="shared" ca="1" si="75"/>
        <v>0</v>
      </c>
      <c r="I189" s="232">
        <f t="shared" ca="1" si="75"/>
        <v>0</v>
      </c>
      <c r="J189" s="513">
        <f t="shared" ca="1" si="75"/>
        <v>0</v>
      </c>
      <c r="K189" s="230">
        <f t="shared" ca="1" si="75"/>
        <v>0</v>
      </c>
      <c r="L189" s="230">
        <f t="shared" ca="1" si="75"/>
        <v>0</v>
      </c>
      <c r="M189" s="205">
        <f t="shared" ca="1" si="75"/>
        <v>0</v>
      </c>
      <c r="N189" s="233">
        <f t="shared" ca="1" si="75"/>
        <v>0</v>
      </c>
    </row>
    <row r="190" spans="1:22" x14ac:dyDescent="0.25">
      <c r="A190" s="203">
        <f t="shared" si="72"/>
        <v>2043</v>
      </c>
      <c r="B190" s="205">
        <f t="shared" ref="B190:N190" ca="1" si="76">IF($C69="","",IF($C69&lt;0,0,IF(AND($C69=1,start_time&lt;1),-(SUM(B143)*output_kgyear*$E69*percnt_var*start_time+SUM(B143)*output_kgyear*$E69*(1-start_time)),IF($C69&lt;=start_time,-SUM(B143)*output_kgyear*$E69*percnt_var,-SUM(B143)*output_kgyear*$E69))))</f>
        <v>-693832.15401478356</v>
      </c>
      <c r="C190" s="205">
        <f t="shared" ca="1" si="76"/>
        <v>-203994.66952124675</v>
      </c>
      <c r="D190" s="205">
        <f t="shared" ca="1" si="76"/>
        <v>0</v>
      </c>
      <c r="E190" s="232">
        <f t="shared" ca="1" si="76"/>
        <v>0</v>
      </c>
      <c r="F190" s="204">
        <f t="shared" ca="1" si="76"/>
        <v>0</v>
      </c>
      <c r="G190" s="205">
        <f t="shared" ca="1" si="76"/>
        <v>0</v>
      </c>
      <c r="H190" s="205">
        <f t="shared" ca="1" si="76"/>
        <v>0</v>
      </c>
      <c r="I190" s="232">
        <f t="shared" ca="1" si="76"/>
        <v>0</v>
      </c>
      <c r="J190" s="513">
        <f t="shared" ca="1" si="76"/>
        <v>0</v>
      </c>
      <c r="K190" s="230">
        <f t="shared" ca="1" si="76"/>
        <v>0</v>
      </c>
      <c r="L190" s="230">
        <f t="shared" ca="1" si="76"/>
        <v>0</v>
      </c>
      <c r="M190" s="205">
        <f t="shared" ca="1" si="76"/>
        <v>0</v>
      </c>
      <c r="N190" s="233">
        <f t="shared" ca="1" si="76"/>
        <v>0</v>
      </c>
    </row>
    <row r="191" spans="1:22" x14ac:dyDescent="0.25">
      <c r="A191" s="203">
        <f t="shared" si="72"/>
        <v>2044</v>
      </c>
      <c r="B191" s="205">
        <f t="shared" ref="B191:N191" ca="1" si="77">IF($C70="","",IF($C70&lt;0,0,IF(AND($C70=1,start_time&lt;1),-(SUM(B144)*output_kgyear*$E70*percnt_var*start_time+SUM(B144)*output_kgyear*$E70*(1-start_time)),IF($C70&lt;=start_time,-SUM(B144)*output_kgyear*$E70*percnt_var,-SUM(B144)*output_kgyear*$E70))))</f>
        <v>-713986.67600234062</v>
      </c>
      <c r="C191" s="205">
        <f t="shared" ca="1" si="77"/>
        <v>-208169.93758328422</v>
      </c>
      <c r="D191" s="205">
        <f t="shared" ca="1" si="77"/>
        <v>0</v>
      </c>
      <c r="E191" s="232">
        <f t="shared" ca="1" si="77"/>
        <v>0</v>
      </c>
      <c r="F191" s="204">
        <f t="shared" ca="1" si="77"/>
        <v>0</v>
      </c>
      <c r="G191" s="205">
        <f t="shared" ca="1" si="77"/>
        <v>0</v>
      </c>
      <c r="H191" s="205">
        <f t="shared" ca="1" si="77"/>
        <v>0</v>
      </c>
      <c r="I191" s="232">
        <f t="shared" ca="1" si="77"/>
        <v>0</v>
      </c>
      <c r="J191" s="513">
        <f t="shared" ca="1" si="77"/>
        <v>0</v>
      </c>
      <c r="K191" s="230">
        <f t="shared" ca="1" si="77"/>
        <v>0</v>
      </c>
      <c r="L191" s="230">
        <f t="shared" ca="1" si="77"/>
        <v>0</v>
      </c>
      <c r="M191" s="205">
        <f t="shared" ca="1" si="77"/>
        <v>0</v>
      </c>
      <c r="N191" s="233">
        <f t="shared" ca="1" si="77"/>
        <v>0</v>
      </c>
    </row>
    <row r="192" spans="1:22" x14ac:dyDescent="0.25">
      <c r="A192" s="203">
        <f t="shared" si="72"/>
        <v>2045</v>
      </c>
      <c r="B192" s="205">
        <f t="shared" ref="B192:N192" ca="1" si="78">IF($C71="","",IF($C71&lt;0,0,IF(AND($C71=1,start_time&lt;1),-(SUM(B145)*output_kgyear*$E71*percnt_var*start_time+SUM(B145)*output_kgyear*$E71*(1-start_time)),IF($C71&lt;=start_time,-SUM(B145)*output_kgyear*$E71*percnt_var,-SUM(B145)*output_kgyear*$E71))))</f>
        <v>-736894.67531623645</v>
      </c>
      <c r="C192" s="205">
        <f t="shared" ca="1" si="78"/>
        <v>-212412.03503172993</v>
      </c>
      <c r="D192" s="205">
        <f t="shared" ca="1" si="78"/>
        <v>0</v>
      </c>
      <c r="E192" s="232">
        <f t="shared" ca="1" si="78"/>
        <v>0</v>
      </c>
      <c r="F192" s="204">
        <f t="shared" ca="1" si="78"/>
        <v>0</v>
      </c>
      <c r="G192" s="205">
        <f t="shared" ca="1" si="78"/>
        <v>0</v>
      </c>
      <c r="H192" s="205">
        <f t="shared" ca="1" si="78"/>
        <v>0</v>
      </c>
      <c r="I192" s="232">
        <f t="shared" ca="1" si="78"/>
        <v>0</v>
      </c>
      <c r="J192" s="513">
        <f t="shared" ca="1" si="78"/>
        <v>0</v>
      </c>
      <c r="K192" s="230">
        <f t="shared" ca="1" si="78"/>
        <v>0</v>
      </c>
      <c r="L192" s="230">
        <f t="shared" ca="1" si="78"/>
        <v>0</v>
      </c>
      <c r="M192" s="205">
        <f t="shared" ca="1" si="78"/>
        <v>0</v>
      </c>
      <c r="N192" s="233">
        <f t="shared" ca="1" si="78"/>
        <v>0</v>
      </c>
    </row>
    <row r="193" spans="1:14" x14ac:dyDescent="0.25">
      <c r="A193" s="203">
        <f t="shared" si="72"/>
        <v>2046</v>
      </c>
      <c r="B193" s="205">
        <f t="shared" ref="B193:N193" ca="1" si="79">IF($C72="","",IF($C72&lt;0,0,IF(AND($C72=1,start_time&lt;1),-(SUM(B146)*output_kgyear*$E72*percnt_var*start_time+SUM(B146)*output_kgyear*$E72*(1-start_time)),IF($C72&lt;=start_time,-SUM(B146)*output_kgyear*$E72*percnt_var,-SUM(B146)*output_kgyear*$E72))))</f>
        <v>-758173.22140282067</v>
      </c>
      <c r="C193" s="205">
        <f t="shared" ca="1" si="79"/>
        <v>-216645.05670728479</v>
      </c>
      <c r="D193" s="205">
        <f t="shared" ca="1" si="79"/>
        <v>0</v>
      </c>
      <c r="E193" s="232">
        <f t="shared" ca="1" si="79"/>
        <v>0</v>
      </c>
      <c r="F193" s="204">
        <f t="shared" ca="1" si="79"/>
        <v>0</v>
      </c>
      <c r="G193" s="205">
        <f t="shared" ca="1" si="79"/>
        <v>0</v>
      </c>
      <c r="H193" s="205">
        <f t="shared" ca="1" si="79"/>
        <v>0</v>
      </c>
      <c r="I193" s="232">
        <f t="shared" ca="1" si="79"/>
        <v>0</v>
      </c>
      <c r="J193" s="513">
        <f t="shared" ca="1" si="79"/>
        <v>0</v>
      </c>
      <c r="K193" s="230">
        <f t="shared" ca="1" si="79"/>
        <v>0</v>
      </c>
      <c r="L193" s="230">
        <f t="shared" ca="1" si="79"/>
        <v>0</v>
      </c>
      <c r="M193" s="205">
        <f t="shared" ca="1" si="79"/>
        <v>0</v>
      </c>
      <c r="N193" s="233">
        <f t="shared" ca="1" si="79"/>
        <v>0</v>
      </c>
    </row>
    <row r="194" spans="1:14" x14ac:dyDescent="0.25">
      <c r="A194" s="203">
        <f t="shared" si="72"/>
        <v>2047</v>
      </c>
      <c r="B194" s="205">
        <f t="shared" ref="B194:N194" ca="1" si="80">IF($C73="","",IF($C73&lt;0,0,IF(AND($C73=1,start_time&lt;1),-(SUM(B147)*output_kgyear*$E73*percnt_var*start_time+SUM(B147)*output_kgyear*$E73*(1-start_time)),IF($C73&lt;=start_time,-SUM(B147)*output_kgyear*$E73*percnt_var,-SUM(B147)*output_kgyear*$E73))))</f>
        <v>-780712.58863776003</v>
      </c>
      <c r="C194" s="205">
        <f t="shared" ca="1" si="80"/>
        <v>-221064.91984346061</v>
      </c>
      <c r="D194" s="205">
        <f t="shared" ca="1" si="80"/>
        <v>0</v>
      </c>
      <c r="E194" s="232">
        <f t="shared" ca="1" si="80"/>
        <v>0</v>
      </c>
      <c r="F194" s="204">
        <f t="shared" ca="1" si="80"/>
        <v>0</v>
      </c>
      <c r="G194" s="205">
        <f t="shared" ca="1" si="80"/>
        <v>0</v>
      </c>
      <c r="H194" s="205">
        <f t="shared" ca="1" si="80"/>
        <v>0</v>
      </c>
      <c r="I194" s="232">
        <f t="shared" ca="1" si="80"/>
        <v>0</v>
      </c>
      <c r="J194" s="513">
        <f t="shared" ca="1" si="80"/>
        <v>0</v>
      </c>
      <c r="K194" s="230">
        <f t="shared" ca="1" si="80"/>
        <v>0</v>
      </c>
      <c r="L194" s="230">
        <f t="shared" ca="1" si="80"/>
        <v>0</v>
      </c>
      <c r="M194" s="205">
        <f t="shared" ca="1" si="80"/>
        <v>0</v>
      </c>
      <c r="N194" s="233">
        <f t="shared" ca="1" si="80"/>
        <v>0</v>
      </c>
    </row>
    <row r="195" spans="1:14" x14ac:dyDescent="0.25">
      <c r="A195" s="203">
        <f t="shared" si="72"/>
        <v>2048</v>
      </c>
      <c r="B195" s="205">
        <f t="shared" ref="B195:N195" ca="1" si="81">IF($C74="","",IF($C74&lt;0,0,IF(AND($C74=1,start_time&lt;1),-(SUM(B148)*output_kgyear*$E74*percnt_var*start_time+SUM(B148)*output_kgyear*$E74*(1-start_time)),IF($C74&lt;=start_time,-SUM(B148)*output_kgyear*$E74*percnt_var,-SUM(B148)*output_kgyear*$E74))))</f>
        <v>-810128.13257116661</v>
      </c>
      <c r="C195" s="205">
        <f t="shared" ca="1" si="81"/>
        <v>-225536.49747618852</v>
      </c>
      <c r="D195" s="205">
        <f t="shared" ca="1" si="81"/>
        <v>0</v>
      </c>
      <c r="E195" s="232">
        <f t="shared" ca="1" si="81"/>
        <v>0</v>
      </c>
      <c r="F195" s="204">
        <f t="shared" ca="1" si="81"/>
        <v>0</v>
      </c>
      <c r="G195" s="205">
        <f t="shared" ca="1" si="81"/>
        <v>0</v>
      </c>
      <c r="H195" s="205">
        <f t="shared" ca="1" si="81"/>
        <v>0</v>
      </c>
      <c r="I195" s="232">
        <f t="shared" ca="1" si="81"/>
        <v>0</v>
      </c>
      <c r="J195" s="513">
        <f t="shared" ca="1" si="81"/>
        <v>0</v>
      </c>
      <c r="K195" s="230">
        <f t="shared" ca="1" si="81"/>
        <v>0</v>
      </c>
      <c r="L195" s="230">
        <f t="shared" ca="1" si="81"/>
        <v>0</v>
      </c>
      <c r="M195" s="205">
        <f t="shared" ca="1" si="81"/>
        <v>0</v>
      </c>
      <c r="N195" s="233">
        <f t="shared" ca="1" si="81"/>
        <v>0</v>
      </c>
    </row>
    <row r="196" spans="1:14" x14ac:dyDescent="0.25">
      <c r="A196" s="203">
        <f t="shared" si="72"/>
        <v>2049</v>
      </c>
      <c r="B196" s="205">
        <f t="shared" ref="B196:N196" ca="1" si="82">IF($C75="","",IF($C75&lt;0,0,IF(AND($C75=1,start_time&lt;1),-(SUM(B149)*output_kgyear*$E75*percnt_var*start_time+SUM(B149)*output_kgyear*$E75*(1-start_time)),IF($C75&lt;=start_time,-SUM(B149)*output_kgyear*$E75*percnt_var,-SUM(B149)*output_kgyear*$E75))))</f>
        <v>-830355.29092279635</v>
      </c>
      <c r="C196" s="205">
        <f t="shared" ca="1" si="82"/>
        <v>-229971.7772002636</v>
      </c>
      <c r="D196" s="205">
        <f t="shared" ca="1" si="82"/>
        <v>0</v>
      </c>
      <c r="E196" s="232">
        <f t="shared" ca="1" si="82"/>
        <v>0</v>
      </c>
      <c r="F196" s="204">
        <f t="shared" ca="1" si="82"/>
        <v>0</v>
      </c>
      <c r="G196" s="205">
        <f t="shared" ca="1" si="82"/>
        <v>0</v>
      </c>
      <c r="H196" s="205">
        <f t="shared" ca="1" si="82"/>
        <v>0</v>
      </c>
      <c r="I196" s="232">
        <f t="shared" ca="1" si="82"/>
        <v>0</v>
      </c>
      <c r="J196" s="513">
        <f t="shared" ca="1" si="82"/>
        <v>0</v>
      </c>
      <c r="K196" s="230">
        <f t="shared" ca="1" si="82"/>
        <v>0</v>
      </c>
      <c r="L196" s="230">
        <f t="shared" ca="1" si="82"/>
        <v>0</v>
      </c>
      <c r="M196" s="205">
        <f t="shared" ca="1" si="82"/>
        <v>0</v>
      </c>
      <c r="N196" s="233">
        <f t="shared" ca="1" si="82"/>
        <v>0</v>
      </c>
    </row>
    <row r="197" spans="1:14" x14ac:dyDescent="0.25">
      <c r="A197" s="203">
        <f t="shared" si="72"/>
        <v>2050</v>
      </c>
      <c r="B197" s="205">
        <f t="shared" ref="B197:N197" ca="1" si="83">IF($C76="","",IF($C76&lt;0,0,IF(AND($C76=1,start_time&lt;1),-(SUM(B150)*output_kgyear*$E76*percnt_var*start_time+SUM(B150)*output_kgyear*$E76*(1-start_time)),IF($C76&lt;=start_time,-SUM(B150)*output_kgyear*$E76*percnt_var,-SUM(B150)*output_kgyear*$E76))))</f>
        <v>-856845.1639965194</v>
      </c>
      <c r="C197" s="205">
        <f t="shared" ca="1" si="83"/>
        <v>-234827.33518108871</v>
      </c>
      <c r="D197" s="205">
        <f t="shared" ca="1" si="83"/>
        <v>0</v>
      </c>
      <c r="E197" s="232">
        <f t="shared" ca="1" si="83"/>
        <v>0</v>
      </c>
      <c r="F197" s="204">
        <f t="shared" ca="1" si="83"/>
        <v>0</v>
      </c>
      <c r="G197" s="205">
        <f t="shared" ca="1" si="83"/>
        <v>0</v>
      </c>
      <c r="H197" s="205">
        <f t="shared" ca="1" si="83"/>
        <v>0</v>
      </c>
      <c r="I197" s="232">
        <f t="shared" ca="1" si="83"/>
        <v>0</v>
      </c>
      <c r="J197" s="513">
        <f t="shared" ca="1" si="83"/>
        <v>0</v>
      </c>
      <c r="K197" s="230">
        <f t="shared" ca="1" si="83"/>
        <v>0</v>
      </c>
      <c r="L197" s="230">
        <f t="shared" ca="1" si="83"/>
        <v>0</v>
      </c>
      <c r="M197" s="205">
        <f t="shared" ca="1" si="83"/>
        <v>0</v>
      </c>
      <c r="N197" s="233">
        <f t="shared" ca="1" si="83"/>
        <v>0</v>
      </c>
    </row>
    <row r="198" spans="1:14" x14ac:dyDescent="0.25">
      <c r="A198" s="203">
        <f t="shared" si="72"/>
        <v>2051</v>
      </c>
      <c r="B198" s="205">
        <f t="shared" ref="B198:N198" ca="1" si="84">IF($C77="","",IF($C77&lt;0,0,IF(AND($C77=1,start_time&lt;1),-(SUM(B151)*output_kgyear*$E77*percnt_var*start_time+SUM(B151)*output_kgyear*$E77*(1-start_time)),IF($C77&lt;=start_time,-SUM(B151)*output_kgyear*$E77*percnt_var,-SUM(B151)*output_kgyear*$E77))))</f>
        <v>-877979.22325417714</v>
      </c>
      <c r="C198" s="205">
        <f t="shared" ca="1" si="84"/>
        <v>-239303.60765952512</v>
      </c>
      <c r="D198" s="205">
        <f t="shared" ca="1" si="84"/>
        <v>0</v>
      </c>
      <c r="E198" s="232">
        <f t="shared" ca="1" si="84"/>
        <v>0</v>
      </c>
      <c r="F198" s="204">
        <f t="shared" ca="1" si="84"/>
        <v>0</v>
      </c>
      <c r="G198" s="205">
        <f t="shared" ca="1" si="84"/>
        <v>0</v>
      </c>
      <c r="H198" s="205">
        <f t="shared" ca="1" si="84"/>
        <v>0</v>
      </c>
      <c r="I198" s="232">
        <f t="shared" ca="1" si="84"/>
        <v>0</v>
      </c>
      <c r="J198" s="513">
        <f t="shared" ca="1" si="84"/>
        <v>0</v>
      </c>
      <c r="K198" s="230">
        <f t="shared" ca="1" si="84"/>
        <v>0</v>
      </c>
      <c r="L198" s="230">
        <f t="shared" ca="1" si="84"/>
        <v>0</v>
      </c>
      <c r="M198" s="205">
        <f t="shared" ca="1" si="84"/>
        <v>0</v>
      </c>
      <c r="N198" s="233">
        <f t="shared" ca="1" si="84"/>
        <v>0</v>
      </c>
    </row>
    <row r="199" spans="1:14" x14ac:dyDescent="0.25">
      <c r="A199" s="203">
        <f t="shared" si="72"/>
        <v>2052</v>
      </c>
      <c r="B199" s="205">
        <f t="shared" ref="B199:N199" ca="1" si="85">IF($C78="","",IF($C78&lt;0,0,IF(AND($C78=1,start_time&lt;1),-(SUM(B152)*output_kgyear*$E78*percnt_var*start_time+SUM(B152)*output_kgyear*$E78*(1-start_time)),IF($C78&lt;=start_time,-SUM(B152)*output_kgyear*$E78*percnt_var,-SUM(B152)*output_kgyear*$E78))))</f>
        <v>-899634.55342456617</v>
      </c>
      <c r="C199" s="205">
        <f t="shared" ca="1" si="85"/>
        <v>-243865.20672605117</v>
      </c>
      <c r="D199" s="205">
        <f t="shared" ca="1" si="85"/>
        <v>0</v>
      </c>
      <c r="E199" s="232">
        <f t="shared" ca="1" si="85"/>
        <v>0</v>
      </c>
      <c r="F199" s="204">
        <f t="shared" ca="1" si="85"/>
        <v>0</v>
      </c>
      <c r="G199" s="205">
        <f t="shared" ca="1" si="85"/>
        <v>0</v>
      </c>
      <c r="H199" s="205">
        <f t="shared" ca="1" si="85"/>
        <v>0</v>
      </c>
      <c r="I199" s="232">
        <f t="shared" ca="1" si="85"/>
        <v>0</v>
      </c>
      <c r="J199" s="513">
        <f t="shared" ca="1" si="85"/>
        <v>0</v>
      </c>
      <c r="K199" s="230">
        <f t="shared" ca="1" si="85"/>
        <v>0</v>
      </c>
      <c r="L199" s="230">
        <f t="shared" ca="1" si="85"/>
        <v>0</v>
      </c>
      <c r="M199" s="205">
        <f t="shared" ca="1" si="85"/>
        <v>0</v>
      </c>
      <c r="N199" s="233">
        <f t="shared" ca="1" si="85"/>
        <v>0</v>
      </c>
    </row>
    <row r="200" spans="1:14" x14ac:dyDescent="0.25">
      <c r="A200" s="203">
        <f t="shared" si="72"/>
        <v>2053</v>
      </c>
      <c r="B200" s="205">
        <f t="shared" ref="B200:N200" ca="1" si="86">IF($C79="","",IF($C79&lt;0,0,IF(AND($C79=1,start_time&lt;1),-(SUM(B153)*output_kgyear*$E79*percnt_var*start_time+SUM(B153)*output_kgyear*$E79*(1-start_time)),IF($C79&lt;=start_time,-SUM(B153)*output_kgyear*$E79*percnt_var,-SUM(B153)*output_kgyear*$E79))))</f>
        <v>-921824.01163849875</v>
      </c>
      <c r="C200" s="205">
        <f t="shared" ca="1" si="86"/>
        <v>-248513.75887384187</v>
      </c>
      <c r="D200" s="205">
        <f t="shared" ca="1" si="86"/>
        <v>0</v>
      </c>
      <c r="E200" s="232">
        <f t="shared" ca="1" si="86"/>
        <v>0</v>
      </c>
      <c r="F200" s="204">
        <f t="shared" ca="1" si="86"/>
        <v>0</v>
      </c>
      <c r="G200" s="205">
        <f t="shared" ca="1" si="86"/>
        <v>0</v>
      </c>
      <c r="H200" s="205">
        <f t="shared" ca="1" si="86"/>
        <v>0</v>
      </c>
      <c r="I200" s="232">
        <f t="shared" ca="1" si="86"/>
        <v>0</v>
      </c>
      <c r="J200" s="513">
        <f t="shared" ca="1" si="86"/>
        <v>0</v>
      </c>
      <c r="K200" s="230">
        <f t="shared" ca="1" si="86"/>
        <v>0</v>
      </c>
      <c r="L200" s="230">
        <f t="shared" ca="1" si="86"/>
        <v>0</v>
      </c>
      <c r="M200" s="205">
        <f t="shared" ca="1" si="86"/>
        <v>0</v>
      </c>
      <c r="N200" s="233">
        <f t="shared" ca="1" si="86"/>
        <v>0</v>
      </c>
    </row>
    <row r="201" spans="1:14" x14ac:dyDescent="0.25">
      <c r="A201" s="203">
        <f t="shared" si="72"/>
        <v>2054</v>
      </c>
      <c r="B201" s="205">
        <f t="shared" ref="B201:N201" ca="1" si="87">IF($C80="","",IF($C80&lt;0,0,IF(AND($C80=1,start_time&lt;1),-(SUM(B154)*output_kgyear*$E80*percnt_var*start_time+SUM(B154)*output_kgyear*$E80*(1-start_time)),IF($C80&lt;=start_time,-SUM(B154)*output_kgyear*$E80*percnt_var,-SUM(B154)*output_kgyear*$E80))))</f>
        <v>-944560.77214751765</v>
      </c>
      <c r="C201" s="205">
        <f t="shared" ca="1" si="87"/>
        <v>-253250.92160024217</v>
      </c>
      <c r="D201" s="205">
        <f t="shared" ca="1" si="87"/>
        <v>0</v>
      </c>
      <c r="E201" s="232">
        <f t="shared" ca="1" si="87"/>
        <v>0</v>
      </c>
      <c r="F201" s="204">
        <f t="shared" ca="1" si="87"/>
        <v>0</v>
      </c>
      <c r="G201" s="205">
        <f t="shared" ca="1" si="87"/>
        <v>0</v>
      </c>
      <c r="H201" s="205">
        <f t="shared" ca="1" si="87"/>
        <v>0</v>
      </c>
      <c r="I201" s="232">
        <f t="shared" ca="1" si="87"/>
        <v>0</v>
      </c>
      <c r="J201" s="513">
        <f t="shared" ca="1" si="87"/>
        <v>0</v>
      </c>
      <c r="K201" s="230">
        <f t="shared" ca="1" si="87"/>
        <v>0</v>
      </c>
      <c r="L201" s="230">
        <f t="shared" ca="1" si="87"/>
        <v>0</v>
      </c>
      <c r="M201" s="205">
        <f t="shared" ca="1" si="87"/>
        <v>0</v>
      </c>
      <c r="N201" s="233">
        <f t="shared" ca="1" si="87"/>
        <v>0</v>
      </c>
    </row>
    <row r="202" spans="1:14" x14ac:dyDescent="0.25">
      <c r="A202" s="203">
        <f t="shared" si="72"/>
        <v>2055</v>
      </c>
      <c r="B202" s="205">
        <f t="shared" ref="B202:N202" ca="1" si="88">IF($C81="","",IF($C81&lt;0,0,IF(AND($C81=1,start_time&lt;1),-(SUM(B155)*output_kgyear*$E81*percnt_var*start_time+SUM(B155)*output_kgyear*$E81*(1-start_time)),IF($C81&lt;=start_time,-SUM(B155)*output_kgyear*$E81*percnt_var,-SUM(B155)*output_kgyear*$E81))))</f>
        <v>-967858.33414566831</v>
      </c>
      <c r="C202" s="205">
        <f t="shared" ca="1" si="88"/>
        <v>-258078.38399776764</v>
      </c>
      <c r="D202" s="205">
        <f t="shared" ca="1" si="88"/>
        <v>0</v>
      </c>
      <c r="E202" s="232">
        <f t="shared" ca="1" si="88"/>
        <v>0</v>
      </c>
      <c r="F202" s="204">
        <f t="shared" ca="1" si="88"/>
        <v>0</v>
      </c>
      <c r="G202" s="205">
        <f t="shared" ca="1" si="88"/>
        <v>0</v>
      </c>
      <c r="H202" s="205">
        <f t="shared" ca="1" si="88"/>
        <v>0</v>
      </c>
      <c r="I202" s="232">
        <f t="shared" ca="1" si="88"/>
        <v>0</v>
      </c>
      <c r="J202" s="513">
        <f t="shared" ca="1" si="88"/>
        <v>0</v>
      </c>
      <c r="K202" s="230">
        <f t="shared" ca="1" si="88"/>
        <v>0</v>
      </c>
      <c r="L202" s="230">
        <f t="shared" ca="1" si="88"/>
        <v>0</v>
      </c>
      <c r="M202" s="205">
        <f t="shared" ca="1" si="88"/>
        <v>0</v>
      </c>
      <c r="N202" s="233">
        <f t="shared" ca="1" si="88"/>
        <v>0</v>
      </c>
    </row>
    <row r="203" spans="1:14" x14ac:dyDescent="0.25">
      <c r="A203" s="203">
        <f t="shared" si="72"/>
        <v>2056</v>
      </c>
      <c r="B203" s="205">
        <f t="shared" ref="B203:N203" ca="1" si="89">IF($C82="","",IF($C82&lt;0,0,IF(AND($C82=1,start_time&lt;1),-(SUM(B156)*output_kgyear*$E82*percnt_var*start_time+SUM(B156)*output_kgyear*$E82*(1-start_time)),IF($C82&lt;=start_time,-SUM(B156)*output_kgyear*$E82*percnt_var,-SUM(B156)*output_kgyear*$E82))))</f>
        <v>-991541.30267413845</v>
      </c>
      <c r="C203" s="205">
        <f t="shared" ca="1" si="89"/>
        <v>-263020.34073085123</v>
      </c>
      <c r="D203" s="205">
        <f t="shared" ca="1" si="89"/>
        <v>0</v>
      </c>
      <c r="E203" s="232">
        <f t="shared" ca="1" si="89"/>
        <v>0</v>
      </c>
      <c r="F203" s="204">
        <f t="shared" ca="1" si="89"/>
        <v>0</v>
      </c>
      <c r="G203" s="205">
        <f t="shared" ca="1" si="89"/>
        <v>0</v>
      </c>
      <c r="H203" s="205">
        <f t="shared" ca="1" si="89"/>
        <v>0</v>
      </c>
      <c r="I203" s="232">
        <f t="shared" ca="1" si="89"/>
        <v>0</v>
      </c>
      <c r="J203" s="513">
        <f t="shared" ca="1" si="89"/>
        <v>0</v>
      </c>
      <c r="K203" s="230">
        <f t="shared" ca="1" si="89"/>
        <v>0</v>
      </c>
      <c r="L203" s="230">
        <f t="shared" ca="1" si="89"/>
        <v>0</v>
      </c>
      <c r="M203" s="205">
        <f t="shared" ca="1" si="89"/>
        <v>0</v>
      </c>
      <c r="N203" s="233">
        <f t="shared" ca="1" si="89"/>
        <v>0</v>
      </c>
    </row>
    <row r="204" spans="1:14" x14ac:dyDescent="0.25">
      <c r="A204" s="203">
        <f t="shared" si="72"/>
        <v>2057</v>
      </c>
      <c r="B204" s="205">
        <f t="shared" ref="B204:N204" ca="1" si="90">IF($C83="","",IF($C83&lt;0,0,IF(AND($C83=1,start_time&lt;1),-(SUM(B157)*output_kgyear*$E83*percnt_var*start_time+SUM(B157)*output_kgyear*$E83*(1-start_time)),IF($C83&lt;=start_time,-SUM(B157)*output_kgyear*$E83*percnt_var,-SUM(B157)*output_kgyear*$E83))))</f>
        <v>-1015803.7805982842</v>
      </c>
      <c r="C204" s="205">
        <f t="shared" ca="1" si="90"/>
        <v>-268056.93125686765</v>
      </c>
      <c r="D204" s="205">
        <f t="shared" ca="1" si="90"/>
        <v>0</v>
      </c>
      <c r="E204" s="232">
        <f t="shared" ca="1" si="90"/>
        <v>0</v>
      </c>
      <c r="F204" s="204">
        <f t="shared" ca="1" si="90"/>
        <v>0</v>
      </c>
      <c r="G204" s="205">
        <f t="shared" ca="1" si="90"/>
        <v>0</v>
      </c>
      <c r="H204" s="205">
        <f t="shared" ca="1" si="90"/>
        <v>0</v>
      </c>
      <c r="I204" s="232">
        <f t="shared" ca="1" si="90"/>
        <v>0</v>
      </c>
      <c r="J204" s="513">
        <f t="shared" ca="1" si="90"/>
        <v>0</v>
      </c>
      <c r="K204" s="230">
        <f t="shared" ca="1" si="90"/>
        <v>0</v>
      </c>
      <c r="L204" s="230">
        <f t="shared" ca="1" si="90"/>
        <v>0</v>
      </c>
      <c r="M204" s="205">
        <f t="shared" ca="1" si="90"/>
        <v>0</v>
      </c>
      <c r="N204" s="233">
        <f t="shared" ca="1" si="90"/>
        <v>0</v>
      </c>
    </row>
    <row r="205" spans="1:14" x14ac:dyDescent="0.25">
      <c r="A205" s="203">
        <f t="shared" si="72"/>
        <v>2058</v>
      </c>
      <c r="B205" s="205">
        <f t="shared" ref="B205:N205" ca="1" si="91">IF($C84="","",IF($C84&lt;0,0,IF(AND($C84=1,start_time&lt;1),-(SUM(B158)*output_kgyear*$E84*percnt_var*start_time+SUM(B158)*output_kgyear*$E84*(1-start_time)),IF($C84&lt;=start_time,-SUM(B158)*output_kgyear*$E84*percnt_var,-SUM(B158)*output_kgyear*$E84))))</f>
        <v>-1040659.9481987266</v>
      </c>
      <c r="C205" s="205">
        <f t="shared" ca="1" si="91"/>
        <v>-273189.96772336238</v>
      </c>
      <c r="D205" s="205">
        <f t="shared" ca="1" si="91"/>
        <v>0</v>
      </c>
      <c r="E205" s="232">
        <f t="shared" ca="1" si="91"/>
        <v>0</v>
      </c>
      <c r="F205" s="204">
        <f t="shared" ca="1" si="91"/>
        <v>0</v>
      </c>
      <c r="G205" s="205">
        <f t="shared" ca="1" si="91"/>
        <v>0</v>
      </c>
      <c r="H205" s="205">
        <f t="shared" ca="1" si="91"/>
        <v>0</v>
      </c>
      <c r="I205" s="232">
        <f t="shared" ca="1" si="91"/>
        <v>0</v>
      </c>
      <c r="J205" s="513">
        <f t="shared" ca="1" si="91"/>
        <v>0</v>
      </c>
      <c r="K205" s="230">
        <f t="shared" ca="1" si="91"/>
        <v>0</v>
      </c>
      <c r="L205" s="230">
        <f t="shared" ca="1" si="91"/>
        <v>0</v>
      </c>
      <c r="M205" s="205">
        <f t="shared" ca="1" si="91"/>
        <v>0</v>
      </c>
      <c r="N205" s="233">
        <f t="shared" ca="1" si="91"/>
        <v>0</v>
      </c>
    </row>
    <row r="206" spans="1:14" x14ac:dyDescent="0.25">
      <c r="A206" s="203">
        <f t="shared" si="72"/>
        <v>2059</v>
      </c>
      <c r="B206" s="205">
        <f t="shared" ref="B206:N206" ca="1" si="92">IF($C85="","",IF($C85&lt;0,0,IF(AND($C85=1,start_time&lt;1),-(SUM(B159)*output_kgyear*$E85*percnt_var*start_time+SUM(B159)*output_kgyear*$E85*(1-start_time)),IF($C85&lt;=start_time,-SUM(B159)*output_kgyear*$E85*percnt_var,-SUM(B159)*output_kgyear*$E85))))</f>
        <v>-1066124.3327398642</v>
      </c>
      <c r="C206" s="205">
        <f t="shared" ca="1" si="92"/>
        <v>-278421.29697879142</v>
      </c>
      <c r="D206" s="205">
        <f t="shared" ca="1" si="92"/>
        <v>0</v>
      </c>
      <c r="E206" s="232">
        <f t="shared" ca="1" si="92"/>
        <v>0</v>
      </c>
      <c r="F206" s="204">
        <f t="shared" ca="1" si="92"/>
        <v>0</v>
      </c>
      <c r="G206" s="205">
        <f t="shared" ca="1" si="92"/>
        <v>0</v>
      </c>
      <c r="H206" s="205">
        <f t="shared" ca="1" si="92"/>
        <v>0</v>
      </c>
      <c r="I206" s="232">
        <f t="shared" ca="1" si="92"/>
        <v>0</v>
      </c>
      <c r="J206" s="513">
        <f t="shared" ca="1" si="92"/>
        <v>0</v>
      </c>
      <c r="K206" s="230">
        <f t="shared" ca="1" si="92"/>
        <v>0</v>
      </c>
      <c r="L206" s="230">
        <f t="shared" ca="1" si="92"/>
        <v>0</v>
      </c>
      <c r="M206" s="205">
        <f t="shared" ca="1" si="92"/>
        <v>0</v>
      </c>
      <c r="N206" s="233">
        <f t="shared" ca="1" si="92"/>
        <v>0</v>
      </c>
    </row>
    <row r="207" spans="1:14" x14ac:dyDescent="0.25">
      <c r="A207" s="203" t="str">
        <f t="shared" si="72"/>
        <v/>
      </c>
      <c r="B207" s="205" t="str">
        <f t="shared" ref="B207:N207" si="93">IF($C86="","",IF($C86&lt;0,0,IF(AND($C86=1,start_time&lt;1),-(SUM(B160)*output_kgyear*$E86*percnt_var*start_time+SUM(B160)*output_kgyear*$E86*(1-start_time)),IF($C86&lt;=start_time,-SUM(B160)*output_kgyear*$E86*percnt_var,-SUM(B160)*output_kgyear*$E86))))</f>
        <v/>
      </c>
      <c r="C207" s="205" t="str">
        <f t="shared" si="93"/>
        <v/>
      </c>
      <c r="D207" s="205" t="str">
        <f t="shared" si="93"/>
        <v/>
      </c>
      <c r="E207" s="232" t="str">
        <f t="shared" si="93"/>
        <v/>
      </c>
      <c r="F207" s="204" t="str">
        <f t="shared" si="93"/>
        <v/>
      </c>
      <c r="G207" s="205" t="str">
        <f t="shared" si="93"/>
        <v/>
      </c>
      <c r="H207" s="205" t="str">
        <f t="shared" si="93"/>
        <v/>
      </c>
      <c r="I207" s="232" t="str">
        <f t="shared" si="93"/>
        <v/>
      </c>
      <c r="J207" s="513" t="str">
        <f t="shared" si="93"/>
        <v/>
      </c>
      <c r="K207" s="230" t="str">
        <f t="shared" si="93"/>
        <v/>
      </c>
      <c r="L207" s="230" t="str">
        <f t="shared" si="93"/>
        <v/>
      </c>
      <c r="M207" s="205" t="str">
        <f t="shared" si="93"/>
        <v/>
      </c>
      <c r="N207" s="233" t="str">
        <f t="shared" si="93"/>
        <v/>
      </c>
    </row>
    <row r="208" spans="1:14" x14ac:dyDescent="0.25">
      <c r="A208" s="203" t="str">
        <f t="shared" si="72"/>
        <v/>
      </c>
      <c r="B208" s="205" t="str">
        <f t="shared" ref="B208:N208" si="94">IF($C87="","",IF($C87&lt;0,0,IF(AND($C87=1,start_time&lt;1),-(SUM(B161)*output_kgyear*$E87*percnt_var*start_time+SUM(B161)*output_kgyear*$E87*(1-start_time)),IF($C87&lt;=start_time,-SUM(B161)*output_kgyear*$E87*percnt_var,-SUM(B161)*output_kgyear*$E87))))</f>
        <v/>
      </c>
      <c r="C208" s="205" t="str">
        <f t="shared" si="94"/>
        <v/>
      </c>
      <c r="D208" s="205" t="str">
        <f t="shared" si="94"/>
        <v/>
      </c>
      <c r="E208" s="232" t="str">
        <f t="shared" si="94"/>
        <v/>
      </c>
      <c r="F208" s="204" t="str">
        <f t="shared" si="94"/>
        <v/>
      </c>
      <c r="G208" s="205" t="str">
        <f t="shared" si="94"/>
        <v/>
      </c>
      <c r="H208" s="205" t="str">
        <f t="shared" si="94"/>
        <v/>
      </c>
      <c r="I208" s="232" t="str">
        <f t="shared" si="94"/>
        <v/>
      </c>
      <c r="J208" s="513" t="str">
        <f t="shared" si="94"/>
        <v/>
      </c>
      <c r="K208" s="230" t="str">
        <f t="shared" si="94"/>
        <v/>
      </c>
      <c r="L208" s="230" t="str">
        <f t="shared" si="94"/>
        <v/>
      </c>
      <c r="M208" s="205" t="str">
        <f t="shared" si="94"/>
        <v/>
      </c>
      <c r="N208" s="233" t="str">
        <f t="shared" si="94"/>
        <v/>
      </c>
    </row>
    <row r="209" spans="1:14" x14ac:dyDescent="0.25">
      <c r="A209" s="203" t="str">
        <f t="shared" si="72"/>
        <v/>
      </c>
      <c r="B209" s="205" t="str">
        <f t="shared" ref="B209:N209" si="95">IF($C88="","",IF($C88&lt;0,0,IF(AND($C88=1,start_time&lt;1),-(SUM(B162)*output_kgyear*$E88*percnt_var*start_time+SUM(B162)*output_kgyear*$E88*(1-start_time)),IF($C88&lt;=start_time,-SUM(B162)*output_kgyear*$E88*percnt_var,-SUM(B162)*output_kgyear*$E88))))</f>
        <v/>
      </c>
      <c r="C209" s="205" t="str">
        <f t="shared" si="95"/>
        <v/>
      </c>
      <c r="D209" s="205" t="str">
        <f t="shared" si="95"/>
        <v/>
      </c>
      <c r="E209" s="232" t="str">
        <f t="shared" si="95"/>
        <v/>
      </c>
      <c r="F209" s="204" t="str">
        <f t="shared" si="95"/>
        <v/>
      </c>
      <c r="G209" s="205" t="str">
        <f t="shared" si="95"/>
        <v/>
      </c>
      <c r="H209" s="205" t="str">
        <f t="shared" si="95"/>
        <v/>
      </c>
      <c r="I209" s="232" t="str">
        <f t="shared" si="95"/>
        <v/>
      </c>
      <c r="J209" s="513" t="str">
        <f t="shared" si="95"/>
        <v/>
      </c>
      <c r="K209" s="230" t="str">
        <f t="shared" si="95"/>
        <v/>
      </c>
      <c r="L209" s="230" t="str">
        <f t="shared" si="95"/>
        <v/>
      </c>
      <c r="M209" s="205" t="str">
        <f t="shared" si="95"/>
        <v/>
      </c>
      <c r="N209" s="233" t="str">
        <f t="shared" si="95"/>
        <v/>
      </c>
    </row>
    <row r="210" spans="1:14" x14ac:dyDescent="0.25">
      <c r="A210" s="203" t="str">
        <f t="shared" si="72"/>
        <v/>
      </c>
      <c r="B210" s="205" t="str">
        <f t="shared" ref="B210:N210" si="96">IF($C89="","",IF($C89&lt;0,0,IF(AND($C89=1,start_time&lt;1),-(SUM(B163)*output_kgyear*$E89*percnt_var*start_time+SUM(B163)*output_kgyear*$E89*(1-start_time)),IF($C89&lt;=start_time,-SUM(B163)*output_kgyear*$E89*percnt_var,-SUM(B163)*output_kgyear*$E89))))</f>
        <v/>
      </c>
      <c r="C210" s="205" t="str">
        <f t="shared" si="96"/>
        <v/>
      </c>
      <c r="D210" s="205" t="str">
        <f t="shared" si="96"/>
        <v/>
      </c>
      <c r="E210" s="232" t="str">
        <f t="shared" si="96"/>
        <v/>
      </c>
      <c r="F210" s="204" t="str">
        <f t="shared" si="96"/>
        <v/>
      </c>
      <c r="G210" s="205" t="str">
        <f t="shared" si="96"/>
        <v/>
      </c>
      <c r="H210" s="205" t="str">
        <f t="shared" si="96"/>
        <v/>
      </c>
      <c r="I210" s="232" t="str">
        <f t="shared" si="96"/>
        <v/>
      </c>
      <c r="J210" s="513" t="str">
        <f t="shared" si="96"/>
        <v/>
      </c>
      <c r="K210" s="230" t="str">
        <f t="shared" si="96"/>
        <v/>
      </c>
      <c r="L210" s="230" t="str">
        <f t="shared" si="96"/>
        <v/>
      </c>
      <c r="M210" s="205" t="str">
        <f t="shared" si="96"/>
        <v/>
      </c>
      <c r="N210" s="233" t="str">
        <f t="shared" si="96"/>
        <v/>
      </c>
    </row>
    <row r="211" spans="1:14" x14ac:dyDescent="0.25">
      <c r="A211" s="203" t="str">
        <f t="shared" si="72"/>
        <v/>
      </c>
      <c r="B211" s="205" t="str">
        <f t="shared" ref="B211:N211" si="97">IF($C90="","",IF($C90&lt;0,0,IF(AND($C90=1,start_time&lt;1),-(SUM(B164)*output_kgyear*$E90*percnt_var*start_time+SUM(B164)*output_kgyear*$E90*(1-start_time)),IF($C90&lt;=start_time,-SUM(B164)*output_kgyear*$E90*percnt_var,-SUM(B164)*output_kgyear*$E90))))</f>
        <v/>
      </c>
      <c r="C211" s="205" t="str">
        <f t="shared" si="97"/>
        <v/>
      </c>
      <c r="D211" s="205" t="str">
        <f t="shared" si="97"/>
        <v/>
      </c>
      <c r="E211" s="232" t="str">
        <f t="shared" si="97"/>
        <v/>
      </c>
      <c r="F211" s="204" t="str">
        <f t="shared" si="97"/>
        <v/>
      </c>
      <c r="G211" s="205" t="str">
        <f t="shared" si="97"/>
        <v/>
      </c>
      <c r="H211" s="205" t="str">
        <f t="shared" si="97"/>
        <v/>
      </c>
      <c r="I211" s="232" t="str">
        <f t="shared" si="97"/>
        <v/>
      </c>
      <c r="J211" s="513" t="str">
        <f t="shared" si="97"/>
        <v/>
      </c>
      <c r="K211" s="230" t="str">
        <f t="shared" si="97"/>
        <v/>
      </c>
      <c r="L211" s="230" t="str">
        <f t="shared" si="97"/>
        <v/>
      </c>
      <c r="M211" s="205" t="str">
        <f t="shared" si="97"/>
        <v/>
      </c>
      <c r="N211" s="233" t="str">
        <f t="shared" si="97"/>
        <v/>
      </c>
    </row>
    <row r="212" spans="1:14" x14ac:dyDescent="0.25">
      <c r="A212" s="203" t="str">
        <f t="shared" si="72"/>
        <v/>
      </c>
      <c r="B212" s="205" t="str">
        <f t="shared" ref="B212:N212" si="98">IF($C91="","",IF($C91&lt;0,0,IF(AND($C91=1,start_time&lt;1),-(SUM(B165)*output_kgyear*$E91*percnt_var*start_time+SUM(B165)*output_kgyear*$E91*(1-start_time)),IF($C91&lt;=start_time,-SUM(B165)*output_kgyear*$E91*percnt_var,-SUM(B165)*output_kgyear*$E91))))</f>
        <v/>
      </c>
      <c r="C212" s="205" t="str">
        <f t="shared" si="98"/>
        <v/>
      </c>
      <c r="D212" s="205" t="str">
        <f t="shared" si="98"/>
        <v/>
      </c>
      <c r="E212" s="232" t="str">
        <f t="shared" si="98"/>
        <v/>
      </c>
      <c r="F212" s="204" t="str">
        <f t="shared" si="98"/>
        <v/>
      </c>
      <c r="G212" s="205" t="str">
        <f t="shared" si="98"/>
        <v/>
      </c>
      <c r="H212" s="205" t="str">
        <f t="shared" si="98"/>
        <v/>
      </c>
      <c r="I212" s="232" t="str">
        <f t="shared" si="98"/>
        <v/>
      </c>
      <c r="J212" s="513" t="str">
        <f t="shared" si="98"/>
        <v/>
      </c>
      <c r="K212" s="230" t="str">
        <f t="shared" si="98"/>
        <v/>
      </c>
      <c r="L212" s="230" t="str">
        <f t="shared" si="98"/>
        <v/>
      </c>
      <c r="M212" s="205" t="str">
        <f t="shared" si="98"/>
        <v/>
      </c>
      <c r="N212" s="233" t="str">
        <f t="shared" si="98"/>
        <v/>
      </c>
    </row>
    <row r="213" spans="1:14" x14ac:dyDescent="0.25">
      <c r="A213" s="203" t="str">
        <f t="shared" si="72"/>
        <v/>
      </c>
      <c r="B213" s="205" t="str">
        <f t="shared" ref="B213:N213" si="99">IF($C92="","",IF($C92&lt;0,0,IF(AND($C92=1,start_time&lt;1),-(SUM(B166)*output_kgyear*$E92*percnt_var*start_time+SUM(B166)*output_kgyear*$E92*(1-start_time)),IF($C92&lt;=start_time,-SUM(B166)*output_kgyear*$E92*percnt_var,-SUM(B166)*output_kgyear*$E92))))</f>
        <v/>
      </c>
      <c r="C213" s="205" t="str">
        <f t="shared" si="99"/>
        <v/>
      </c>
      <c r="D213" s="205" t="str">
        <f t="shared" si="99"/>
        <v/>
      </c>
      <c r="E213" s="232" t="str">
        <f t="shared" si="99"/>
        <v/>
      </c>
      <c r="F213" s="204" t="str">
        <f t="shared" si="99"/>
        <v/>
      </c>
      <c r="G213" s="205" t="str">
        <f t="shared" si="99"/>
        <v/>
      </c>
      <c r="H213" s="205" t="str">
        <f t="shared" si="99"/>
        <v/>
      </c>
      <c r="I213" s="232" t="str">
        <f t="shared" si="99"/>
        <v/>
      </c>
      <c r="J213" s="513" t="str">
        <f t="shared" si="99"/>
        <v/>
      </c>
      <c r="K213" s="230" t="str">
        <f t="shared" si="99"/>
        <v/>
      </c>
      <c r="L213" s="230" t="str">
        <f t="shared" si="99"/>
        <v/>
      </c>
      <c r="M213" s="205" t="str">
        <f t="shared" si="99"/>
        <v/>
      </c>
      <c r="N213" s="233" t="str">
        <f t="shared" si="99"/>
        <v/>
      </c>
    </row>
    <row r="214" spans="1:14" x14ac:dyDescent="0.25">
      <c r="A214" s="203" t="str">
        <f t="shared" si="72"/>
        <v/>
      </c>
      <c r="B214" s="205" t="str">
        <f t="shared" ref="B214:N214" si="100">IF($C93="","",IF($C93&lt;0,0,IF(AND($C93=1,start_time&lt;1),-(SUM(B167)*output_kgyear*$E93*percnt_var*start_time+SUM(B167)*output_kgyear*$E93*(1-start_time)),IF($C93&lt;=start_time,-SUM(B167)*output_kgyear*$E93*percnt_var,-SUM(B167)*output_kgyear*$E93))))</f>
        <v/>
      </c>
      <c r="C214" s="205" t="str">
        <f t="shared" si="100"/>
        <v/>
      </c>
      <c r="D214" s="205" t="str">
        <f t="shared" si="100"/>
        <v/>
      </c>
      <c r="E214" s="232" t="str">
        <f t="shared" si="100"/>
        <v/>
      </c>
      <c r="F214" s="204" t="str">
        <f t="shared" si="100"/>
        <v/>
      </c>
      <c r="G214" s="205" t="str">
        <f t="shared" si="100"/>
        <v/>
      </c>
      <c r="H214" s="205" t="str">
        <f t="shared" si="100"/>
        <v/>
      </c>
      <c r="I214" s="232" t="str">
        <f t="shared" si="100"/>
        <v/>
      </c>
      <c r="J214" s="513" t="str">
        <f t="shared" si="100"/>
        <v/>
      </c>
      <c r="K214" s="230" t="str">
        <f t="shared" si="100"/>
        <v/>
      </c>
      <c r="L214" s="230" t="str">
        <f t="shared" si="100"/>
        <v/>
      </c>
      <c r="M214" s="205" t="str">
        <f t="shared" si="100"/>
        <v/>
      </c>
      <c r="N214" s="233" t="str">
        <f t="shared" si="100"/>
        <v/>
      </c>
    </row>
    <row r="215" spans="1:14" x14ac:dyDescent="0.25">
      <c r="A215" s="203" t="str">
        <f t="shared" si="72"/>
        <v/>
      </c>
      <c r="B215" s="205" t="str">
        <f t="shared" ref="B215:N215" si="101">IF($C94="","",IF($C94&lt;0,0,IF(AND($C94=1,start_time&lt;1),-(SUM(B168)*output_kgyear*$E94*percnt_var*start_time+SUM(B168)*output_kgyear*$E94*(1-start_time)),IF($C94&lt;=start_time,-SUM(B168)*output_kgyear*$E94*percnt_var,-SUM(B168)*output_kgyear*$E94))))</f>
        <v/>
      </c>
      <c r="C215" s="205" t="str">
        <f t="shared" si="101"/>
        <v/>
      </c>
      <c r="D215" s="205" t="str">
        <f t="shared" si="101"/>
        <v/>
      </c>
      <c r="E215" s="232" t="str">
        <f t="shared" si="101"/>
        <v/>
      </c>
      <c r="F215" s="204" t="str">
        <f t="shared" si="101"/>
        <v/>
      </c>
      <c r="G215" s="205" t="str">
        <f t="shared" si="101"/>
        <v/>
      </c>
      <c r="H215" s="205" t="str">
        <f t="shared" si="101"/>
        <v/>
      </c>
      <c r="I215" s="232" t="str">
        <f t="shared" si="101"/>
        <v/>
      </c>
      <c r="J215" s="513" t="str">
        <f t="shared" si="101"/>
        <v/>
      </c>
      <c r="K215" s="230" t="str">
        <f t="shared" si="101"/>
        <v/>
      </c>
      <c r="L215" s="230" t="str">
        <f t="shared" si="101"/>
        <v/>
      </c>
      <c r="M215" s="205" t="str">
        <f t="shared" si="101"/>
        <v/>
      </c>
      <c r="N215" s="233" t="str">
        <f t="shared" si="101"/>
        <v/>
      </c>
    </row>
    <row r="216" spans="1:14" x14ac:dyDescent="0.25">
      <c r="A216" s="203" t="str">
        <f t="shared" si="72"/>
        <v/>
      </c>
      <c r="B216" s="205" t="str">
        <f t="shared" ref="B216:N216" si="102">IF($C95="","",IF($C95&lt;0,0,IF(AND($C95=1,start_time&lt;1),-(SUM(B169)*output_kgyear*$E95*percnt_var*start_time+SUM(B169)*output_kgyear*$E95*(1-start_time)),IF($C95&lt;=start_time,-SUM(B169)*output_kgyear*$E95*percnt_var,-SUM(B169)*output_kgyear*$E95))))</f>
        <v/>
      </c>
      <c r="C216" s="205" t="str">
        <f t="shared" si="102"/>
        <v/>
      </c>
      <c r="D216" s="205" t="str">
        <f t="shared" si="102"/>
        <v/>
      </c>
      <c r="E216" s="232" t="str">
        <f t="shared" si="102"/>
        <v/>
      </c>
      <c r="F216" s="204" t="str">
        <f t="shared" si="102"/>
        <v/>
      </c>
      <c r="G216" s="205" t="str">
        <f t="shared" si="102"/>
        <v/>
      </c>
      <c r="H216" s="205" t="str">
        <f t="shared" si="102"/>
        <v/>
      </c>
      <c r="I216" s="232" t="str">
        <f t="shared" si="102"/>
        <v/>
      </c>
      <c r="J216" s="513" t="str">
        <f t="shared" si="102"/>
        <v/>
      </c>
      <c r="K216" s="230" t="str">
        <f t="shared" si="102"/>
        <v/>
      </c>
      <c r="L216" s="230" t="str">
        <f t="shared" si="102"/>
        <v/>
      </c>
      <c r="M216" s="205" t="str">
        <f t="shared" si="102"/>
        <v/>
      </c>
      <c r="N216" s="233" t="str">
        <f t="shared" si="102"/>
        <v/>
      </c>
    </row>
    <row r="217" spans="1:14" x14ac:dyDescent="0.25">
      <c r="A217" s="203" t="str">
        <f t="shared" si="72"/>
        <v/>
      </c>
      <c r="B217" s="205" t="str">
        <f t="shared" ref="B217:N217" si="103">IF($C96="","",IF($C96&lt;0,0,IF(AND($C96=1,start_time&lt;1),-(SUM(B170)*output_kgyear*$E96*percnt_var*start_time+SUM(B170)*output_kgyear*$E96*(1-start_time)),IF($C96&lt;=start_time,-SUM(B170)*output_kgyear*$E96*percnt_var,-SUM(B170)*output_kgyear*$E96))))</f>
        <v/>
      </c>
      <c r="C217" s="205" t="str">
        <f t="shared" si="103"/>
        <v/>
      </c>
      <c r="D217" s="205" t="str">
        <f t="shared" si="103"/>
        <v/>
      </c>
      <c r="E217" s="232" t="str">
        <f t="shared" si="103"/>
        <v/>
      </c>
      <c r="F217" s="204" t="str">
        <f t="shared" si="103"/>
        <v/>
      </c>
      <c r="G217" s="205" t="str">
        <f t="shared" si="103"/>
        <v/>
      </c>
      <c r="H217" s="205" t="str">
        <f t="shared" si="103"/>
        <v/>
      </c>
      <c r="I217" s="232" t="str">
        <f t="shared" si="103"/>
        <v/>
      </c>
      <c r="J217" s="513" t="str">
        <f t="shared" si="103"/>
        <v/>
      </c>
      <c r="K217" s="230" t="str">
        <f t="shared" si="103"/>
        <v/>
      </c>
      <c r="L217" s="230" t="str">
        <f t="shared" si="103"/>
        <v/>
      </c>
      <c r="M217" s="205" t="str">
        <f t="shared" si="103"/>
        <v/>
      </c>
      <c r="N217" s="233" t="str">
        <f t="shared" si="103"/>
        <v/>
      </c>
    </row>
    <row r="218" spans="1:14" x14ac:dyDescent="0.25">
      <c r="A218" s="203" t="str">
        <f t="shared" si="72"/>
        <v/>
      </c>
      <c r="B218" s="205" t="str">
        <f t="shared" ref="B218:N218" si="104">IF($C97="","",IF($C97&lt;0,0,IF(AND($C97=1,start_time&lt;1),-(SUM(B171)*output_kgyear*$E97*percnt_var*start_time+SUM(B171)*output_kgyear*$E97*(1-start_time)),IF($C97&lt;=start_time,-SUM(B171)*output_kgyear*$E97*percnt_var,-SUM(B171)*output_kgyear*$E97))))</f>
        <v/>
      </c>
      <c r="C218" s="205" t="str">
        <f t="shared" si="104"/>
        <v/>
      </c>
      <c r="D218" s="205" t="str">
        <f t="shared" si="104"/>
        <v/>
      </c>
      <c r="E218" s="232" t="str">
        <f t="shared" si="104"/>
        <v/>
      </c>
      <c r="F218" s="204" t="str">
        <f t="shared" si="104"/>
        <v/>
      </c>
      <c r="G218" s="205" t="str">
        <f t="shared" si="104"/>
        <v/>
      </c>
      <c r="H218" s="205" t="str">
        <f t="shared" si="104"/>
        <v/>
      </c>
      <c r="I218" s="232" t="str">
        <f t="shared" si="104"/>
        <v/>
      </c>
      <c r="J218" s="513" t="str">
        <f t="shared" si="104"/>
        <v/>
      </c>
      <c r="K218" s="230" t="str">
        <f t="shared" si="104"/>
        <v/>
      </c>
      <c r="L218" s="230" t="str">
        <f t="shared" si="104"/>
        <v/>
      </c>
      <c r="M218" s="205" t="str">
        <f t="shared" si="104"/>
        <v/>
      </c>
      <c r="N218" s="233" t="str">
        <f t="shared" si="104"/>
        <v/>
      </c>
    </row>
    <row r="219" spans="1:14" x14ac:dyDescent="0.25">
      <c r="A219" s="203" t="str">
        <f t="shared" si="72"/>
        <v/>
      </c>
      <c r="B219" s="205" t="str">
        <f t="shared" ref="B219:N219" si="105">IF($C98="","",IF($C98&lt;0,0,IF(AND($C98=1,start_time&lt;1),-(SUM(B172)*output_kgyear*$E98*percnt_var*start_time+SUM(B172)*output_kgyear*$E98*(1-start_time)),IF($C98&lt;=start_time,-SUM(B172)*output_kgyear*$E98*percnt_var,-SUM(B172)*output_kgyear*$E98))))</f>
        <v/>
      </c>
      <c r="C219" s="205" t="str">
        <f t="shared" si="105"/>
        <v/>
      </c>
      <c r="D219" s="205" t="str">
        <f t="shared" si="105"/>
        <v/>
      </c>
      <c r="E219" s="232" t="str">
        <f t="shared" si="105"/>
        <v/>
      </c>
      <c r="F219" s="204" t="str">
        <f t="shared" si="105"/>
        <v/>
      </c>
      <c r="G219" s="205" t="str">
        <f t="shared" si="105"/>
        <v/>
      </c>
      <c r="H219" s="205" t="str">
        <f t="shared" si="105"/>
        <v/>
      </c>
      <c r="I219" s="232" t="str">
        <f t="shared" si="105"/>
        <v/>
      </c>
      <c r="J219" s="513" t="str">
        <f t="shared" si="105"/>
        <v/>
      </c>
      <c r="K219" s="230" t="str">
        <f t="shared" si="105"/>
        <v/>
      </c>
      <c r="L219" s="230" t="str">
        <f t="shared" si="105"/>
        <v/>
      </c>
      <c r="M219" s="205" t="str">
        <f t="shared" si="105"/>
        <v/>
      </c>
      <c r="N219" s="233" t="str">
        <f t="shared" si="105"/>
        <v/>
      </c>
    </row>
    <row r="220" spans="1:14" x14ac:dyDescent="0.25">
      <c r="A220" s="203" t="str">
        <f t="shared" si="72"/>
        <v/>
      </c>
      <c r="B220" s="205" t="str">
        <f t="shared" ref="B220:N220" si="106">IF($C99="","",IF($C99&lt;0,0,IF(AND($C99=1,start_time&lt;1),-(SUM(B173)*output_kgyear*$E99*percnt_var*start_time+SUM(B173)*output_kgyear*$E99*(1-start_time)),IF($C99&lt;=start_time,-SUM(B173)*output_kgyear*$E99*percnt_var,-SUM(B173)*output_kgyear*$E99))))</f>
        <v/>
      </c>
      <c r="C220" s="205" t="str">
        <f t="shared" si="106"/>
        <v/>
      </c>
      <c r="D220" s="205" t="str">
        <f t="shared" si="106"/>
        <v/>
      </c>
      <c r="E220" s="232" t="str">
        <f t="shared" si="106"/>
        <v/>
      </c>
      <c r="F220" s="204" t="str">
        <f t="shared" si="106"/>
        <v/>
      </c>
      <c r="G220" s="205" t="str">
        <f t="shared" si="106"/>
        <v/>
      </c>
      <c r="H220" s="205" t="str">
        <f t="shared" si="106"/>
        <v/>
      </c>
      <c r="I220" s="232" t="str">
        <f t="shared" si="106"/>
        <v/>
      </c>
      <c r="J220" s="513" t="str">
        <f t="shared" si="106"/>
        <v/>
      </c>
      <c r="K220" s="230" t="str">
        <f t="shared" si="106"/>
        <v/>
      </c>
      <c r="L220" s="230" t="str">
        <f t="shared" si="106"/>
        <v/>
      </c>
      <c r="M220" s="205" t="str">
        <f t="shared" si="106"/>
        <v/>
      </c>
      <c r="N220" s="233" t="str">
        <f t="shared" si="106"/>
        <v/>
      </c>
    </row>
    <row r="221" spans="1:14" x14ac:dyDescent="0.25">
      <c r="A221" s="203" t="str">
        <f t="shared" si="72"/>
        <v/>
      </c>
      <c r="B221" s="205" t="str">
        <f t="shared" ref="B221:N221" si="107">IF($C100="","",IF($C100&lt;0,0,IF(AND($C100=1,start_time&lt;1),-(SUM(B174)*output_kgyear*$E100*percnt_var*start_time+SUM(B174)*output_kgyear*$E100*(1-start_time)),IF($C100&lt;=start_time,-SUM(B174)*output_kgyear*$E100*percnt_var,-SUM(B174)*output_kgyear*$E100))))</f>
        <v/>
      </c>
      <c r="C221" s="205" t="str">
        <f t="shared" si="107"/>
        <v/>
      </c>
      <c r="D221" s="205" t="str">
        <f t="shared" si="107"/>
        <v/>
      </c>
      <c r="E221" s="232" t="str">
        <f t="shared" si="107"/>
        <v/>
      </c>
      <c r="F221" s="204" t="str">
        <f t="shared" si="107"/>
        <v/>
      </c>
      <c r="G221" s="205" t="str">
        <f t="shared" si="107"/>
        <v/>
      </c>
      <c r="H221" s="205" t="str">
        <f t="shared" si="107"/>
        <v/>
      </c>
      <c r="I221" s="232" t="str">
        <f t="shared" si="107"/>
        <v/>
      </c>
      <c r="J221" s="513" t="str">
        <f t="shared" si="107"/>
        <v/>
      </c>
      <c r="K221" s="230" t="str">
        <f t="shared" si="107"/>
        <v/>
      </c>
      <c r="L221" s="230" t="str">
        <f t="shared" si="107"/>
        <v/>
      </c>
      <c r="M221" s="205" t="str">
        <f t="shared" si="107"/>
        <v/>
      </c>
      <c r="N221" s="233" t="str">
        <f t="shared" si="107"/>
        <v/>
      </c>
    </row>
    <row r="222" spans="1:14" x14ac:dyDescent="0.25">
      <c r="A222" s="203" t="str">
        <f t="shared" si="72"/>
        <v/>
      </c>
      <c r="B222" s="205" t="str">
        <f t="shared" ref="B222:N222" si="108">IF($C101="","",IF($C101&lt;0,0,IF(AND($C101=1,start_time&lt;1),-(SUM(B175)*output_kgyear*$E101*percnt_var*start_time+SUM(B175)*output_kgyear*$E101*(1-start_time)),IF($C101&lt;=start_time,-SUM(B175)*output_kgyear*$E101*percnt_var,-SUM(B175)*output_kgyear*$E101))))</f>
        <v/>
      </c>
      <c r="C222" s="205" t="str">
        <f t="shared" si="108"/>
        <v/>
      </c>
      <c r="D222" s="205" t="str">
        <f t="shared" si="108"/>
        <v/>
      </c>
      <c r="E222" s="232" t="str">
        <f t="shared" si="108"/>
        <v/>
      </c>
      <c r="F222" s="204" t="str">
        <f t="shared" si="108"/>
        <v/>
      </c>
      <c r="G222" s="205" t="str">
        <f t="shared" si="108"/>
        <v/>
      </c>
      <c r="H222" s="205" t="str">
        <f t="shared" si="108"/>
        <v/>
      </c>
      <c r="I222" s="232" t="str">
        <f t="shared" si="108"/>
        <v/>
      </c>
      <c r="J222" s="513" t="str">
        <f t="shared" si="108"/>
        <v/>
      </c>
      <c r="K222" s="230" t="str">
        <f t="shared" si="108"/>
        <v/>
      </c>
      <c r="L222" s="230" t="str">
        <f t="shared" si="108"/>
        <v/>
      </c>
      <c r="M222" s="205" t="str">
        <f t="shared" si="108"/>
        <v/>
      </c>
      <c r="N222" s="233" t="str">
        <f t="shared" si="108"/>
        <v/>
      </c>
    </row>
    <row r="223" spans="1:14" x14ac:dyDescent="0.25">
      <c r="A223" s="203" t="str">
        <f t="shared" si="72"/>
        <v/>
      </c>
      <c r="B223" s="205" t="str">
        <f t="shared" ref="B223:N223" si="109">IF($C102="","",IF($C102&lt;0,0,IF(AND($C102=1,start_time&lt;1),-(SUM(B176)*output_kgyear*$E102*percnt_var*start_time+SUM(B176)*output_kgyear*$E102*(1-start_time)),IF($C102&lt;=start_time,-SUM(B176)*output_kgyear*$E102*percnt_var,-SUM(B176)*output_kgyear*$E102))))</f>
        <v/>
      </c>
      <c r="C223" s="205" t="str">
        <f t="shared" si="109"/>
        <v/>
      </c>
      <c r="D223" s="205" t="str">
        <f t="shared" si="109"/>
        <v/>
      </c>
      <c r="E223" s="232" t="str">
        <f t="shared" si="109"/>
        <v/>
      </c>
      <c r="F223" s="204" t="str">
        <f t="shared" si="109"/>
        <v/>
      </c>
      <c r="G223" s="205" t="str">
        <f t="shared" si="109"/>
        <v/>
      </c>
      <c r="H223" s="205" t="str">
        <f t="shared" si="109"/>
        <v/>
      </c>
      <c r="I223" s="232" t="str">
        <f t="shared" si="109"/>
        <v/>
      </c>
      <c r="J223" s="513" t="str">
        <f t="shared" si="109"/>
        <v/>
      </c>
      <c r="K223" s="230" t="str">
        <f t="shared" si="109"/>
        <v/>
      </c>
      <c r="L223" s="230" t="str">
        <f t="shared" si="109"/>
        <v/>
      </c>
      <c r="M223" s="205" t="str">
        <f t="shared" si="109"/>
        <v/>
      </c>
      <c r="N223" s="233" t="str">
        <f t="shared" si="109"/>
        <v/>
      </c>
    </row>
    <row r="224" spans="1:14" x14ac:dyDescent="0.25">
      <c r="A224" s="203" t="str">
        <f t="shared" si="72"/>
        <v/>
      </c>
      <c r="B224" s="205" t="str">
        <f t="shared" ref="B224:N224" si="110">IF($C103="","",IF($C103&lt;0,0,IF(AND($C103=1,start_time&lt;1),-(SUM(B177)*output_kgyear*$E103*percnt_var*start_time+SUM(B177)*output_kgyear*$E103*(1-start_time)),IF($C103&lt;=start_time,-SUM(B177)*output_kgyear*$E103*percnt_var,-SUM(B177)*output_kgyear*$E103))))</f>
        <v/>
      </c>
      <c r="C224" s="205" t="str">
        <f t="shared" si="110"/>
        <v/>
      </c>
      <c r="D224" s="205" t="str">
        <f t="shared" si="110"/>
        <v/>
      </c>
      <c r="E224" s="232" t="str">
        <f t="shared" si="110"/>
        <v/>
      </c>
      <c r="F224" s="204" t="str">
        <f t="shared" si="110"/>
        <v/>
      </c>
      <c r="G224" s="205" t="str">
        <f t="shared" si="110"/>
        <v/>
      </c>
      <c r="H224" s="205" t="str">
        <f t="shared" si="110"/>
        <v/>
      </c>
      <c r="I224" s="232" t="str">
        <f t="shared" si="110"/>
        <v/>
      </c>
      <c r="J224" s="513" t="str">
        <f t="shared" si="110"/>
        <v/>
      </c>
      <c r="K224" s="230" t="str">
        <f t="shared" si="110"/>
        <v/>
      </c>
      <c r="L224" s="230" t="str">
        <f t="shared" si="110"/>
        <v/>
      </c>
      <c r="M224" s="205" t="str">
        <f t="shared" si="110"/>
        <v/>
      </c>
      <c r="N224" s="233" t="str">
        <f t="shared" si="110"/>
        <v/>
      </c>
    </row>
    <row r="225" spans="1:14" x14ac:dyDescent="0.25">
      <c r="A225" s="203" t="str">
        <f t="shared" si="72"/>
        <v/>
      </c>
      <c r="B225" s="205" t="str">
        <f t="shared" ref="B225:N225" si="111">IF($C104="","",IF($C104&lt;0,0,IF(AND($C104=1,start_time&lt;1),-(SUM(B178)*output_kgyear*$E104*percnt_var*start_time+SUM(B178)*output_kgyear*$E104*(1-start_time)),IF($C104&lt;=start_time,-SUM(B178)*output_kgyear*$E104*percnt_var,-SUM(B178)*output_kgyear*$E104))))</f>
        <v/>
      </c>
      <c r="C225" s="205" t="str">
        <f t="shared" si="111"/>
        <v/>
      </c>
      <c r="D225" s="205" t="str">
        <f t="shared" si="111"/>
        <v/>
      </c>
      <c r="E225" s="232" t="str">
        <f t="shared" si="111"/>
        <v/>
      </c>
      <c r="F225" s="204" t="str">
        <f t="shared" si="111"/>
        <v/>
      </c>
      <c r="G225" s="205" t="str">
        <f t="shared" si="111"/>
        <v/>
      </c>
      <c r="H225" s="205" t="str">
        <f t="shared" si="111"/>
        <v/>
      </c>
      <c r="I225" s="232" t="str">
        <f t="shared" si="111"/>
        <v/>
      </c>
      <c r="J225" s="513" t="str">
        <f t="shared" si="111"/>
        <v/>
      </c>
      <c r="K225" s="230" t="str">
        <f t="shared" si="111"/>
        <v/>
      </c>
      <c r="L225" s="230" t="str">
        <f t="shared" si="111"/>
        <v/>
      </c>
      <c r="M225" s="205" t="str">
        <f t="shared" si="111"/>
        <v/>
      </c>
      <c r="N225" s="233" t="str">
        <f t="shared" si="111"/>
        <v/>
      </c>
    </row>
    <row r="226" spans="1:14" x14ac:dyDescent="0.25">
      <c r="A226" s="203" t="str">
        <f t="shared" si="72"/>
        <v/>
      </c>
      <c r="B226" s="205" t="str">
        <f t="shared" ref="B226:N226" si="112">IF($C105="","",IF($C105&lt;0,0,IF(AND($C105=1,start_time&lt;1),-(SUM(B179)*output_kgyear*$E105*percnt_var*start_time+SUM(B179)*output_kgyear*$E105*(1-start_time)),IF($C105&lt;=start_time,-SUM(B179)*output_kgyear*$E105*percnt_var,-SUM(B179)*output_kgyear*$E105))))</f>
        <v/>
      </c>
      <c r="C226" s="205" t="str">
        <f t="shared" si="112"/>
        <v/>
      </c>
      <c r="D226" s="205" t="str">
        <f t="shared" si="112"/>
        <v/>
      </c>
      <c r="E226" s="232" t="str">
        <f t="shared" si="112"/>
        <v/>
      </c>
      <c r="F226" s="204" t="str">
        <f t="shared" si="112"/>
        <v/>
      </c>
      <c r="G226" s="205" t="str">
        <f t="shared" si="112"/>
        <v/>
      </c>
      <c r="H226" s="205" t="str">
        <f t="shared" si="112"/>
        <v/>
      </c>
      <c r="I226" s="232" t="str">
        <f t="shared" si="112"/>
        <v/>
      </c>
      <c r="J226" s="513" t="str">
        <f t="shared" si="112"/>
        <v/>
      </c>
      <c r="K226" s="230" t="str">
        <f t="shared" si="112"/>
        <v/>
      </c>
      <c r="L226" s="230" t="str">
        <f t="shared" si="112"/>
        <v/>
      </c>
      <c r="M226" s="205" t="str">
        <f t="shared" si="112"/>
        <v/>
      </c>
      <c r="N226" s="233" t="str">
        <f t="shared" si="112"/>
        <v/>
      </c>
    </row>
    <row r="227" spans="1:14" x14ac:dyDescent="0.25">
      <c r="A227" s="203" t="str">
        <f t="shared" si="72"/>
        <v/>
      </c>
      <c r="B227" s="205" t="str">
        <f t="shared" ref="B227:N227" si="113">IF($C106="","",IF($C106&lt;0,0,IF(AND($C106=1,start_time&lt;1),-(SUM(B180)*output_kgyear*$E106*percnt_var*start_time+SUM(B180)*output_kgyear*$E106*(1-start_time)),IF($C106&lt;=start_time,-SUM(B180)*output_kgyear*$E106*percnt_var,-SUM(B180)*output_kgyear*$E106))))</f>
        <v/>
      </c>
      <c r="C227" s="205" t="str">
        <f t="shared" si="113"/>
        <v/>
      </c>
      <c r="D227" s="205" t="str">
        <f t="shared" si="113"/>
        <v/>
      </c>
      <c r="E227" s="232" t="str">
        <f t="shared" si="113"/>
        <v/>
      </c>
      <c r="F227" s="204" t="str">
        <f t="shared" si="113"/>
        <v/>
      </c>
      <c r="G227" s="205" t="str">
        <f t="shared" si="113"/>
        <v/>
      </c>
      <c r="H227" s="205" t="str">
        <f t="shared" si="113"/>
        <v/>
      </c>
      <c r="I227" s="232" t="str">
        <f t="shared" si="113"/>
        <v/>
      </c>
      <c r="J227" s="513" t="str">
        <f t="shared" si="113"/>
        <v/>
      </c>
      <c r="K227" s="230" t="str">
        <f t="shared" si="113"/>
        <v/>
      </c>
      <c r="L227" s="230" t="str">
        <f t="shared" si="113"/>
        <v/>
      </c>
      <c r="M227" s="205" t="str">
        <f t="shared" si="113"/>
        <v/>
      </c>
      <c r="N227" s="233" t="str">
        <f t="shared" si="113"/>
        <v/>
      </c>
    </row>
    <row r="228" spans="1:14" x14ac:dyDescent="0.25">
      <c r="A228" s="203" t="str">
        <f t="shared" si="72"/>
        <v/>
      </c>
      <c r="B228" s="205" t="str">
        <f t="shared" ref="B228:N228" si="114">IF($C107="","",IF($C107&lt;0,0,IF(AND($C107=1,start_time&lt;1),-(SUM(B181)*output_kgyear*$E107*percnt_var*start_time+SUM(B181)*output_kgyear*$E107*(1-start_time)),IF($C107&lt;=start_time,-SUM(B181)*output_kgyear*$E107*percnt_var,-SUM(B181)*output_kgyear*$E107))))</f>
        <v/>
      </c>
      <c r="C228" s="205" t="str">
        <f t="shared" si="114"/>
        <v/>
      </c>
      <c r="D228" s="205" t="str">
        <f t="shared" si="114"/>
        <v/>
      </c>
      <c r="E228" s="232" t="str">
        <f t="shared" si="114"/>
        <v/>
      </c>
      <c r="F228" s="204" t="str">
        <f t="shared" si="114"/>
        <v/>
      </c>
      <c r="G228" s="205" t="str">
        <f t="shared" si="114"/>
        <v/>
      </c>
      <c r="H228" s="205" t="str">
        <f t="shared" si="114"/>
        <v/>
      </c>
      <c r="I228" s="232" t="str">
        <f t="shared" si="114"/>
        <v/>
      </c>
      <c r="J228" s="513" t="str">
        <f t="shared" si="114"/>
        <v/>
      </c>
      <c r="K228" s="230" t="str">
        <f t="shared" si="114"/>
        <v/>
      </c>
      <c r="L228" s="230" t="str">
        <f t="shared" si="114"/>
        <v/>
      </c>
      <c r="M228" s="205" t="str">
        <f t="shared" si="114"/>
        <v/>
      </c>
      <c r="N228" s="233" t="str">
        <f t="shared" si="114"/>
        <v/>
      </c>
    </row>
    <row r="229" spans="1:14" x14ac:dyDescent="0.25">
      <c r="A229" s="203" t="str">
        <f t="shared" si="72"/>
        <v/>
      </c>
      <c r="B229" s="205" t="str">
        <f t="shared" ref="B229:N229" si="115">IF($C108="","",IF($C108&lt;0,0,IF(AND($C108=1,start_time&lt;1),-(SUM(B182)*output_kgyear*$E108*percnt_var*start_time+SUM(B182)*output_kgyear*$E108*(1-start_time)),IF($C108&lt;=start_time,-SUM(B182)*output_kgyear*$E108*percnt_var,-SUM(B182)*output_kgyear*$E108))))</f>
        <v/>
      </c>
      <c r="C229" s="205" t="str">
        <f t="shared" si="115"/>
        <v/>
      </c>
      <c r="D229" s="205" t="str">
        <f t="shared" si="115"/>
        <v/>
      </c>
      <c r="E229" s="232" t="str">
        <f t="shared" si="115"/>
        <v/>
      </c>
      <c r="F229" s="204" t="str">
        <f t="shared" si="115"/>
        <v/>
      </c>
      <c r="G229" s="205" t="str">
        <f t="shared" si="115"/>
        <v/>
      </c>
      <c r="H229" s="205" t="str">
        <f t="shared" si="115"/>
        <v/>
      </c>
      <c r="I229" s="232" t="str">
        <f t="shared" si="115"/>
        <v/>
      </c>
      <c r="J229" s="513" t="str">
        <f t="shared" si="115"/>
        <v/>
      </c>
      <c r="K229" s="230" t="str">
        <f t="shared" si="115"/>
        <v/>
      </c>
      <c r="L229" s="230" t="str">
        <f t="shared" si="115"/>
        <v/>
      </c>
      <c r="M229" s="205" t="str">
        <f t="shared" si="115"/>
        <v/>
      </c>
      <c r="N229" s="233" t="str">
        <f t="shared" si="115"/>
        <v/>
      </c>
    </row>
    <row r="231" spans="1:14" x14ac:dyDescent="0.25">
      <c r="A231" s="205" t="s">
        <v>1170</v>
      </c>
      <c r="B231" s="205">
        <f ca="1">+B186+NPV($X$59,B187:B228)</f>
        <v>-6431413.2040140303</v>
      </c>
      <c r="C231" s="205">
        <f t="shared" ref="C231:N231" ca="1" si="116">+C186+NPV($X$59,C187:C228)</f>
        <v>-1821825.8878972437</v>
      </c>
      <c r="D231" s="205">
        <f t="shared" ca="1" si="116"/>
        <v>0</v>
      </c>
      <c r="E231" s="205">
        <f t="shared" ca="1" si="116"/>
        <v>0</v>
      </c>
      <c r="F231" s="205">
        <f t="shared" ca="1" si="116"/>
        <v>0</v>
      </c>
      <c r="G231" s="205">
        <f t="shared" ca="1" si="116"/>
        <v>0</v>
      </c>
      <c r="H231" s="205">
        <f t="shared" ca="1" si="116"/>
        <v>0</v>
      </c>
      <c r="I231" s="205">
        <f t="shared" ca="1" si="116"/>
        <v>0</v>
      </c>
      <c r="J231" s="205">
        <f t="shared" ca="1" si="116"/>
        <v>0</v>
      </c>
      <c r="K231" s="205">
        <f t="shared" ca="1" si="116"/>
        <v>0</v>
      </c>
      <c r="L231" s="205">
        <f t="shared" ca="1" si="116"/>
        <v>0</v>
      </c>
      <c r="M231" s="205">
        <f t="shared" ca="1" si="116"/>
        <v>0</v>
      </c>
      <c r="N231" s="205">
        <f t="shared" ca="1" si="116"/>
        <v>0</v>
      </c>
    </row>
    <row r="232" spans="1:14" x14ac:dyDescent="0.25">
      <c r="A232" s="205" t="s">
        <v>1169</v>
      </c>
      <c r="B232" s="205">
        <f ca="1">-B231/$AE$116*(1+inflation_rate)^construct/INFLATION_FACTOR</f>
        <v>0.92416605486175119</v>
      </c>
      <c r="C232" s="205">
        <f t="shared" ref="C232:N232" ca="1" si="117">-C231/$AE$116*(1+inflation_rate)^construct/INFLATION_FACTOR</f>
        <v>0.26178844214397173</v>
      </c>
      <c r="D232" s="205">
        <f t="shared" ca="1" si="117"/>
        <v>0</v>
      </c>
      <c r="E232" s="205">
        <f t="shared" ca="1" si="117"/>
        <v>0</v>
      </c>
      <c r="F232" s="205">
        <f ca="1">-F231/$AE$116*(1+inflation_rate)^construct/INFLATION_FACTOR</f>
        <v>0</v>
      </c>
      <c r="G232" s="205">
        <f t="shared" ca="1" si="117"/>
        <v>0</v>
      </c>
      <c r="H232" s="205">
        <f t="shared" ca="1" si="117"/>
        <v>0</v>
      </c>
      <c r="I232" s="205">
        <f t="shared" ca="1" si="117"/>
        <v>0</v>
      </c>
      <c r="J232" s="205">
        <f t="shared" ca="1" si="117"/>
        <v>0</v>
      </c>
      <c r="K232" s="205">
        <f t="shared" ca="1" si="117"/>
        <v>0</v>
      </c>
      <c r="L232" s="205">
        <f t="shared" ca="1" si="117"/>
        <v>0</v>
      </c>
      <c r="M232" s="205">
        <f t="shared" ca="1" si="117"/>
        <v>0</v>
      </c>
      <c r="N232" s="205">
        <f t="shared" ca="1" si="117"/>
        <v>0</v>
      </c>
    </row>
    <row r="233" spans="1:14" x14ac:dyDescent="0.25">
      <c r="A233" s="205" t="s">
        <v>1171</v>
      </c>
      <c r="B233" s="205">
        <f ca="1">IF(B132&gt;0,B232/B133*(1+inflation_rate)^construct,"")</f>
        <v>6.4590497496557608</v>
      </c>
      <c r="C233" s="205">
        <f t="shared" ref="C233:N233" ca="1" si="118">IF(C132&gt;0,C232/C133*(1+inflation_rate)^construct,"")</f>
        <v>0.11762011576045292</v>
      </c>
      <c r="D233" s="205" t="str">
        <f t="shared" si="118"/>
        <v/>
      </c>
      <c r="E233" s="205" t="str">
        <f t="shared" si="118"/>
        <v/>
      </c>
      <c r="F233" s="205" t="str">
        <f t="shared" si="118"/>
        <v/>
      </c>
      <c r="G233" s="205" t="str">
        <f t="shared" si="118"/>
        <v/>
      </c>
      <c r="H233" s="205" t="str">
        <f t="shared" si="118"/>
        <v/>
      </c>
      <c r="I233" s="205" t="str">
        <f t="shared" si="118"/>
        <v/>
      </c>
      <c r="J233" s="205" t="str">
        <f t="shared" si="118"/>
        <v/>
      </c>
      <c r="K233" s="205" t="str">
        <f t="shared" si="118"/>
        <v/>
      </c>
      <c r="L233" s="205" t="str">
        <f t="shared" si="118"/>
        <v/>
      </c>
      <c r="M233" s="205" t="str">
        <f t="shared" si="118"/>
        <v/>
      </c>
      <c r="N233" s="205" t="str">
        <f t="shared" si="118"/>
        <v/>
      </c>
    </row>
    <row r="279" spans="1:5" x14ac:dyDescent="0.25">
      <c r="A279" s="51" t="s">
        <v>192</v>
      </c>
    </row>
    <row r="280" spans="1:5" x14ac:dyDescent="0.25">
      <c r="A280" s="51" t="s">
        <v>1034</v>
      </c>
      <c r="B280" s="51" t="s">
        <v>626</v>
      </c>
      <c r="C280" s="51" t="s">
        <v>193</v>
      </c>
      <c r="D280" s="51" t="s">
        <v>194</v>
      </c>
      <c r="E280" s="51" t="s">
        <v>195</v>
      </c>
    </row>
    <row r="281" spans="1:5" x14ac:dyDescent="0.25">
      <c r="A281" s="51" t="str">
        <f>'HyARC Physical Property Data'!A76</f>
        <v>Commercial Electricity</v>
      </c>
      <c r="B281" s="51">
        <f ca="1">VLOOKUP(A281,MASTER_PROPERTY_TABLE,9,FALSE)</f>
        <v>3.5999999999999995E-3</v>
      </c>
      <c r="C281" s="51">
        <f ca="1">MATCH(startup_year,Feedstock_Year,0)</f>
        <v>44</v>
      </c>
      <c r="D281" s="51">
        <f ca="1">VLOOKUP(A281,FEEDPRICETABLE,C281,FALSE)</f>
        <v>31.985796962436115</v>
      </c>
      <c r="E281" s="51">
        <f ca="1">B281*D281</f>
        <v>0.11514886906477</v>
      </c>
    </row>
    <row r="282" spans="1:5" x14ac:dyDescent="0.25">
      <c r="A282" s="51" t="str">
        <f>'HyARC Physical Property Data'!A77</f>
        <v>Industrial Electricity</v>
      </c>
      <c r="B282" s="51">
        <f ca="1">VLOOKUP(A282,MASTER_PROPERTY_TABLE,9,FALSE)</f>
        <v>3.5999999999999995E-3</v>
      </c>
      <c r="C282" s="51">
        <f ca="1">MATCH(startup_year,Feedstock_Year,0)+2</f>
        <v>46</v>
      </c>
      <c r="D282" s="51">
        <f ca="1">VLOOKUP(A282,FEEDPRICETABLE,C282,FALSE)</f>
        <v>21.516251270074765</v>
      </c>
      <c r="E282" s="51">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10"/>
  <sheetViews>
    <sheetView topLeftCell="A94" workbookViewId="0">
      <selection activeCell="A137" sqref="A137:CZ137"/>
    </sheetView>
  </sheetViews>
  <sheetFormatPr defaultRowHeight="13.2" x14ac:dyDescent="0.25"/>
  <cols>
    <col min="1" max="1" width="30.33203125" customWidth="1"/>
    <col min="2" max="2" width="18.6640625" customWidth="1"/>
    <col min="3" max="3" width="11.33203125" customWidth="1"/>
    <col min="5" max="5" width="12.6640625" customWidth="1"/>
    <col min="6" max="6" width="12.44140625" customWidth="1"/>
    <col min="7" max="7" width="11.6640625" customWidth="1"/>
  </cols>
  <sheetData>
    <row r="3" spans="1:104" ht="13.8" thickBot="1" x14ac:dyDescent="0.3">
      <c r="BW3" s="1078" t="s">
        <v>1199</v>
      </c>
      <c r="BX3" s="1078"/>
      <c r="BY3" s="1078"/>
      <c r="BZ3" s="1078"/>
      <c r="CA3" s="1078"/>
      <c r="CB3" s="1078"/>
      <c r="CC3" s="1078"/>
      <c r="CD3" s="1078"/>
    </row>
    <row r="4" spans="1:104" ht="13.8" thickTop="1" x14ac:dyDescent="0.25">
      <c r="A4" s="719" t="s">
        <v>1097</v>
      </c>
      <c r="B4" s="720" t="str">
        <f>"Prices are in $(" &amp; ref_year&amp;")/GJ LHV"</f>
        <v>Prices are in $(2016)/GJ LHV</v>
      </c>
      <c r="C4" s="721"/>
      <c r="D4" s="721"/>
      <c r="E4" s="721"/>
      <c r="F4" s="721"/>
      <c r="G4" s="721"/>
      <c r="H4" s="721"/>
      <c r="I4" s="721"/>
      <c r="J4" s="721"/>
      <c r="K4" s="721"/>
      <c r="L4" s="721"/>
      <c r="M4" s="721"/>
      <c r="N4" s="721"/>
      <c r="O4" s="721"/>
      <c r="P4" s="721"/>
      <c r="Q4" s="721"/>
      <c r="R4" s="721"/>
      <c r="S4" s="721"/>
      <c r="T4" s="721"/>
      <c r="U4" s="721"/>
      <c r="V4" s="721"/>
      <c r="W4" s="721"/>
      <c r="X4" s="721"/>
      <c r="Y4" s="721"/>
      <c r="Z4" s="721"/>
      <c r="AA4" s="721"/>
      <c r="AB4" s="721"/>
      <c r="AC4" s="721"/>
      <c r="AD4" s="721"/>
      <c r="AE4" s="721"/>
      <c r="AF4" s="721"/>
      <c r="AG4" s="721"/>
      <c r="AH4" s="734" t="s">
        <v>761</v>
      </c>
      <c r="AI4" s="735"/>
      <c r="AJ4" s="735"/>
      <c r="AK4" s="735"/>
      <c r="AL4" s="735"/>
      <c r="AM4" s="735"/>
      <c r="AN4" s="735"/>
      <c r="AO4" s="735"/>
      <c r="AP4" s="735"/>
      <c r="AQ4" s="735"/>
      <c r="AR4" s="735"/>
      <c r="AS4" s="735"/>
      <c r="AT4" s="735"/>
      <c r="AU4" s="735"/>
      <c r="AV4" s="735"/>
      <c r="AW4" s="735"/>
      <c r="AX4" s="735"/>
      <c r="AY4" s="735"/>
      <c r="AZ4" s="735"/>
      <c r="BA4" s="735"/>
      <c r="BB4" s="735"/>
      <c r="BC4" s="735"/>
      <c r="BD4" s="735"/>
      <c r="BE4" s="735"/>
      <c r="BF4" s="735"/>
      <c r="BG4" s="735"/>
      <c r="BH4" s="735"/>
      <c r="BI4" s="735"/>
      <c r="BJ4" s="735"/>
      <c r="BK4" s="735"/>
      <c r="BL4" s="735"/>
      <c r="BM4" s="735"/>
      <c r="BN4" s="735"/>
      <c r="BO4" s="735"/>
      <c r="BP4" s="735"/>
      <c r="BQ4" s="735"/>
      <c r="BR4" s="735"/>
      <c r="BS4" s="735"/>
      <c r="BT4" s="735"/>
      <c r="BU4" s="735"/>
      <c r="BV4" s="736"/>
    </row>
    <row r="5" spans="1:104" ht="40.200000000000003" thickBot="1" x14ac:dyDescent="0.3">
      <c r="A5" s="739" t="s">
        <v>1066</v>
      </c>
      <c r="B5" s="740" t="s">
        <v>667</v>
      </c>
      <c r="C5" s="740" t="s">
        <v>668</v>
      </c>
      <c r="D5" s="740" t="s">
        <v>679</v>
      </c>
      <c r="E5" s="740" t="s">
        <v>680</v>
      </c>
      <c r="F5" s="741" t="s">
        <v>669</v>
      </c>
      <c r="G5" s="741" t="s">
        <v>681</v>
      </c>
      <c r="H5" s="741">
        <v>2004</v>
      </c>
      <c r="I5" s="741">
        <v>2005</v>
      </c>
      <c r="J5" s="741">
        <v>2006</v>
      </c>
      <c r="K5" s="741">
        <v>2007</v>
      </c>
      <c r="L5" s="741">
        <v>2008</v>
      </c>
      <c r="M5" s="741">
        <v>2009</v>
      </c>
      <c r="N5" s="741">
        <v>2010</v>
      </c>
      <c r="O5" s="741">
        <v>2011</v>
      </c>
      <c r="P5" s="741">
        <v>2012</v>
      </c>
      <c r="Q5" s="741">
        <v>2013</v>
      </c>
      <c r="R5" s="741">
        <v>2014</v>
      </c>
      <c r="S5" s="741">
        <v>2015</v>
      </c>
      <c r="T5" s="741">
        <v>2016</v>
      </c>
      <c r="U5" s="741">
        <v>2017</v>
      </c>
      <c r="V5" s="741">
        <v>2018</v>
      </c>
      <c r="W5" s="741">
        <v>2019</v>
      </c>
      <c r="X5" s="741">
        <v>2020</v>
      </c>
      <c r="Y5" s="741">
        <v>2021</v>
      </c>
      <c r="Z5" s="741">
        <v>2022</v>
      </c>
      <c r="AA5" s="741">
        <v>2023</v>
      </c>
      <c r="AB5" s="741">
        <v>2024</v>
      </c>
      <c r="AC5" s="741">
        <v>2025</v>
      </c>
      <c r="AD5" s="741">
        <v>2026</v>
      </c>
      <c r="AE5" s="741">
        <v>2027</v>
      </c>
      <c r="AF5" s="741">
        <v>2028</v>
      </c>
      <c r="AG5" s="741">
        <v>2029</v>
      </c>
      <c r="AH5" s="741">
        <v>2030</v>
      </c>
      <c r="AI5" s="741">
        <v>2031</v>
      </c>
      <c r="AJ5" s="741">
        <v>2032</v>
      </c>
      <c r="AK5" s="741">
        <v>2033</v>
      </c>
      <c r="AL5" s="741">
        <v>2034</v>
      </c>
      <c r="AM5" s="741">
        <v>2035</v>
      </c>
      <c r="AN5" s="741">
        <v>2036</v>
      </c>
      <c r="AO5" s="741">
        <v>2037</v>
      </c>
      <c r="AP5" s="741">
        <v>2038</v>
      </c>
      <c r="AQ5" s="741">
        <v>2039</v>
      </c>
      <c r="AR5" s="741">
        <v>2040</v>
      </c>
      <c r="AS5" s="741">
        <v>2041</v>
      </c>
      <c r="AT5" s="741">
        <v>2042</v>
      </c>
      <c r="AU5" s="741">
        <v>2043</v>
      </c>
      <c r="AV5" s="741">
        <v>2044</v>
      </c>
      <c r="AW5" s="741">
        <v>2045</v>
      </c>
      <c r="AX5" s="741">
        <v>2046</v>
      </c>
      <c r="AY5" s="741">
        <v>2047</v>
      </c>
      <c r="AZ5" s="741">
        <v>2048</v>
      </c>
      <c r="BA5" s="741">
        <v>2049</v>
      </c>
      <c r="BB5" s="741">
        <v>2050</v>
      </c>
      <c r="BC5" s="741">
        <v>2051</v>
      </c>
      <c r="BD5" s="741">
        <v>2052</v>
      </c>
      <c r="BE5" s="741">
        <v>2053</v>
      </c>
      <c r="BF5" s="741">
        <v>2054</v>
      </c>
      <c r="BG5" s="741">
        <v>2055</v>
      </c>
      <c r="BH5" s="741">
        <v>2056</v>
      </c>
      <c r="BI5" s="741">
        <v>2057</v>
      </c>
      <c r="BJ5" s="741">
        <v>2058</v>
      </c>
      <c r="BK5" s="741">
        <v>2059</v>
      </c>
      <c r="BL5" s="741">
        <v>2060</v>
      </c>
      <c r="BM5" s="741">
        <v>2061</v>
      </c>
      <c r="BN5" s="741">
        <v>2062</v>
      </c>
      <c r="BO5" s="741">
        <v>2063</v>
      </c>
      <c r="BP5" s="741">
        <v>2064</v>
      </c>
      <c r="BQ5" s="741">
        <v>2065</v>
      </c>
      <c r="BR5" s="741">
        <v>2066</v>
      </c>
      <c r="BS5" s="741">
        <v>2067</v>
      </c>
      <c r="BT5" s="741">
        <v>2068</v>
      </c>
      <c r="BU5" s="741">
        <v>2069</v>
      </c>
      <c r="BV5" s="742">
        <v>2070</v>
      </c>
      <c r="BW5" s="1078">
        <f t="shared" ref="BW5" si="0">+BV5+1</f>
        <v>2071</v>
      </c>
      <c r="BX5" s="1078">
        <f t="shared" ref="BX5" si="1">+BW5+1</f>
        <v>2072</v>
      </c>
      <c r="BY5" s="1078">
        <f t="shared" ref="BY5" si="2">+BX5+1</f>
        <v>2073</v>
      </c>
      <c r="BZ5" s="1078">
        <f t="shared" ref="BZ5" si="3">+BY5+1</f>
        <v>2074</v>
      </c>
      <c r="CA5" s="1078">
        <f t="shared" ref="CA5" si="4">+BZ5+1</f>
        <v>2075</v>
      </c>
      <c r="CB5" s="1078">
        <f t="shared" ref="CB5" si="5">+CA5+1</f>
        <v>2076</v>
      </c>
      <c r="CC5" s="1078">
        <f t="shared" ref="CC5" si="6">+CB5+1</f>
        <v>2077</v>
      </c>
      <c r="CD5" s="1078">
        <f t="shared" ref="CD5" si="7">+CC5+1</f>
        <v>2078</v>
      </c>
      <c r="CE5" s="1078">
        <f t="shared" ref="CE5" si="8">+CD5+1</f>
        <v>2079</v>
      </c>
      <c r="CF5" s="1078">
        <f t="shared" ref="CF5" si="9">+CE5+1</f>
        <v>2080</v>
      </c>
      <c r="CG5" s="1078">
        <f t="shared" ref="CG5" si="10">+CF5+1</f>
        <v>2081</v>
      </c>
      <c r="CH5" s="1078">
        <f t="shared" ref="CH5" si="11">+CG5+1</f>
        <v>2082</v>
      </c>
      <c r="CI5" s="1078">
        <f t="shared" ref="CI5" si="12">+CH5+1</f>
        <v>2083</v>
      </c>
      <c r="CJ5" s="1078">
        <f t="shared" ref="CJ5" si="13">+CI5+1</f>
        <v>2084</v>
      </c>
      <c r="CK5" s="1078">
        <f t="shared" ref="CK5" si="14">+CJ5+1</f>
        <v>2085</v>
      </c>
      <c r="CL5" s="1078">
        <f t="shared" ref="CL5" si="15">+CK5+1</f>
        <v>2086</v>
      </c>
      <c r="CM5" s="1078">
        <f t="shared" ref="CM5" si="16">+CL5+1</f>
        <v>2087</v>
      </c>
      <c r="CN5" s="1078">
        <f t="shared" ref="CN5" si="17">+CM5+1</f>
        <v>2088</v>
      </c>
      <c r="CO5" s="1078">
        <f t="shared" ref="CO5" si="18">+CN5+1</f>
        <v>2089</v>
      </c>
      <c r="CP5" s="1078">
        <f t="shared" ref="CP5" si="19">+CO5+1</f>
        <v>2090</v>
      </c>
      <c r="CQ5" s="1078">
        <f t="shared" ref="CQ5" si="20">+CP5+1</f>
        <v>2091</v>
      </c>
      <c r="CR5" s="1078">
        <f t="shared" ref="CR5" si="21">+CQ5+1</f>
        <v>2092</v>
      </c>
      <c r="CS5" s="1078">
        <f t="shared" ref="CS5" si="22">+CR5+1</f>
        <v>2093</v>
      </c>
      <c r="CT5" s="1078">
        <f t="shared" ref="CT5" si="23">+CS5+1</f>
        <v>2094</v>
      </c>
      <c r="CU5" s="1078">
        <f t="shared" ref="CU5" si="24">+CT5+1</f>
        <v>2095</v>
      </c>
      <c r="CV5" s="1078">
        <f t="shared" ref="CV5" si="25">+CU5+1</f>
        <v>2096</v>
      </c>
      <c r="CW5" s="1078">
        <f t="shared" ref="CW5" si="26">+CV5+1</f>
        <v>2097</v>
      </c>
      <c r="CX5" s="1078">
        <f t="shared" ref="CX5" si="27">+CW5+1</f>
        <v>2098</v>
      </c>
      <c r="CY5" s="1078">
        <f t="shared" ref="CY5" si="28">+CX5+1</f>
        <v>2099</v>
      </c>
      <c r="CZ5" s="1078">
        <f t="shared" ref="CZ5" si="29">+CY5+1</f>
        <v>2100</v>
      </c>
    </row>
    <row r="6" spans="1:104" ht="13.8" thickBot="1" x14ac:dyDescent="0.3">
      <c r="A6" s="800" t="s">
        <v>1072</v>
      </c>
      <c r="B6" s="801"/>
      <c r="C6" s="801"/>
      <c r="D6" s="801"/>
      <c r="E6" s="801"/>
      <c r="F6" s="723"/>
      <c r="G6" s="801"/>
      <c r="H6" s="801"/>
      <c r="I6" s="801"/>
      <c r="J6" s="801"/>
      <c r="K6" s="801"/>
      <c r="L6" s="801"/>
      <c r="M6" s="801"/>
      <c r="N6" s="801"/>
      <c r="O6" s="801"/>
      <c r="P6" s="801"/>
      <c r="Q6" s="801"/>
      <c r="R6" s="801"/>
      <c r="S6" s="801"/>
      <c r="T6" s="801"/>
      <c r="U6" s="801"/>
      <c r="V6" s="801"/>
      <c r="W6" s="801"/>
      <c r="X6" s="801"/>
      <c r="Y6" s="801"/>
      <c r="Z6" s="801"/>
      <c r="AA6" s="801"/>
      <c r="AB6" s="801"/>
      <c r="AC6" s="801"/>
      <c r="AD6" s="801"/>
      <c r="AE6" s="801"/>
      <c r="AF6" s="801"/>
      <c r="AG6" s="801"/>
      <c r="AH6" s="801"/>
      <c r="AI6" s="801"/>
      <c r="AJ6" s="801"/>
      <c r="AK6" s="801"/>
      <c r="AL6" s="801"/>
      <c r="AM6" s="801"/>
      <c r="AN6" s="801"/>
      <c r="AO6" s="801"/>
      <c r="AP6" s="801"/>
      <c r="AQ6" s="801"/>
      <c r="AR6" s="801"/>
      <c r="AS6" s="801"/>
      <c r="AT6" s="801"/>
      <c r="AU6" s="801"/>
      <c r="AV6" s="801"/>
      <c r="AW6" s="801"/>
      <c r="AX6" s="801"/>
      <c r="AY6" s="801"/>
      <c r="AZ6" s="801"/>
      <c r="BA6" s="801"/>
      <c r="BC6" s="801"/>
      <c r="BD6" s="801"/>
      <c r="BE6" s="801"/>
      <c r="BF6" s="801"/>
      <c r="BG6" s="801"/>
      <c r="BH6" s="801"/>
      <c r="BI6" s="801"/>
      <c r="BJ6" s="801"/>
      <c r="BK6" s="801"/>
      <c r="BL6" s="801"/>
      <c r="BM6" s="801"/>
      <c r="BN6" s="801"/>
      <c r="BO6" s="801"/>
      <c r="BP6" s="801"/>
      <c r="BR6" s="801"/>
      <c r="BS6" s="801"/>
      <c r="BT6" s="801"/>
      <c r="BU6" s="801"/>
    </row>
    <row r="7" spans="1:104" x14ac:dyDescent="0.25">
      <c r="A7" s="817" t="str">
        <f>'HyARC Physical Property Data'!A73</f>
        <v>Residential Natural Gas</v>
      </c>
      <c r="B7" s="801">
        <v>2007</v>
      </c>
      <c r="C7" s="802">
        <f>VLOOKUP(ref_year,DeflatorTable,2,FALSE)/VLOOKUP(B7,DeflatorTable,2,FALSE)</f>
        <v>1.1413971588333081</v>
      </c>
      <c r="D7" s="817" t="str">
        <f>'HyARC Physical Property Data'!H73</f>
        <v>mmBtu</v>
      </c>
      <c r="E7" s="802" t="s">
        <v>1040</v>
      </c>
      <c r="F7" s="801">
        <f>'HyARC Physical Property Data'!$E$6</f>
        <v>47.141269049911173</v>
      </c>
      <c r="G7" s="801">
        <f>'HyARC Physical Property Data'!$I$6</f>
        <v>52.224661236371581</v>
      </c>
      <c r="H7" s="801">
        <f>((13.7000589370728/(mmBTU_to_GJ))*($C$7))*($G$7/$F$7)</f>
        <v>16.420301417436011</v>
      </c>
      <c r="I7" s="801">
        <f>((13.7000589370728/(mmBTU_to_GJ))*($C$7))*($G$7/$F$7)</f>
        <v>16.420301417436011</v>
      </c>
      <c r="J7" s="801">
        <f>((13.7000589370728/(mmBTU_to_GJ))*($C$7))*($G$7/$F$7)</f>
        <v>16.420301417436011</v>
      </c>
      <c r="K7" s="801">
        <f>((12.6911582946777/(mmBTU_to_GJ))*($C$7))*($G$7/$F$7)</f>
        <v>15.211076499173579</v>
      </c>
      <c r="L7" s="801">
        <f>((12.9778490066528/(mmBTU_to_GJ))*($C$7))*($G$7/$F$7)</f>
        <v>15.55469165629321</v>
      </c>
      <c r="M7" s="801">
        <f>((10.7176141738892/(mmBTU_to_GJ))*($C$7))*($G$7/$F$7)</f>
        <v>12.845671395968969</v>
      </c>
      <c r="N7" s="801">
        <f>((11.192774772644/(mmBTU_to_GJ))*($C$7))*($G$7/$F$7)</f>
        <v>13.415178453499211</v>
      </c>
      <c r="O7" s="801">
        <f>((11.4872808456421/(mmBTU_to_GJ))*($C$7))*($G$7/$F$7)</f>
        <v>13.768160766210887</v>
      </c>
      <c r="P7" s="801">
        <f>((11.3991556167603/(mmBTU_to_GJ))*($C$7))*($G$7/$F$7)</f>
        <v>13.662537657042796</v>
      </c>
      <c r="Q7" s="801">
        <f>((11.3077983856201/(mmBTU_to_GJ))*($C$7))*($G$7/$F$7)</f>
        <v>13.553040808972668</v>
      </c>
      <c r="R7" s="801">
        <f>((11.2896461486816/(mmBTU_to_GJ))*($C$7))*($G$7/$F$7)</f>
        <v>13.531284318486023</v>
      </c>
      <c r="S7" s="801">
        <f>((11.3454151153564/(mmBTU_to_GJ))*($C$7))*($G$7/$F$7)</f>
        <v>13.598126603380225</v>
      </c>
      <c r="T7" s="801">
        <f>((11.5382986068726/(mmBTU_to_GJ))*($C$7))*($G$7/$F$7)</f>
        <v>13.829308460603693</v>
      </c>
      <c r="U7" s="801">
        <f>((11.7583208084106/(mmBTU_to_GJ))*($C$7))*($G$7/$F$7)</f>
        <v>14.093017608453076</v>
      </c>
      <c r="V7" s="801">
        <f>((11.9751005172729/(mmBTU_to_GJ))*($C$7))*($G$7/$F$7)</f>
        <v>14.352840444037428</v>
      </c>
      <c r="W7" s="801">
        <f>((12.23952293396/(mmBTU_to_GJ))*($C$7))*($G$7/$F$7)</f>
        <v>14.669765780159871</v>
      </c>
      <c r="X7" s="801">
        <f>((12.557071685791/(mmBTU_to_GJ))*($C$7))*($G$7/$F$7)</f>
        <v>15.050366056680263</v>
      </c>
      <c r="Y7" s="801">
        <f>((12.7957820892334/(mmBTU_to_GJ))*($C$7))*($G$7/$F$7)</f>
        <v>15.336474079573154</v>
      </c>
      <c r="Z7" s="801">
        <f>((12.8716516494751/(mmBTU_to_GJ))*($C$7))*($G$7/$F$7)</f>
        <v>15.427408071412112</v>
      </c>
      <c r="AA7" s="801">
        <f>((12.6602811813354/(mmBTU_to_GJ))*($C$7))*($G$7/$F$7)</f>
        <v>15.174068519112346</v>
      </c>
      <c r="AB7" s="801">
        <f>((12.6240320205688/(mmBTU_to_GJ))*($C$7))*($G$7/$F$7)</f>
        <v>15.130621834054226</v>
      </c>
      <c r="AC7" s="801">
        <f>((12.5992183685303/(mmBTU_to_GJ))*($C$7))*($G$7/$F$7)</f>
        <v>15.100881257928895</v>
      </c>
      <c r="AD7" s="801">
        <f>((12.7868556976318/(mmBTU_to_GJ))*($C$7))*($G$7/$F$7)</f>
        <v>15.325775290513809</v>
      </c>
      <c r="AE7" s="801">
        <f>((13.07555103302/(mmBTU_to_GJ))*($C$7))*($G$7/$F$7)</f>
        <v>15.671793103039724</v>
      </c>
      <c r="AF7" s="801">
        <f>((13.407883644104/(mmBTU_to_GJ))*($C$7))*($G$7/$F$7)</f>
        <v>16.070112677423158</v>
      </c>
      <c r="AG7" s="801">
        <f>((13.6725673675537/(mmBTU_to_GJ))*($C$7))*($G$7/$F$7)</f>
        <v>16.387351204592733</v>
      </c>
      <c r="AH7" s="801">
        <f>((13.9620389938354/(mmBTU_to_GJ))*($C$7))*($G$7/$F$7)</f>
        <v>16.734299445996175</v>
      </c>
      <c r="AI7" s="801">
        <f>($BB7-$AH7)/20+AH7</f>
        <v>16.876364426263383</v>
      </c>
      <c r="AJ7" s="801">
        <f t="shared" ref="AJ7:AY10" si="30">($BB7-$AH7)/20+AI7</f>
        <v>17.01842940653059</v>
      </c>
      <c r="AK7" s="801">
        <f t="shared" si="30"/>
        <v>17.160494386797797</v>
      </c>
      <c r="AL7" s="801">
        <f t="shared" si="30"/>
        <v>17.302559367065005</v>
      </c>
      <c r="AM7" s="801">
        <f t="shared" si="30"/>
        <v>17.444624347332212</v>
      </c>
      <c r="AN7" s="801">
        <f t="shared" si="30"/>
        <v>17.586689327599419</v>
      </c>
      <c r="AO7" s="801">
        <f t="shared" si="30"/>
        <v>17.728754307866627</v>
      </c>
      <c r="AP7" s="801">
        <f t="shared" si="30"/>
        <v>17.870819288133834</v>
      </c>
      <c r="AQ7" s="801">
        <f t="shared" si="30"/>
        <v>18.012884268401042</v>
      </c>
      <c r="AR7" s="801">
        <f t="shared" si="30"/>
        <v>18.154949248668249</v>
      </c>
      <c r="AS7" s="801">
        <f t="shared" si="30"/>
        <v>18.297014228935456</v>
      </c>
      <c r="AT7" s="801">
        <f t="shared" si="30"/>
        <v>18.439079209202664</v>
      </c>
      <c r="AU7" s="801">
        <f t="shared" si="30"/>
        <v>18.581144189469871</v>
      </c>
      <c r="AV7" s="801">
        <f t="shared" si="30"/>
        <v>18.723209169737078</v>
      </c>
      <c r="AW7" s="801">
        <f t="shared" si="30"/>
        <v>18.865274150004286</v>
      </c>
      <c r="AX7" s="801">
        <f t="shared" si="30"/>
        <v>19.007339130271493</v>
      </c>
      <c r="AY7" s="801">
        <f t="shared" si="30"/>
        <v>19.149404110538701</v>
      </c>
      <c r="AZ7" s="801">
        <f t="shared" ref="AY7:BA10" si="31">($BB7-$AH7)/20+AY7</f>
        <v>19.291469090805908</v>
      </c>
      <c r="BA7" s="801">
        <f t="shared" si="31"/>
        <v>19.433534071073115</v>
      </c>
      <c r="BB7" s="860">
        <f>1.16978897829057*AH7</f>
        <v>19.575599051340316</v>
      </c>
      <c r="BC7" s="801">
        <f>($BQ7-$BB7)/15+BB7</f>
        <v>19.769431803386947</v>
      </c>
      <c r="BD7" s="801">
        <f t="shared" ref="BD7:BP7" si="32">($BQ7-$BB7)/15+BC7</f>
        <v>19.963264555433579</v>
      </c>
      <c r="BE7" s="801">
        <f t="shared" si="32"/>
        <v>20.15709730748021</v>
      </c>
      <c r="BF7" s="801">
        <f t="shared" si="32"/>
        <v>20.350930059526842</v>
      </c>
      <c r="BG7" s="801">
        <f t="shared" si="32"/>
        <v>20.544762811573474</v>
      </c>
      <c r="BH7" s="801">
        <f t="shared" si="32"/>
        <v>20.738595563620105</v>
      </c>
      <c r="BI7" s="801">
        <f t="shared" si="32"/>
        <v>20.932428315666737</v>
      </c>
      <c r="BJ7" s="801">
        <f t="shared" si="32"/>
        <v>21.126261067713369</v>
      </c>
      <c r="BK7" s="801">
        <f t="shared" si="32"/>
        <v>21.32009381976</v>
      </c>
      <c r="BL7" s="801">
        <f t="shared" si="32"/>
        <v>21.513926571806632</v>
      </c>
      <c r="BM7" s="801">
        <f t="shared" si="32"/>
        <v>21.707759323853264</v>
      </c>
      <c r="BN7" s="801">
        <f t="shared" si="32"/>
        <v>21.901592075899895</v>
      </c>
      <c r="BO7" s="801">
        <f t="shared" si="32"/>
        <v>22.095424827946527</v>
      </c>
      <c r="BP7" s="801">
        <f t="shared" si="32"/>
        <v>22.289257579993158</v>
      </c>
      <c r="BQ7" s="860">
        <f>1.14852629914794*BB7</f>
        <v>22.483090332039815</v>
      </c>
      <c r="BR7" s="801">
        <f>($BV7-$BQ7)/5+BQ7</f>
        <v>22.705712345401611</v>
      </c>
      <c r="BS7" s="801">
        <f>($BV7-$BQ7)/5+BR7</f>
        <v>22.928334358763408</v>
      </c>
      <c r="BT7" s="801">
        <f>($BV7-$BQ7)/5+BS7</f>
        <v>23.150956372125204</v>
      </c>
      <c r="BU7" s="801">
        <f>($BV7-$BQ7)/5+BT7</f>
        <v>23.373578385487001</v>
      </c>
      <c r="BV7" s="861">
        <f>1.04950876638265*BQ7</f>
        <v>23.59620039884879</v>
      </c>
      <c r="BW7" s="1077">
        <f>+BV7*BW$133/BV$133</f>
        <v>23.674546722408877</v>
      </c>
      <c r="BX7" s="1077">
        <f t="shared" ref="BX7:CZ7" si="33">+BW7*BX$133/BW$133</f>
        <v>23.753153178800169</v>
      </c>
      <c r="BY7" s="1077">
        <f t="shared" si="33"/>
        <v>23.832020631740154</v>
      </c>
      <c r="BZ7" s="1077">
        <f t="shared" si="33"/>
        <v>23.911149947814113</v>
      </c>
      <c r="CA7" s="1077">
        <f t="shared" si="33"/>
        <v>23.990541996484659</v>
      </c>
      <c r="CB7" s="1077">
        <f t="shared" si="33"/>
        <v>24.041736091563465</v>
      </c>
      <c r="CC7" s="1077">
        <f t="shared" si="33"/>
        <v>24.093039431167519</v>
      </c>
      <c r="CD7" s="1077">
        <f t="shared" si="33"/>
        <v>24.144452248416805</v>
      </c>
      <c r="CE7" s="1077">
        <f t="shared" si="33"/>
        <v>24.195974776928761</v>
      </c>
      <c r="CF7" s="1077">
        <f t="shared" si="33"/>
        <v>24.247607250819346</v>
      </c>
      <c r="CG7" s="1077">
        <f t="shared" si="33"/>
        <v>24.264371987566129</v>
      </c>
      <c r="CH7" s="1077">
        <f t="shared" si="33"/>
        <v>24.281148315411173</v>
      </c>
      <c r="CI7" s="1077">
        <f t="shared" si="33"/>
        <v>24.297936242368532</v>
      </c>
      <c r="CJ7" s="1077">
        <f t="shared" si="33"/>
        <v>24.314735776457805</v>
      </c>
      <c r="CK7" s="1077">
        <f t="shared" si="33"/>
        <v>24.331546925704139</v>
      </c>
      <c r="CL7" s="1077">
        <f t="shared" si="33"/>
        <v>24.337245159046461</v>
      </c>
      <c r="CM7" s="1077">
        <f t="shared" si="33"/>
        <v>24.34294472686469</v>
      </c>
      <c r="CN7" s="1077">
        <f t="shared" si="33"/>
        <v>24.348645629471353</v>
      </c>
      <c r="CO7" s="1077">
        <f t="shared" si="33"/>
        <v>24.354347867179047</v>
      </c>
      <c r="CP7" s="1077">
        <f t="shared" si="33"/>
        <v>24.360051440300435</v>
      </c>
      <c r="CQ7" s="1077">
        <f t="shared" si="33"/>
        <v>24.368695752977374</v>
      </c>
      <c r="CR7" s="1077">
        <f t="shared" si="33"/>
        <v>24.377343133141338</v>
      </c>
      <c r="CS7" s="1077">
        <f t="shared" si="33"/>
        <v>24.38599358188084</v>
      </c>
      <c r="CT7" s="1077">
        <f t="shared" si="33"/>
        <v>24.394647100284782</v>
      </c>
      <c r="CU7" s="1077">
        <f t="shared" si="33"/>
        <v>24.403303689442453</v>
      </c>
      <c r="CV7" s="1077">
        <f t="shared" si="33"/>
        <v>24.416626216805682</v>
      </c>
      <c r="CW7" s="1077">
        <f t="shared" si="33"/>
        <v>24.429956017353625</v>
      </c>
      <c r="CX7" s="1077">
        <f t="shared" si="33"/>
        <v>24.443293095056941</v>
      </c>
      <c r="CY7" s="1077">
        <f t="shared" si="33"/>
        <v>24.456637453888455</v>
      </c>
      <c r="CZ7" s="1077">
        <f t="shared" si="33"/>
        <v>24.469989097823163</v>
      </c>
    </row>
    <row r="8" spans="1:104" x14ac:dyDescent="0.25">
      <c r="A8" s="727" t="str">
        <f>'HyARC Physical Property Data'!A71</f>
        <v>Commercial Natural Gas</v>
      </c>
      <c r="B8" s="254">
        <v>2007</v>
      </c>
      <c r="C8" s="726">
        <f>VLOOKUP(ref_year,DeflatorTable,2,FALSE)/VLOOKUP(B8,DeflatorTable,2,FALSE)</f>
        <v>1.1413971588333081</v>
      </c>
      <c r="D8" s="727" t="str">
        <f>'HyARC Physical Property Data'!H71</f>
        <v>mmBtu</v>
      </c>
      <c r="E8" s="726" t="s">
        <v>1040</v>
      </c>
      <c r="F8" s="254">
        <f>'HyARC Physical Property Data'!$E$6</f>
        <v>47.141269049911173</v>
      </c>
      <c r="G8" s="254">
        <f>'HyARC Physical Property Data'!$I$6</f>
        <v>52.224661236371581</v>
      </c>
      <c r="H8" s="254">
        <f>((11.8960943222046/(mmBTU_to_GJ))*($C$8))*($G$8/$F$8)</f>
        <v>14.25814701659854</v>
      </c>
      <c r="I8" s="254">
        <f>((11.8960943222046/(mmBTU_to_GJ))*($C$8))*($G$8/$F$8)</f>
        <v>14.25814701659854</v>
      </c>
      <c r="J8" s="254">
        <f>((11.8960943222046/(mmBTU_to_GJ))*($C$8))*($G$8/$F$8)</f>
        <v>14.25814701659854</v>
      </c>
      <c r="K8" s="254">
        <f>((10.9898433685303/(mmBTU_to_GJ))*($C$8))*($G$8/$F$8)</f>
        <v>13.1719536003861</v>
      </c>
      <c r="L8" s="254">
        <f>((11.3387994766235/(mmBTU_to_GJ))*($C$8))*($G$8/$F$8)</f>
        <v>13.590197383326352</v>
      </c>
      <c r="M8" s="254">
        <f>((8.90759468078613/(mmBTU_to_GJ))*($C$8))*($G$8/$F$8)</f>
        <v>10.676259878492866</v>
      </c>
      <c r="N8" s="254">
        <f>((9.46560573577881/(mmBTU_to_GJ))*($C$8))*($G$8/$F$8)</f>
        <v>11.345067929562392</v>
      </c>
      <c r="O8" s="254">
        <f>((9.74632167816162/(mmBTU_to_GJ))*($C$8))*($G$8/$F$8)</f>
        <v>11.681521984817001</v>
      </c>
      <c r="P8" s="254">
        <f>((9.72109222412109/(mmBTU_to_GJ))*($C$8))*($G$8/$F$8)</f>
        <v>11.651283046295227</v>
      </c>
      <c r="Q8" s="254">
        <f>((9.67193412780762/(mmBTU_to_GJ))*($C$8))*($G$8/$F$8)</f>
        <v>11.59236426628982</v>
      </c>
      <c r="R8" s="254">
        <f>((9.71388721466064/(mmBTU_to_GJ))*($C$8))*($G$8/$F$8)</f>
        <v>11.642647431835503</v>
      </c>
      <c r="S8" s="254">
        <f>((9.83065605163574/(mmBTU_to_GJ))*($C$8))*($G$8/$F$8)</f>
        <v>11.782601537733989</v>
      </c>
      <c r="T8" s="254">
        <f>((10.0382099151611/(mmBTU_to_GJ))*($C$8))*($G$8/$F$8)</f>
        <v>12.031366671890995</v>
      </c>
      <c r="U8" s="254">
        <f>((10.2545003890991/(mmBTU_to_GJ))*($C$8))*($G$8/$F$8)</f>
        <v>12.290603131536537</v>
      </c>
      <c r="V8" s="254">
        <f>((10.476261138916/(mmBTU_to_GJ))*($C$8))*($G$8/$F$8)</f>
        <v>12.556396028579952</v>
      </c>
      <c r="W8" s="254">
        <f>((10.746561050415/(mmBTU_to_GJ))*($C$8))*($G$8/$F$8)</f>
        <v>12.880365877199319</v>
      </c>
      <c r="X8" s="254">
        <f>((11.0803880691528/(mmBTU_to_GJ))*($C$8))*($G$8/$F$8)</f>
        <v>13.280476584323763</v>
      </c>
      <c r="Y8" s="254">
        <f>((11.3143692016602/(mmBTU_to_GJ))*($C$8))*($G$8/$F$8)</f>
        <v>13.560916306474725</v>
      </c>
      <c r="Z8" s="254">
        <f>((11.4017143249512/(mmBTU_to_GJ))*($C$8))*($G$8/$F$8)</f>
        <v>13.665604414633171</v>
      </c>
      <c r="AA8" s="254">
        <f>((11.2125005722046/(mmBTU_to_GJ))*($C$8))*($G$8/$F$8)</f>
        <v>13.438820948467498</v>
      </c>
      <c r="AB8" s="254">
        <f>((11.1975994110107/(mmBTU_to_GJ))*($C$8))*($G$8/$F$8)</f>
        <v>13.420961057543121</v>
      </c>
      <c r="AC8" s="254">
        <f>((11.159740447998/(mmBTU_to_GJ))*($C$8))*($G$8/$F$8)</f>
        <v>13.37558493274866</v>
      </c>
      <c r="AD8" s="254">
        <f>((11.3503875732422/(mmBTU_to_GJ))*($C$8))*($G$8/$F$8)</f>
        <v>13.604086377542172</v>
      </c>
      <c r="AE8" s="254">
        <f>((11.6409521102905/(mmBTU_to_GJ))*($C$8))*($G$8/$F$8)</f>
        <v>13.952344534785565</v>
      </c>
      <c r="AF8" s="254">
        <f>((11.9785671234131/(mmBTU_to_GJ))*($C$8))*($G$8/$F$8)</f>
        <v>14.356995369062137</v>
      </c>
      <c r="AG8" s="254">
        <f>((12.2332496643066/(mmBTU_to_GJ))*($C$8))*($G$8/$F$8)</f>
        <v>14.662246908959766</v>
      </c>
      <c r="AH8" s="254">
        <f>((12.5188312530518/(mmBTU_to_GJ))*($C$8))*($G$8/$F$8)</f>
        <v>15.004532718678215</v>
      </c>
      <c r="AI8" s="254">
        <f>($BB8-$AH8)/20+AH8</f>
        <v>15.131912932679805</v>
      </c>
      <c r="AJ8" s="254">
        <f t="shared" si="30"/>
        <v>15.259293146681395</v>
      </c>
      <c r="AK8" s="254">
        <f t="shared" si="30"/>
        <v>15.386673360682986</v>
      </c>
      <c r="AL8" s="254">
        <f t="shared" si="30"/>
        <v>15.514053574684576</v>
      </c>
      <c r="AM8" s="254">
        <f t="shared" si="30"/>
        <v>15.641433788686166</v>
      </c>
      <c r="AN8" s="254">
        <f t="shared" si="30"/>
        <v>15.768814002687757</v>
      </c>
      <c r="AO8" s="254">
        <f t="shared" si="30"/>
        <v>15.896194216689347</v>
      </c>
      <c r="AP8" s="254">
        <f t="shared" si="30"/>
        <v>16.023574430690935</v>
      </c>
      <c r="AQ8" s="254">
        <f t="shared" si="30"/>
        <v>16.150954644692526</v>
      </c>
      <c r="AR8" s="254">
        <f t="shared" si="30"/>
        <v>16.278334858694116</v>
      </c>
      <c r="AS8" s="254">
        <f t="shared" si="30"/>
        <v>16.405715072695706</v>
      </c>
      <c r="AT8" s="254">
        <f t="shared" si="30"/>
        <v>16.533095286697296</v>
      </c>
      <c r="AU8" s="254">
        <f t="shared" si="30"/>
        <v>16.660475500698887</v>
      </c>
      <c r="AV8" s="254">
        <f t="shared" si="30"/>
        <v>16.787855714700477</v>
      </c>
      <c r="AW8" s="254">
        <f t="shared" si="30"/>
        <v>16.915235928702067</v>
      </c>
      <c r="AX8" s="254">
        <f t="shared" si="30"/>
        <v>17.042616142703658</v>
      </c>
      <c r="AY8" s="254">
        <f t="shared" si="31"/>
        <v>17.169996356705248</v>
      </c>
      <c r="AZ8" s="254">
        <f t="shared" si="31"/>
        <v>17.297376570706838</v>
      </c>
      <c r="BA8" s="254">
        <f t="shared" si="31"/>
        <v>17.424756784708428</v>
      </c>
      <c r="BB8" s="859">
        <f>1.16978897829057*AH8</f>
        <v>17.552136998710015</v>
      </c>
      <c r="BC8" s="254">
        <f t="shared" ref="BC8:BP10" si="34">($BQ8-$BB8)/15+BB8</f>
        <v>17.725933928747082</v>
      </c>
      <c r="BD8" s="254">
        <f t="shared" si="34"/>
        <v>17.899730858784149</v>
      </c>
      <c r="BE8" s="254">
        <f t="shared" si="34"/>
        <v>18.073527788821217</v>
      </c>
      <c r="BF8" s="254">
        <f t="shared" si="34"/>
        <v>18.247324718858284</v>
      </c>
      <c r="BG8" s="254">
        <f t="shared" si="34"/>
        <v>18.421121648895351</v>
      </c>
      <c r="BH8" s="254">
        <f t="shared" si="34"/>
        <v>18.594918578932418</v>
      </c>
      <c r="BI8" s="254">
        <f t="shared" si="34"/>
        <v>18.768715508969485</v>
      </c>
      <c r="BJ8" s="254">
        <f t="shared" si="34"/>
        <v>18.942512439006553</v>
      </c>
      <c r="BK8" s="254">
        <f t="shared" si="34"/>
        <v>19.11630936904362</v>
      </c>
      <c r="BL8" s="254">
        <f t="shared" si="34"/>
        <v>19.290106299080687</v>
      </c>
      <c r="BM8" s="254">
        <f t="shared" si="34"/>
        <v>19.463903229117754</v>
      </c>
      <c r="BN8" s="254">
        <f t="shared" si="34"/>
        <v>19.637700159154821</v>
      </c>
      <c r="BO8" s="254">
        <f t="shared" si="34"/>
        <v>19.811497089191889</v>
      </c>
      <c r="BP8" s="254">
        <f t="shared" si="34"/>
        <v>19.985294019228956</v>
      </c>
      <c r="BQ8" s="859">
        <f>1.14852629914794*BB8</f>
        <v>20.159090949266044</v>
      </c>
      <c r="BR8" s="254">
        <f t="shared" ref="BR8:BU10" si="35">($BV8-$BQ8)/5+BQ8</f>
        <v>20.358701294124806</v>
      </c>
      <c r="BS8" s="254">
        <f t="shared" si="35"/>
        <v>20.558311638983568</v>
      </c>
      <c r="BT8" s="254">
        <f t="shared" si="35"/>
        <v>20.75792198384233</v>
      </c>
      <c r="BU8" s="254">
        <f t="shared" si="35"/>
        <v>20.957532328701092</v>
      </c>
      <c r="BV8" s="862">
        <f>1.04950876638265*BQ8</f>
        <v>21.15714267355985</v>
      </c>
      <c r="BW8" s="1077">
        <f>+BV8*BW$134/BV$134</f>
        <v>21.227390608290499</v>
      </c>
      <c r="BX8" s="1077">
        <f t="shared" ref="BX8:CZ8" si="36">+BW8*BX$134/BW$134</f>
        <v>21.297871786820185</v>
      </c>
      <c r="BY8" s="1077">
        <f t="shared" si="36"/>
        <v>21.368586983586905</v>
      </c>
      <c r="BZ8" s="1077">
        <f t="shared" si="36"/>
        <v>21.439536975600014</v>
      </c>
      <c r="CA8" s="1077">
        <f t="shared" si="36"/>
        <v>21.510722542448768</v>
      </c>
      <c r="CB8" s="1077">
        <f t="shared" si="36"/>
        <v>21.556624880762481</v>
      </c>
      <c r="CC8" s="1077">
        <f t="shared" si="36"/>
        <v>21.602625171372235</v>
      </c>
      <c r="CD8" s="1077">
        <f t="shared" si="36"/>
        <v>21.648723623301212</v>
      </c>
      <c r="CE8" s="1077">
        <f t="shared" si="36"/>
        <v>21.694920446018617</v>
      </c>
      <c r="CF8" s="1077">
        <f t="shared" si="36"/>
        <v>21.741215849440653</v>
      </c>
      <c r="CG8" s="1077">
        <f t="shared" si="36"/>
        <v>21.75624767326148</v>
      </c>
      <c r="CH8" s="1077">
        <f t="shared" si="36"/>
        <v>21.771289890048781</v>
      </c>
      <c r="CI8" s="1077">
        <f t="shared" si="36"/>
        <v>21.78634250698822</v>
      </c>
      <c r="CJ8" s="1077">
        <f t="shared" si="36"/>
        <v>21.801405531270447</v>
      </c>
      <c r="CK8" s="1077">
        <f t="shared" si="36"/>
        <v>21.816478970091065</v>
      </c>
      <c r="CL8" s="1077">
        <f t="shared" si="36"/>
        <v>21.821588196736581</v>
      </c>
      <c r="CM8" s="1077">
        <f t="shared" si="36"/>
        <v>21.826698619917845</v>
      </c>
      <c r="CN8" s="1077">
        <f t="shared" si="36"/>
        <v>21.831810239915068</v>
      </c>
      <c r="CO8" s="1077">
        <f t="shared" si="36"/>
        <v>21.836923057008537</v>
      </c>
      <c r="CP8" s="1077">
        <f t="shared" si="36"/>
        <v>21.8420370714786</v>
      </c>
      <c r="CQ8" s="1077">
        <f t="shared" si="36"/>
        <v>21.849787851414753</v>
      </c>
      <c r="CR8" s="1077">
        <f t="shared" si="36"/>
        <v>21.857541381762392</v>
      </c>
      <c r="CS8" s="1077">
        <f t="shared" si="36"/>
        <v>21.865297663497515</v>
      </c>
      <c r="CT8" s="1077">
        <f t="shared" si="36"/>
        <v>21.873056697596471</v>
      </c>
      <c r="CU8" s="1077">
        <f t="shared" si="36"/>
        <v>21.880818485035956</v>
      </c>
      <c r="CV8" s="1077">
        <f t="shared" si="36"/>
        <v>21.89276390876655</v>
      </c>
      <c r="CW8" s="1077">
        <f t="shared" si="36"/>
        <v>21.904715853877878</v>
      </c>
      <c r="CX8" s="1077">
        <f t="shared" si="36"/>
        <v>21.916674323930163</v>
      </c>
      <c r="CY8" s="1077">
        <f t="shared" si="36"/>
        <v>21.928639322485584</v>
      </c>
      <c r="CZ8" s="1077">
        <f t="shared" si="36"/>
        <v>21.940610853108243</v>
      </c>
    </row>
    <row r="9" spans="1:104" x14ac:dyDescent="0.25">
      <c r="A9" s="727" t="str">
        <f>'HyARC Physical Property Data'!A72</f>
        <v>Industrial Natural Gas</v>
      </c>
      <c r="B9" s="254">
        <v>2007</v>
      </c>
      <c r="C9" s="726">
        <f t="shared" ref="C9:C18" si="37">VLOOKUP(ref_year,DeflatorTable,2,FALSE)/VLOOKUP(B9,DeflatorTable,2,FALSE)</f>
        <v>1.1413971588333081</v>
      </c>
      <c r="D9" s="1030" t="str">
        <f>'HyARC Physical Property Data'!H72</f>
        <v>mmBtu</v>
      </c>
      <c r="E9" s="726" t="s">
        <v>1040</v>
      </c>
      <c r="F9" s="254">
        <f>'HyARC Physical Property Data'!$E$6</f>
        <v>47.141269049911173</v>
      </c>
      <c r="G9" s="254">
        <f>'HyARC Physical Property Data'!$I$6</f>
        <v>52.224661236371581</v>
      </c>
      <c r="H9" s="254">
        <f>((7.95407009124756/(mmBTU_to_GJ))*($C$9))*($G$9/$F$9)</f>
        <v>9.5334063155208515</v>
      </c>
      <c r="I9" s="254">
        <f>((7.95407009124756/(mmBTU_to_GJ))*($C$9))*($G$9/$F$9)</f>
        <v>9.5334063155208515</v>
      </c>
      <c r="J9" s="254">
        <f>((7.95407009124756/(mmBTU_to_GJ))*($C$9))*($G$9/$F$9)</f>
        <v>9.5334063155208515</v>
      </c>
      <c r="K9" s="254">
        <f>((7.51525163650513/(mmBTU_to_GJ))*($C$9))*($G$9/$F$9)</f>
        <v>9.0074573887680014</v>
      </c>
      <c r="L9" s="254">
        <f>((8.80127239227294/(mmBTU_to_GJ))*($C$9))*($G$9/$F$9)</f>
        <v>10.54882655628621</v>
      </c>
      <c r="M9" s="254">
        <f>((4.84856796264648/(mmBTU_to_GJ))*($C$9))*($G$9/$F$9)</f>
        <v>5.8112850284270117</v>
      </c>
      <c r="N9" s="254">
        <f>((5.49891996383666/(mmBTU_to_GJ))*($C$9))*($G$9/$F$9)</f>
        <v>6.5907689661258342</v>
      </c>
      <c r="O9" s="254">
        <f>((5.82616424560547/(mmBTU_to_GJ))*($C$9))*($G$9/$F$9)</f>
        <v>6.9829898878355561</v>
      </c>
      <c r="P9" s="254">
        <f>((5.87778615951538/(mmBTU_to_GJ))*($C$9))*($G$9/$F$9)</f>
        <v>7.0448616936459612</v>
      </c>
      <c r="Q9" s="254">
        <f>((5.95383930206299/(mmBTU_to_GJ))*($C$9))*($G$9/$F$9)</f>
        <v>7.1360157193411098</v>
      </c>
      <c r="R9" s="254">
        <f>((6.10985708236694/(mmBTU_to_GJ))*($C$9))*($G$9/$F$9)</f>
        <v>7.3230119206594617</v>
      </c>
      <c r="S9" s="254">
        <f>((6.32948446273804/(mmBTU_to_GJ))*($C$9))*($G$9/$F$9)</f>
        <v>7.5862478528390263</v>
      </c>
      <c r="T9" s="254">
        <f>((6.51258134841919/(mmBTU_to_GJ))*($C$9))*($G$9/$F$9)</f>
        <v>7.8056999052198099</v>
      </c>
      <c r="U9" s="254">
        <f>((6.70273017883301/(mmBTU_to_GJ))*($C$9))*($G$9/$F$9)</f>
        <v>8.0336041152607454</v>
      </c>
      <c r="V9" s="254">
        <f>((6.89887094497681/(mmBTU_to_GJ))*($C$9))*($G$9/$F$9)</f>
        <v>8.2686900017610387</v>
      </c>
      <c r="W9" s="254">
        <f>((7.15282821655273/(mmBTU_to_GJ))*($C$9))*($G$9/$F$9)</f>
        <v>8.5730722650476565</v>
      </c>
      <c r="X9" s="254">
        <f>((7.46860218048096/(mmBTU_to_GJ))*($C$9))*($G$9/$F$9)</f>
        <v>8.9515453571194765</v>
      </c>
      <c r="Y9" s="254">
        <f>((7.67867755889893/(mmBTU_to_GJ))*($C$9))*($G$9/$F$9)</f>
        <v>9.2033326705791669</v>
      </c>
      <c r="Z9" s="254">
        <f>((7.75380706787109/(mmBTU_to_GJ))*($C$9))*($G$9/$F$9)</f>
        <v>9.2933796687952501</v>
      </c>
      <c r="AA9" s="254">
        <f>((7.55847835540771/(mmBTU_to_GJ))*($C$9))*($G$9/$F$9)</f>
        <v>9.0592670749107693</v>
      </c>
      <c r="AB9" s="254">
        <f>((7.54617786407471/(mmBTU_to_GJ))*($C$9))*($G$9/$F$9)</f>
        <v>9.0445242350297033</v>
      </c>
      <c r="AC9" s="254">
        <f>((7.45927095413208/(mmBTU_to_GJ))*($C$9))*($G$9/$F$9)</f>
        <v>8.9403613505435402</v>
      </c>
      <c r="AD9" s="254">
        <f>((7.60022306442261/(mmBTU_to_GJ))*($C$9))*($G$9/$F$9)</f>
        <v>9.109300487741784</v>
      </c>
      <c r="AE9" s="254">
        <f>((7.85960483551025/(mmBTU_to_GJ))*($C$9))*($G$9/$F$9)</f>
        <v>9.4201843228413633</v>
      </c>
      <c r="AF9" s="254">
        <f>((8.19417572021484/(mmBTU_to_GJ))*($C$9))*($G$9/$F$9)</f>
        <v>9.8211865957207394</v>
      </c>
      <c r="AG9" s="254">
        <f>((8.42161273956299/(mmBTU_to_GJ))*($C$9))*($G$9/$F$9)</f>
        <v>10.09378282529417</v>
      </c>
      <c r="AH9" s="254">
        <f>((8.69355010986328/(mmBTU_to_GJ))*($C$9))*($G$9/$F$9)</f>
        <v>10.419715261607452</v>
      </c>
      <c r="AI9" s="254">
        <f>($BB9-$AH9)/20+AH9</f>
        <v>10.508172902024802</v>
      </c>
      <c r="AJ9" s="254">
        <f t="shared" si="30"/>
        <v>10.596630542442151</v>
      </c>
      <c r="AK9" s="254">
        <f t="shared" si="30"/>
        <v>10.6850881828595</v>
      </c>
      <c r="AL9" s="254">
        <f t="shared" si="30"/>
        <v>10.77354582327685</v>
      </c>
      <c r="AM9" s="254">
        <f t="shared" si="30"/>
        <v>10.862003463694199</v>
      </c>
      <c r="AN9" s="254">
        <f t="shared" si="30"/>
        <v>10.950461104111548</v>
      </c>
      <c r="AO9" s="254">
        <f t="shared" si="30"/>
        <v>11.038918744528898</v>
      </c>
      <c r="AP9" s="254">
        <f t="shared" si="30"/>
        <v>11.127376384946247</v>
      </c>
      <c r="AQ9" s="254">
        <f t="shared" si="30"/>
        <v>11.215834025363597</v>
      </c>
      <c r="AR9" s="254">
        <f t="shared" si="30"/>
        <v>11.304291665780946</v>
      </c>
      <c r="AS9" s="254">
        <f t="shared" si="30"/>
        <v>11.392749306198295</v>
      </c>
      <c r="AT9" s="254">
        <f t="shared" si="30"/>
        <v>11.481206946615645</v>
      </c>
      <c r="AU9" s="254">
        <f t="shared" si="30"/>
        <v>11.569664587032994</v>
      </c>
      <c r="AV9" s="254">
        <f t="shared" si="30"/>
        <v>11.658122227450344</v>
      </c>
      <c r="AW9" s="254">
        <f t="shared" si="30"/>
        <v>11.746579867867693</v>
      </c>
      <c r="AX9" s="254">
        <f t="shared" si="30"/>
        <v>11.835037508285042</v>
      </c>
      <c r="AY9" s="254">
        <f t="shared" si="30"/>
        <v>11.923495148702392</v>
      </c>
      <c r="AZ9" s="254">
        <f t="shared" si="31"/>
        <v>12.011952789119741</v>
      </c>
      <c r="BA9" s="254">
        <f t="shared" si="31"/>
        <v>12.10041042953709</v>
      </c>
      <c r="BB9" s="859">
        <f>1.16978897829057*AH9</f>
        <v>12.18886806995444</v>
      </c>
      <c r="BC9" s="254">
        <f t="shared" si="34"/>
        <v>12.309559234303295</v>
      </c>
      <c r="BD9" s="254">
        <f t="shared" si="34"/>
        <v>12.43025039865215</v>
      </c>
      <c r="BE9" s="254">
        <f t="shared" si="34"/>
        <v>12.550941563001006</v>
      </c>
      <c r="BF9" s="254">
        <f t="shared" si="34"/>
        <v>12.671632727349861</v>
      </c>
      <c r="BG9" s="254">
        <f t="shared" si="34"/>
        <v>12.792323891698716</v>
      </c>
      <c r="BH9" s="254">
        <f t="shared" si="34"/>
        <v>12.913015056047572</v>
      </c>
      <c r="BI9" s="254">
        <f t="shared" si="34"/>
        <v>13.033706220396427</v>
      </c>
      <c r="BJ9" s="254">
        <f t="shared" si="34"/>
        <v>13.154397384745282</v>
      </c>
      <c r="BK9" s="254">
        <f t="shared" si="34"/>
        <v>13.275088549094137</v>
      </c>
      <c r="BL9" s="254">
        <f t="shared" si="34"/>
        <v>13.395779713442993</v>
      </c>
      <c r="BM9" s="254">
        <f t="shared" si="34"/>
        <v>13.516470877791848</v>
      </c>
      <c r="BN9" s="254">
        <f t="shared" si="34"/>
        <v>13.637162042140703</v>
      </c>
      <c r="BO9" s="254">
        <f t="shared" si="34"/>
        <v>13.757853206489559</v>
      </c>
      <c r="BP9" s="254">
        <f t="shared" si="34"/>
        <v>13.878544370838414</v>
      </c>
      <c r="BQ9" s="859">
        <f>1.14852629914794*BB9</f>
        <v>13.999235535187266</v>
      </c>
      <c r="BR9" s="254">
        <f t="shared" si="35"/>
        <v>14.137852511516721</v>
      </c>
      <c r="BS9" s="254">
        <f t="shared" si="35"/>
        <v>14.276469487846176</v>
      </c>
      <c r="BT9" s="254">
        <f t="shared" si="35"/>
        <v>14.415086464175632</v>
      </c>
      <c r="BU9" s="254">
        <f t="shared" si="35"/>
        <v>14.553703440505087</v>
      </c>
      <c r="BV9" s="862">
        <f>1.04950876638265*BQ9</f>
        <v>14.692320416834542</v>
      </c>
      <c r="BW9" s="1077">
        <f>+BV9*BW$135/BV$135</f>
        <v>14.741103240754025</v>
      </c>
      <c r="BX9" s="1077">
        <f t="shared" ref="BX9:CZ9" si="38">+BW9*BX$135/BW$135</f>
        <v>14.79004803799304</v>
      </c>
      <c r="BY9" s="1077">
        <f t="shared" si="38"/>
        <v>14.839155346350635</v>
      </c>
      <c r="BZ9" s="1077">
        <f t="shared" si="38"/>
        <v>14.888425705411509</v>
      </c>
      <c r="CA9" s="1077">
        <f t="shared" si="38"/>
        <v>14.937859656551939</v>
      </c>
      <c r="CB9" s="1077">
        <f t="shared" si="38"/>
        <v>14.969735977130417</v>
      </c>
      <c r="CC9" s="1077">
        <f t="shared" si="38"/>
        <v>15.001680319489591</v>
      </c>
      <c r="CD9" s="1077">
        <f t="shared" si="38"/>
        <v>15.033692828783058</v>
      </c>
      <c r="CE9" s="1077">
        <f t="shared" si="38"/>
        <v>15.065773650474167</v>
      </c>
      <c r="CF9" s="1077">
        <f t="shared" si="38"/>
        <v>15.09792293033667</v>
      </c>
      <c r="CG9" s="1077">
        <f t="shared" si="38"/>
        <v>15.10836159757225</v>
      </c>
      <c r="CH9" s="1077">
        <f t="shared" si="38"/>
        <v>15.118807482076999</v>
      </c>
      <c r="CI9" s="1077">
        <f t="shared" si="38"/>
        <v>15.129260588840916</v>
      </c>
      <c r="CJ9" s="1077">
        <f t="shared" si="38"/>
        <v>15.139720922857455</v>
      </c>
      <c r="CK9" s="1077">
        <f t="shared" si="38"/>
        <v>15.150188489123522</v>
      </c>
      <c r="CL9" s="1077">
        <f t="shared" si="38"/>
        <v>15.153736529429171</v>
      </c>
      <c r="CM9" s="1077">
        <f t="shared" si="38"/>
        <v>15.157285400654516</v>
      </c>
      <c r="CN9" s="1077">
        <f t="shared" si="38"/>
        <v>15.160835102994151</v>
      </c>
      <c r="CO9" s="1077">
        <f t="shared" si="38"/>
        <v>15.164385636642713</v>
      </c>
      <c r="CP9" s="1077">
        <f t="shared" si="38"/>
        <v>15.167937001794892</v>
      </c>
      <c r="CQ9" s="1077">
        <f t="shared" si="38"/>
        <v>15.173319436656698</v>
      </c>
      <c r="CR9" s="1077">
        <f t="shared" si="38"/>
        <v>15.178703781508307</v>
      </c>
      <c r="CS9" s="1077">
        <f t="shared" si="38"/>
        <v>15.184090037027495</v>
      </c>
      <c r="CT9" s="1077">
        <f t="shared" si="38"/>
        <v>15.189478203892271</v>
      </c>
      <c r="CU9" s="1077">
        <f t="shared" si="38"/>
        <v>15.194868282780888</v>
      </c>
      <c r="CV9" s="1077">
        <f t="shared" si="38"/>
        <v>15.203163637010553</v>
      </c>
      <c r="CW9" s="1077">
        <f t="shared" si="38"/>
        <v>15.211463519933757</v>
      </c>
      <c r="CX9" s="1077">
        <f t="shared" si="38"/>
        <v>15.219767934022853</v>
      </c>
      <c r="CY9" s="1077">
        <f t="shared" si="38"/>
        <v>15.228076881751546</v>
      </c>
      <c r="CZ9" s="1077">
        <f t="shared" si="38"/>
        <v>15.236390365594895</v>
      </c>
    </row>
    <row r="10" spans="1:104" x14ac:dyDescent="0.25">
      <c r="A10" s="727" t="str">
        <f>'HyARC Physical Property Data'!A74</f>
        <v>Electric Utility Natural Gas</v>
      </c>
      <c r="B10" s="254">
        <v>2007</v>
      </c>
      <c r="C10" s="726">
        <f t="shared" si="37"/>
        <v>1.1413971588333081</v>
      </c>
      <c r="D10" s="1030" t="str">
        <f>'HyARC Physical Property Data'!H74</f>
        <v>mmBtu</v>
      </c>
      <c r="E10" s="726" t="s">
        <v>1040</v>
      </c>
      <c r="F10" s="254">
        <f>'HyARC Physical Property Data'!$E$6</f>
        <v>47.141269049911173</v>
      </c>
      <c r="G10" s="254">
        <f>'HyARC Physical Property Data'!$I$6</f>
        <v>52.224661236371581</v>
      </c>
      <c r="H10" s="254">
        <f>((7.05463790893555/(mmBTU_to_GJ))*($C$10))*($G$10/$F$10)</f>
        <v>8.4553855853953603</v>
      </c>
      <c r="I10" s="254">
        <f>((7.05463790893555/(mmBTU_to_GJ))*($C$10))*($G$10/$F$10)</f>
        <v>8.4553855853953603</v>
      </c>
      <c r="J10" s="254">
        <f>((7.05463790893555/(mmBTU_to_GJ))*($C$10))*($G$10/$F$10)</f>
        <v>8.4553855853953603</v>
      </c>
      <c r="K10" s="254">
        <f>((7.01915979385375/(mmBTU_to_GJ))*($C$10))*($G$10/$F$10)</f>
        <v>8.4128630425332123</v>
      </c>
      <c r="L10" s="254">
        <f>((8.87161254882813/(mmBTU_to_GJ))*($C$10))*($G$10/$F$10)</f>
        <v>10.63313324268012</v>
      </c>
      <c r="M10" s="254">
        <f>((4.55562210083008/(mmBTU_to_GJ))*($C$10))*($G$10/$F$10)</f>
        <v>5.4601727177347454</v>
      </c>
      <c r="N10" s="254">
        <f>((5.12931346893311/(mmBTU_to_GJ))*($C$10))*($G$10/$F$10)</f>
        <v>6.1477745177052308</v>
      </c>
      <c r="O10" s="254">
        <f>((5.45354604721069/(mmBTU_to_GJ))*($C$10))*($G$10/$F$10)</f>
        <v>6.5363857411404362</v>
      </c>
      <c r="P10" s="254">
        <f>((5.51876354217529/(mmBTU_to_GJ))*($C$10))*($G$10/$F$10)</f>
        <v>6.6145526256719327</v>
      </c>
      <c r="Q10" s="254">
        <f>((5.53977298736572/(mmBTU_to_GJ))*($C$10))*($G$10/$F$10)</f>
        <v>6.6397336430839395</v>
      </c>
      <c r="R10" s="254">
        <f>((5.68350362777709/(mmBTU_to_GJ))*($C$10))*($G$10/$F$10)</f>
        <v>6.8120030069834847</v>
      </c>
      <c r="S10" s="254">
        <f>((5.8920464515686/(mmBTU_to_GJ))*($C$10))*($G$10/$F$10)</f>
        <v>7.0619534663813974</v>
      </c>
      <c r="T10" s="254">
        <f>((6.08193254470825/(mmBTU_to_GJ))*($C$10))*($G$10/$F$10)</f>
        <v>7.2895427708255562</v>
      </c>
      <c r="U10" s="254">
        <f>((6.26939964294434/(mmBTU_to_GJ))*($C$10))*($G$10/$F$10)</f>
        <v>7.5142327720166309</v>
      </c>
      <c r="V10" s="254">
        <f>((6.47751331329346/(mmBTU_to_GJ))*($C$10))*($G$10/$F$10)</f>
        <v>7.7636688665559168</v>
      </c>
      <c r="W10" s="254">
        <f>((6.73541975021362/(mmBTU_to_GJ))*($C$10))*($G$10/$F$10)</f>
        <v>8.0727844295748614</v>
      </c>
      <c r="X10" s="254">
        <f>((7.02784395217896/(mmBTU_to_GJ))*($C$10))*($G$10/$F$10)</f>
        <v>8.4232715012056651</v>
      </c>
      <c r="Y10" s="254">
        <f>((7.25390911102295/(mmBTU_to_GJ))*($C$10))*($G$10/$F$10)</f>
        <v>8.6942234777810281</v>
      </c>
      <c r="Z10" s="254">
        <f>((7.3283839225769/(mmBTU_to_GJ))*($C$10))*($G$10/$F$10)</f>
        <v>8.7834857838294642</v>
      </c>
      <c r="AA10" s="254">
        <f>((7.15062761306763/(mmBTU_to_GJ))*($C$10))*($G$10/$F$10)</f>
        <v>8.5704347163559618</v>
      </c>
      <c r="AB10" s="254">
        <f>((7.19241189956665/(mmBTU_to_GJ))*($C$10))*($G$10/$F$10)</f>
        <v>8.6205155650572607</v>
      </c>
      <c r="AC10" s="254">
        <f>((7.13988399505615/(mmBTU_to_GJ))*($C$10))*($G$10/$F$10)</f>
        <v>8.5575578778786525</v>
      </c>
      <c r="AD10" s="254">
        <f>((7.28062534332275/(mmBTU_to_GJ))*($C$10))*($G$10/$F$10)</f>
        <v>8.7262444047796599</v>
      </c>
      <c r="AE10" s="254">
        <f>((7.5354790687561/(mmBTU_to_GJ))*($C$10))*($G$10/$F$10)</f>
        <v>9.0317011191042926</v>
      </c>
      <c r="AF10" s="254">
        <f>((7.86007928848267/(mmBTU_to_GJ))*($C$10))*($G$10/$F$10)</f>
        <v>9.4207529817684019</v>
      </c>
      <c r="AG10" s="254">
        <f>((8.07421207427979/(mmBTU_to_GJ))*($C$10))*($G$10/$F$10)</f>
        <v>9.6774033292080919</v>
      </c>
      <c r="AH10" s="254">
        <f>((8.33951759338379/(mmBTU_to_GJ))*($C$10))*($G$10/$F$10)</f>
        <v>9.9953871139061636</v>
      </c>
      <c r="AI10" s="254">
        <f>($BB10-$AH10)/20+AH10</f>
        <v>10.080242442190606</v>
      </c>
      <c r="AJ10" s="254">
        <f t="shared" si="30"/>
        <v>10.165097770475048</v>
      </c>
      <c r="AK10" s="254">
        <f t="shared" si="30"/>
        <v>10.249953098759491</v>
      </c>
      <c r="AL10" s="254">
        <f t="shared" si="30"/>
        <v>10.334808427043933</v>
      </c>
      <c r="AM10" s="254">
        <f t="shared" si="30"/>
        <v>10.419663755328376</v>
      </c>
      <c r="AN10" s="254">
        <f t="shared" si="30"/>
        <v>10.504519083612818</v>
      </c>
      <c r="AO10" s="254">
        <f t="shared" si="30"/>
        <v>10.589374411897261</v>
      </c>
      <c r="AP10" s="254">
        <f t="shared" si="30"/>
        <v>10.674229740181703</v>
      </c>
      <c r="AQ10" s="254">
        <f t="shared" si="30"/>
        <v>10.759085068466145</v>
      </c>
      <c r="AR10" s="254">
        <f t="shared" si="30"/>
        <v>10.843940396750588</v>
      </c>
      <c r="AS10" s="254">
        <f t="shared" si="30"/>
        <v>10.92879572503503</v>
      </c>
      <c r="AT10" s="254">
        <f t="shared" si="30"/>
        <v>11.013651053319473</v>
      </c>
      <c r="AU10" s="254">
        <f t="shared" si="30"/>
        <v>11.098506381603915</v>
      </c>
      <c r="AV10" s="254">
        <f t="shared" si="30"/>
        <v>11.183361709888358</v>
      </c>
      <c r="AW10" s="254">
        <f t="shared" si="30"/>
        <v>11.2682170381728</v>
      </c>
      <c r="AX10" s="254">
        <f t="shared" si="30"/>
        <v>11.353072366457242</v>
      </c>
      <c r="AY10" s="254">
        <f t="shared" si="30"/>
        <v>11.437927694741685</v>
      </c>
      <c r="AZ10" s="254">
        <f t="shared" si="31"/>
        <v>11.522783023026127</v>
      </c>
      <c r="BA10" s="254">
        <f t="shared" si="31"/>
        <v>11.60763835131057</v>
      </c>
      <c r="BB10" s="859">
        <f>1.16978897829057*AH10</f>
        <v>11.692493679595019</v>
      </c>
      <c r="BC10" s="254">
        <f t="shared" si="34"/>
        <v>11.808269867197748</v>
      </c>
      <c r="BD10" s="254">
        <f t="shared" si="34"/>
        <v>11.924046054800476</v>
      </c>
      <c r="BE10" s="254">
        <f t="shared" si="34"/>
        <v>12.039822242403204</v>
      </c>
      <c r="BF10" s="254">
        <f t="shared" si="34"/>
        <v>12.155598430005933</v>
      </c>
      <c r="BG10" s="254">
        <f t="shared" si="34"/>
        <v>12.271374617608661</v>
      </c>
      <c r="BH10" s="254">
        <f t="shared" si="34"/>
        <v>12.387150805211389</v>
      </c>
      <c r="BI10" s="254">
        <f t="shared" si="34"/>
        <v>12.502926992814118</v>
      </c>
      <c r="BJ10" s="254">
        <f t="shared" si="34"/>
        <v>12.618703180416846</v>
      </c>
      <c r="BK10" s="254">
        <f t="shared" si="34"/>
        <v>12.734479368019574</v>
      </c>
      <c r="BL10" s="254">
        <f t="shared" si="34"/>
        <v>12.850255555622303</v>
      </c>
      <c r="BM10" s="254">
        <f t="shared" si="34"/>
        <v>12.966031743225031</v>
      </c>
      <c r="BN10" s="254">
        <f t="shared" si="34"/>
        <v>13.081807930827759</v>
      </c>
      <c r="BO10" s="254">
        <f t="shared" si="34"/>
        <v>13.197584118430488</v>
      </c>
      <c r="BP10" s="254">
        <f t="shared" si="34"/>
        <v>13.313360306033216</v>
      </c>
      <c r="BQ10" s="859">
        <f>1.14852629914794*BB10</f>
        <v>13.429136493635946</v>
      </c>
      <c r="BR10" s="254">
        <f t="shared" si="35"/>
        <v>13.562108489912774</v>
      </c>
      <c r="BS10" s="254">
        <f t="shared" si="35"/>
        <v>13.695080486189601</v>
      </c>
      <c r="BT10" s="254">
        <f t="shared" si="35"/>
        <v>13.828052482466429</v>
      </c>
      <c r="BU10" s="254">
        <f t="shared" si="35"/>
        <v>13.961024478743257</v>
      </c>
      <c r="BV10" s="862">
        <f>1.04950876638265*BQ10</f>
        <v>14.093996475020086</v>
      </c>
      <c r="BW10" s="1077">
        <f>+BV10*BW$136/BV$136</f>
        <v>14.140792687521339</v>
      </c>
      <c r="BX10" s="1077">
        <f t="shared" ref="BX10:CZ10" si="39">+BW10*BX$136/BW$136</f>
        <v>14.187744277208072</v>
      </c>
      <c r="BY10" s="1077">
        <f t="shared" si="39"/>
        <v>14.234851759978229</v>
      </c>
      <c r="BZ10" s="1077">
        <f t="shared" si="39"/>
        <v>14.282115653442684</v>
      </c>
      <c r="CA10" s="1077">
        <f t="shared" si="39"/>
        <v>14.329536476930937</v>
      </c>
      <c r="CB10" s="1077">
        <f t="shared" si="39"/>
        <v>14.360114679496878</v>
      </c>
      <c r="CC10" s="1077">
        <f t="shared" si="39"/>
        <v>14.390758133752827</v>
      </c>
      <c r="CD10" s="1077">
        <f t="shared" si="39"/>
        <v>14.42146697894121</v>
      </c>
      <c r="CE10" s="1077">
        <f t="shared" si="39"/>
        <v>14.452241354601584</v>
      </c>
      <c r="CF10" s="1077">
        <f t="shared" si="39"/>
        <v>14.483081400571274</v>
      </c>
      <c r="CG10" s="1077">
        <f t="shared" si="39"/>
        <v>14.493094967866853</v>
      </c>
      <c r="CH10" s="1077">
        <f t="shared" si="39"/>
        <v>14.503115458518533</v>
      </c>
      <c r="CI10" s="1077">
        <f t="shared" si="39"/>
        <v>14.513142877313106</v>
      </c>
      <c r="CJ10" s="1077">
        <f t="shared" si="39"/>
        <v>14.523177229040675</v>
      </c>
      <c r="CK10" s="1077">
        <f t="shared" si="39"/>
        <v>14.53321851849465</v>
      </c>
      <c r="CL10" s="1077">
        <f t="shared" si="39"/>
        <v>14.536622069883558</v>
      </c>
      <c r="CM10" s="1077">
        <f t="shared" si="39"/>
        <v>14.540026418354136</v>
      </c>
      <c r="CN10" s="1077">
        <f t="shared" si="39"/>
        <v>14.543431564093051</v>
      </c>
      <c r="CO10" s="1077">
        <f t="shared" si="39"/>
        <v>14.546837507287016</v>
      </c>
      <c r="CP10" s="1077">
        <f t="shared" si="39"/>
        <v>14.550244248122791</v>
      </c>
      <c r="CQ10" s="1077">
        <f t="shared" si="39"/>
        <v>14.555407490947415</v>
      </c>
      <c r="CR10" s="1077">
        <f t="shared" si="39"/>
        <v>14.560572565980214</v>
      </c>
      <c r="CS10" s="1077">
        <f t="shared" si="39"/>
        <v>14.565739473871359</v>
      </c>
      <c r="CT10" s="1077">
        <f t="shared" si="39"/>
        <v>14.570908215271251</v>
      </c>
      <c r="CU10" s="1077">
        <f t="shared" si="39"/>
        <v>14.576078790830522</v>
      </c>
      <c r="CV10" s="1077">
        <f t="shared" si="39"/>
        <v>14.584036328507008</v>
      </c>
      <c r="CW10" s="1077">
        <f t="shared" si="39"/>
        <v>14.591998210452399</v>
      </c>
      <c r="CX10" s="1077">
        <f t="shared" si="39"/>
        <v>14.59996443903837</v>
      </c>
      <c r="CY10" s="1077">
        <f t="shared" si="39"/>
        <v>14.607935016637887</v>
      </c>
      <c r="CZ10" s="1077">
        <f t="shared" si="39"/>
        <v>14.615909945625214</v>
      </c>
    </row>
    <row r="11" spans="1:104" x14ac:dyDescent="0.25">
      <c r="A11" s="727" t="str">
        <f>'HyARC Physical Property Data'!A75</f>
        <v>Bio Methane</v>
      </c>
      <c r="B11" s="254">
        <v>2007</v>
      </c>
      <c r="C11" s="726">
        <f t="shared" si="37"/>
        <v>1.1413971588333081</v>
      </c>
      <c r="D11" s="1030" t="str">
        <f>'HyARC Physical Property Data'!H75</f>
        <v>mmBtu</v>
      </c>
      <c r="E11" s="726" t="s">
        <v>1040</v>
      </c>
      <c r="F11" s="254">
        <f>'HyARC Physical Property Data'!$E$6</f>
        <v>47.141269049911173</v>
      </c>
      <c r="G11" s="254">
        <f>'HyARC Physical Property Data'!$I$6</f>
        <v>52.224661236371581</v>
      </c>
      <c r="H11" s="254">
        <f t="shared" ref="H11:AM11" si="40">13.11*($C$11/mmBTU_to_GJ)</f>
        <v>14.183617774696369</v>
      </c>
      <c r="I11" s="254">
        <f t="shared" si="40"/>
        <v>14.183617774696369</v>
      </c>
      <c r="J11" s="254">
        <f t="shared" si="40"/>
        <v>14.183617774696369</v>
      </c>
      <c r="K11" s="254">
        <f t="shared" si="40"/>
        <v>14.183617774696369</v>
      </c>
      <c r="L11" s="254">
        <f t="shared" si="40"/>
        <v>14.183617774696369</v>
      </c>
      <c r="M11" s="254">
        <f t="shared" si="40"/>
        <v>14.183617774696369</v>
      </c>
      <c r="N11" s="254">
        <f t="shared" si="40"/>
        <v>14.183617774696369</v>
      </c>
      <c r="O11" s="254">
        <f t="shared" si="40"/>
        <v>14.183617774696369</v>
      </c>
      <c r="P11" s="254">
        <f t="shared" si="40"/>
        <v>14.183617774696369</v>
      </c>
      <c r="Q11" s="254">
        <f t="shared" si="40"/>
        <v>14.183617774696369</v>
      </c>
      <c r="R11" s="254">
        <f t="shared" si="40"/>
        <v>14.183617774696369</v>
      </c>
      <c r="S11" s="254">
        <f t="shared" si="40"/>
        <v>14.183617774696369</v>
      </c>
      <c r="T11" s="254">
        <f t="shared" si="40"/>
        <v>14.183617774696369</v>
      </c>
      <c r="U11" s="254">
        <f t="shared" si="40"/>
        <v>14.183617774696369</v>
      </c>
      <c r="V11" s="254">
        <f t="shared" si="40"/>
        <v>14.183617774696369</v>
      </c>
      <c r="W11" s="254">
        <f t="shared" si="40"/>
        <v>14.183617774696369</v>
      </c>
      <c r="X11" s="254">
        <f t="shared" si="40"/>
        <v>14.183617774696369</v>
      </c>
      <c r="Y11" s="254">
        <f t="shared" si="40"/>
        <v>14.183617774696369</v>
      </c>
      <c r="Z11" s="254">
        <f t="shared" si="40"/>
        <v>14.183617774696369</v>
      </c>
      <c r="AA11" s="254">
        <f t="shared" si="40"/>
        <v>14.183617774696369</v>
      </c>
      <c r="AB11" s="254">
        <f t="shared" si="40"/>
        <v>14.183617774696369</v>
      </c>
      <c r="AC11" s="254">
        <f t="shared" si="40"/>
        <v>14.183617774696369</v>
      </c>
      <c r="AD11" s="254">
        <f t="shared" si="40"/>
        <v>14.183617774696369</v>
      </c>
      <c r="AE11" s="254">
        <f t="shared" si="40"/>
        <v>14.183617774696369</v>
      </c>
      <c r="AF11" s="254">
        <f t="shared" si="40"/>
        <v>14.183617774696369</v>
      </c>
      <c r="AG11" s="254">
        <f t="shared" si="40"/>
        <v>14.183617774696369</v>
      </c>
      <c r="AH11" s="254">
        <f t="shared" si="40"/>
        <v>14.183617774696369</v>
      </c>
      <c r="AI11" s="254">
        <f t="shared" si="40"/>
        <v>14.183617774696369</v>
      </c>
      <c r="AJ11" s="254">
        <f t="shared" si="40"/>
        <v>14.183617774696369</v>
      </c>
      <c r="AK11" s="254">
        <f t="shared" si="40"/>
        <v>14.183617774696369</v>
      </c>
      <c r="AL11" s="254">
        <f t="shared" si="40"/>
        <v>14.183617774696369</v>
      </c>
      <c r="AM11" s="254">
        <f t="shared" si="40"/>
        <v>14.183617774696369</v>
      </c>
      <c r="AN11" s="254">
        <f t="shared" ref="AN11:BV11" si="41">13.11*($C$11/mmBTU_to_GJ)</f>
        <v>14.183617774696369</v>
      </c>
      <c r="AO11" s="254">
        <f t="shared" si="41"/>
        <v>14.183617774696369</v>
      </c>
      <c r="AP11" s="254">
        <f t="shared" si="41"/>
        <v>14.183617774696369</v>
      </c>
      <c r="AQ11" s="254">
        <f t="shared" si="41"/>
        <v>14.183617774696369</v>
      </c>
      <c r="AR11" s="254">
        <f t="shared" si="41"/>
        <v>14.183617774696369</v>
      </c>
      <c r="AS11" s="254">
        <f t="shared" si="41"/>
        <v>14.183617774696369</v>
      </c>
      <c r="AT11" s="254">
        <f t="shared" si="41"/>
        <v>14.183617774696369</v>
      </c>
      <c r="AU11" s="254">
        <f t="shared" si="41"/>
        <v>14.183617774696369</v>
      </c>
      <c r="AV11" s="254">
        <f t="shared" si="41"/>
        <v>14.183617774696369</v>
      </c>
      <c r="AW11" s="254">
        <f t="shared" si="41"/>
        <v>14.183617774696369</v>
      </c>
      <c r="AX11" s="254">
        <f t="shared" si="41"/>
        <v>14.183617774696369</v>
      </c>
      <c r="AY11" s="254">
        <f t="shared" si="41"/>
        <v>14.183617774696369</v>
      </c>
      <c r="AZ11" s="254">
        <f t="shared" si="41"/>
        <v>14.183617774696369</v>
      </c>
      <c r="BA11" s="254">
        <f t="shared" si="41"/>
        <v>14.183617774696369</v>
      </c>
      <c r="BB11" s="254">
        <f t="shared" si="41"/>
        <v>14.183617774696369</v>
      </c>
      <c r="BC11" s="254">
        <f t="shared" si="41"/>
        <v>14.183617774696369</v>
      </c>
      <c r="BD11" s="254">
        <f t="shared" si="41"/>
        <v>14.183617774696369</v>
      </c>
      <c r="BE11" s="254">
        <f t="shared" si="41"/>
        <v>14.183617774696369</v>
      </c>
      <c r="BF11" s="254">
        <f t="shared" si="41"/>
        <v>14.183617774696369</v>
      </c>
      <c r="BG11" s="254">
        <f t="shared" si="41"/>
        <v>14.183617774696369</v>
      </c>
      <c r="BH11" s="254">
        <f t="shared" si="41"/>
        <v>14.183617774696369</v>
      </c>
      <c r="BI11" s="254">
        <f t="shared" si="41"/>
        <v>14.183617774696369</v>
      </c>
      <c r="BJ11" s="254">
        <f t="shared" si="41"/>
        <v>14.183617774696369</v>
      </c>
      <c r="BK11" s="254">
        <f t="shared" si="41"/>
        <v>14.183617774696369</v>
      </c>
      <c r="BL11" s="254">
        <f t="shared" si="41"/>
        <v>14.183617774696369</v>
      </c>
      <c r="BM11" s="254">
        <f t="shared" si="41"/>
        <v>14.183617774696369</v>
      </c>
      <c r="BN11" s="254">
        <f t="shared" si="41"/>
        <v>14.183617774696369</v>
      </c>
      <c r="BO11" s="254">
        <f t="shared" si="41"/>
        <v>14.183617774696369</v>
      </c>
      <c r="BP11" s="254">
        <f t="shared" si="41"/>
        <v>14.183617774696369</v>
      </c>
      <c r="BQ11" s="254">
        <f t="shared" si="41"/>
        <v>14.183617774696369</v>
      </c>
      <c r="BR11" s="254">
        <f t="shared" si="41"/>
        <v>14.183617774696369</v>
      </c>
      <c r="BS11" s="254">
        <f t="shared" si="41"/>
        <v>14.183617774696369</v>
      </c>
      <c r="BT11" s="254">
        <f t="shared" si="41"/>
        <v>14.183617774696369</v>
      </c>
      <c r="BU11" s="254">
        <f t="shared" si="41"/>
        <v>14.183617774696369</v>
      </c>
      <c r="BV11" s="254">
        <f t="shared" si="41"/>
        <v>14.183617774696369</v>
      </c>
      <c r="BW11" s="1077">
        <f>+BV11*BW$136/BV$136</f>
        <v>14.230711556264829</v>
      </c>
      <c r="BX11" s="1077">
        <f t="shared" ref="BX11:CZ11" si="42">+BW11*BX$136/BW$136</f>
        <v>14.277961703035571</v>
      </c>
      <c r="BY11" s="1077">
        <f t="shared" si="42"/>
        <v>14.325368734187041</v>
      </c>
      <c r="BZ11" s="1077">
        <f t="shared" si="42"/>
        <v>14.372933170621517</v>
      </c>
      <c r="CA11" s="1077">
        <f t="shared" si="42"/>
        <v>14.420655534970821</v>
      </c>
      <c r="CB11" s="1077">
        <f t="shared" si="42"/>
        <v>14.451428179067991</v>
      </c>
      <c r="CC11" s="1077">
        <f t="shared" si="42"/>
        <v>14.482266489779443</v>
      </c>
      <c r="CD11" s="1077">
        <f t="shared" si="42"/>
        <v>14.51317060723302</v>
      </c>
      <c r="CE11" s="1077">
        <f t="shared" si="42"/>
        <v>14.54414067185559</v>
      </c>
      <c r="CF11" s="1077">
        <f t="shared" si="42"/>
        <v>14.575176824373679</v>
      </c>
      <c r="CG11" s="1077">
        <f t="shared" si="42"/>
        <v>14.585254066221541</v>
      </c>
      <c r="CH11" s="1077">
        <f t="shared" si="42"/>
        <v>14.595338275449933</v>
      </c>
      <c r="CI11" s="1077">
        <f t="shared" si="42"/>
        <v>14.605429456876088</v>
      </c>
      <c r="CJ11" s="1077">
        <f t="shared" si="42"/>
        <v>14.615527615320566</v>
      </c>
      <c r="CK11" s="1077">
        <f t="shared" si="42"/>
        <v>14.625632755607262</v>
      </c>
      <c r="CL11" s="1077">
        <f t="shared" si="42"/>
        <v>14.629057949594106</v>
      </c>
      <c r="CM11" s="1077">
        <f t="shared" si="42"/>
        <v>14.632483945731124</v>
      </c>
      <c r="CN11" s="1077">
        <f t="shared" si="42"/>
        <v>14.635910744206171</v>
      </c>
      <c r="CO11" s="1077">
        <f t="shared" si="42"/>
        <v>14.639338345207147</v>
      </c>
      <c r="CP11" s="1077">
        <f t="shared" si="42"/>
        <v>14.642766748922</v>
      </c>
      <c r="CQ11" s="1077">
        <f t="shared" si="42"/>
        <v>14.647962823919764</v>
      </c>
      <c r="CR11" s="1077">
        <f t="shared" si="42"/>
        <v>14.6531607427764</v>
      </c>
      <c r="CS11" s="1077">
        <f t="shared" si="42"/>
        <v>14.658360506146211</v>
      </c>
      <c r="CT11" s="1077">
        <f t="shared" si="42"/>
        <v>14.663562114683737</v>
      </c>
      <c r="CU11" s="1077">
        <f t="shared" si="42"/>
        <v>14.668765569043746</v>
      </c>
      <c r="CV11" s="1077">
        <f t="shared" si="42"/>
        <v>14.676773707333766</v>
      </c>
      <c r="CW11" s="1077">
        <f t="shared" si="42"/>
        <v>14.68478621751715</v>
      </c>
      <c r="CX11" s="1077">
        <f t="shared" si="42"/>
        <v>14.692803101980653</v>
      </c>
      <c r="CY11" s="1077">
        <f t="shared" si="42"/>
        <v>14.700824363112332</v>
      </c>
      <c r="CZ11" s="1077">
        <f t="shared" si="42"/>
        <v>14.708850003301547</v>
      </c>
    </row>
    <row r="12" spans="1:104" x14ac:dyDescent="0.25">
      <c r="A12" s="806" t="str">
        <f>'HyARC Physical Property Data'!A85</f>
        <v>Woody Biomass</v>
      </c>
      <c r="B12" s="254">
        <v>2005</v>
      </c>
      <c r="C12" s="726">
        <f>VLOOKUP(ref_year,DeflatorTable,2,FALSE)/VLOOKUP(B12,DeflatorTable,2,FALSE)</f>
        <v>1.208440716126562</v>
      </c>
      <c r="D12" s="1030" t="str">
        <f>+'HyARC Physical Property Data'!$H$85</f>
        <v>kg</v>
      </c>
      <c r="E12" s="747" t="s">
        <v>1034</v>
      </c>
      <c r="F12" s="254">
        <f>'HyARC Physical Property Data'!$E$45</f>
        <v>19.551069237418005</v>
      </c>
      <c r="G12" s="254">
        <f>'HyARC Physical Property Data'!$I$45</f>
        <v>20.588656379262464</v>
      </c>
      <c r="H12" s="807">
        <f t="shared" ref="H12:O12" si="43">1.27*($C$12)</f>
        <v>1.5347197094807337</v>
      </c>
      <c r="I12" s="807">
        <f t="shared" si="43"/>
        <v>1.5347197094807337</v>
      </c>
      <c r="J12" s="807">
        <f t="shared" si="43"/>
        <v>1.5347197094807337</v>
      </c>
      <c r="K12" s="807">
        <f t="shared" si="43"/>
        <v>1.5347197094807337</v>
      </c>
      <c r="L12" s="807">
        <f t="shared" si="43"/>
        <v>1.5347197094807337</v>
      </c>
      <c r="M12" s="807">
        <f t="shared" si="43"/>
        <v>1.5347197094807337</v>
      </c>
      <c r="N12" s="807">
        <f t="shared" si="43"/>
        <v>1.5347197094807337</v>
      </c>
      <c r="O12" s="807">
        <f t="shared" si="43"/>
        <v>1.5347197094807337</v>
      </c>
      <c r="P12" s="807">
        <f>1.28*($C$12)</f>
        <v>1.5468041166419995</v>
      </c>
      <c r="Q12" s="807">
        <f>1.32*($C$12)</f>
        <v>1.595141745287062</v>
      </c>
      <c r="R12" s="807">
        <f>1.32*($C$12)</f>
        <v>1.595141745287062</v>
      </c>
      <c r="S12" s="807">
        <f>1.34*($C$12)</f>
        <v>1.6193105596095931</v>
      </c>
      <c r="T12" s="807">
        <f>1.34*($C$12)</f>
        <v>1.6193105596095931</v>
      </c>
      <c r="U12" s="807">
        <f>1.36*($C$12)</f>
        <v>1.6434793739321245</v>
      </c>
      <c r="V12" s="807">
        <f>1.36*($C$12)</f>
        <v>1.6434793739321245</v>
      </c>
      <c r="W12" s="807">
        <f>1.38*($C$12)</f>
        <v>1.6676481882546554</v>
      </c>
      <c r="X12" s="807">
        <f>1.4*($C$12)</f>
        <v>1.6918170025771868</v>
      </c>
      <c r="Y12" s="807">
        <f>1.46*($C$12)</f>
        <v>1.7643234455447805</v>
      </c>
      <c r="Z12" s="807">
        <f>1.48*($C$12)</f>
        <v>1.7884922598673119</v>
      </c>
      <c r="AA12" s="807">
        <f>1.48*($C$12)</f>
        <v>1.7884922598673119</v>
      </c>
      <c r="AB12" s="807">
        <f>1.51*($C$12)</f>
        <v>1.8247454813511086</v>
      </c>
      <c r="AC12" s="807">
        <f>1.52*($C$12)</f>
        <v>1.8368298885123742</v>
      </c>
      <c r="AD12" s="807">
        <f>1.62*($C$12)</f>
        <v>1.9576739601250306</v>
      </c>
      <c r="AE12" s="807">
        <f>1.72*($C$12)</f>
        <v>2.0785180317376866</v>
      </c>
      <c r="AF12" s="807">
        <f>1.82*($C$12)</f>
        <v>2.1993621033503428</v>
      </c>
      <c r="AG12" s="807">
        <f>1.91*($C$12)</f>
        <v>2.3081217678017332</v>
      </c>
      <c r="AH12" s="807">
        <f>2.01*($C$12)</f>
        <v>2.4289658394143894</v>
      </c>
      <c r="AI12" s="807">
        <f>2.11*($C$12)</f>
        <v>2.5498099110270456</v>
      </c>
      <c r="AJ12" s="807">
        <f>2.2*($C$12)</f>
        <v>2.6585695754784364</v>
      </c>
      <c r="AK12" s="807">
        <f>2.3*($C$12)</f>
        <v>2.7794136470910926</v>
      </c>
      <c r="AL12" s="807">
        <f>2.4*($C$12)</f>
        <v>2.9002577187037488</v>
      </c>
      <c r="AM12" s="807">
        <f>2.5*($C$12)</f>
        <v>3.021101790316405</v>
      </c>
      <c r="AN12" s="807">
        <f>2.57*($C$12)</f>
        <v>3.1056926404452643</v>
      </c>
      <c r="AO12" s="807">
        <f>2.64*($C$12)</f>
        <v>3.190283490574124</v>
      </c>
      <c r="AP12" s="807">
        <f>2.71*($C$12)</f>
        <v>3.2748743407029832</v>
      </c>
      <c r="AQ12" s="807">
        <f>2.78*($C$12)</f>
        <v>3.359465190831842</v>
      </c>
      <c r="AR12" s="807">
        <f>2.85*($C$12)</f>
        <v>3.4440560409607017</v>
      </c>
      <c r="AS12" s="807">
        <f>2.92*($C$12)</f>
        <v>3.528646891089561</v>
      </c>
      <c r="AT12" s="807">
        <f>2.99*($C$12)</f>
        <v>3.6132377412184207</v>
      </c>
      <c r="AU12" s="807">
        <f>3.07*($C$12)</f>
        <v>3.7099129985085453</v>
      </c>
      <c r="AV12" s="807">
        <f>3.14*($C$12)</f>
        <v>3.794503848637405</v>
      </c>
      <c r="AW12" s="807">
        <f>3.21*($C$12)</f>
        <v>3.8790946987662642</v>
      </c>
      <c r="AX12" s="807">
        <f>3.28*($C$12)</f>
        <v>3.963685548895123</v>
      </c>
      <c r="AY12" s="807">
        <f>3.35*($C$12)</f>
        <v>4.0482763990239832</v>
      </c>
      <c r="AZ12" s="807">
        <f>3.42*($C$12)</f>
        <v>4.1328672491528424</v>
      </c>
      <c r="BA12" s="807">
        <f>3.49*($C$12)</f>
        <v>4.2174580992817017</v>
      </c>
      <c r="BB12" s="807">
        <f>3.56*($C$12)</f>
        <v>4.3020489494105609</v>
      </c>
      <c r="BC12" s="807">
        <f>3.64*($C$12)</f>
        <v>4.3987242067006855</v>
      </c>
      <c r="BD12" s="807">
        <f>3.71*($C$12)</f>
        <v>4.4833150568295448</v>
      </c>
      <c r="BE12" s="807">
        <f>3.78*($C$12)</f>
        <v>4.567905906958404</v>
      </c>
      <c r="BF12" s="807">
        <f>3.85*($C$12)</f>
        <v>4.6524967570872642</v>
      </c>
      <c r="BG12" s="807">
        <f>3.92*($C$12)</f>
        <v>4.7370876072161234</v>
      </c>
      <c r="BH12" s="807">
        <f>3.99*($C$12)</f>
        <v>4.8216784573449827</v>
      </c>
      <c r="BI12" s="807">
        <f>4.06*($C$12)</f>
        <v>4.906269307473841</v>
      </c>
      <c r="BJ12" s="807">
        <f>4.14*($C$12)</f>
        <v>5.0029445647639665</v>
      </c>
      <c r="BK12" s="807">
        <f>4.21*($C$12)</f>
        <v>5.0875354148928258</v>
      </c>
      <c r="BL12" s="807">
        <f>4.28*($C$12)</f>
        <v>5.1721262650216859</v>
      </c>
      <c r="BM12" s="807">
        <f>4.35*($C$12)</f>
        <v>5.2567171151505443</v>
      </c>
      <c r="BN12" s="807">
        <f>4.42*($C$12)</f>
        <v>5.3413079652794044</v>
      </c>
      <c r="BO12" s="807">
        <f>4.49*($C$12)</f>
        <v>5.4258988154082637</v>
      </c>
      <c r="BP12" s="807">
        <f>4.56*($C$12)</f>
        <v>5.5104896655371221</v>
      </c>
      <c r="BQ12" s="807">
        <f>4.63*($C$12)</f>
        <v>5.5950805156659822</v>
      </c>
      <c r="BR12" s="807">
        <f>4.71*($C$12)</f>
        <v>5.6917557729561068</v>
      </c>
      <c r="BS12" s="807">
        <f>4.78*($C$12)</f>
        <v>5.7763466230849669</v>
      </c>
      <c r="BT12" s="807">
        <f>4.85*($C$12)</f>
        <v>5.8609374732138253</v>
      </c>
      <c r="BU12" s="807">
        <f>4.92*($C$12)</f>
        <v>5.9455283233426854</v>
      </c>
      <c r="BV12" s="808">
        <f>4.99*($C$12)</f>
        <v>6.0301191734715447</v>
      </c>
      <c r="BW12" s="1077">
        <f>+BV12*BW$138/BV$138</f>
        <v>6.0446132076616896</v>
      </c>
      <c r="BX12" s="1077">
        <f t="shared" ref="BX12:CZ12" si="44">+BW12*BX$138/BW$138</f>
        <v>6.0591420798079438</v>
      </c>
      <c r="BY12" s="1077">
        <f t="shared" si="44"/>
        <v>6.0737058736470511</v>
      </c>
      <c r="BZ12" s="1077">
        <f t="shared" si="44"/>
        <v>6.0883046731170198</v>
      </c>
      <c r="CA12" s="1077">
        <f t="shared" si="44"/>
        <v>6.1029385623576156</v>
      </c>
      <c r="CB12" s="1077">
        <f t="shared" si="44"/>
        <v>6.1157485681116217</v>
      </c>
      <c r="CC12" s="1077">
        <f t="shared" si="44"/>
        <v>6.1285854619369617</v>
      </c>
      <c r="CD12" s="1077">
        <f t="shared" si="44"/>
        <v>6.1414493002714252</v>
      </c>
      <c r="CE12" s="1077">
        <f t="shared" si="44"/>
        <v>6.1543401396712598</v>
      </c>
      <c r="CF12" s="1077">
        <f t="shared" si="44"/>
        <v>6.167258036811428</v>
      </c>
      <c r="CG12" s="1077">
        <f t="shared" si="44"/>
        <v>6.183149548139812</v>
      </c>
      <c r="CH12" s="1077">
        <f t="shared" si="44"/>
        <v>6.1990820079952069</v>
      </c>
      <c r="CI12" s="1077">
        <f t="shared" si="44"/>
        <v>6.215055521891923</v>
      </c>
      <c r="CJ12" s="1077">
        <f t="shared" si="44"/>
        <v>6.2310701956161552</v>
      </c>
      <c r="CK12" s="1077">
        <f t="shared" si="44"/>
        <v>6.2471261352266838</v>
      </c>
      <c r="CL12" s="1077">
        <f t="shared" si="44"/>
        <v>6.2604975997429575</v>
      </c>
      <c r="CM12" s="1077">
        <f t="shared" si="44"/>
        <v>6.2738976847896071</v>
      </c>
      <c r="CN12" s="1077">
        <f t="shared" si="44"/>
        <v>6.2873264516265444</v>
      </c>
      <c r="CO12" s="1077">
        <f t="shared" si="44"/>
        <v>6.3007839616448056</v>
      </c>
      <c r="CP12" s="1077">
        <f t="shared" si="44"/>
        <v>6.3142702763668277</v>
      </c>
      <c r="CQ12" s="1077">
        <f t="shared" si="44"/>
        <v>6.326614172551615</v>
      </c>
      <c r="CR12" s="1077">
        <f t="shared" si="44"/>
        <v>6.3389822000716718</v>
      </c>
      <c r="CS12" s="1077">
        <f t="shared" si="44"/>
        <v>6.3513744061018391</v>
      </c>
      <c r="CT12" s="1077">
        <f t="shared" si="44"/>
        <v>6.3637908379091801</v>
      </c>
      <c r="CU12" s="1077">
        <f t="shared" si="44"/>
        <v>6.376231542853164</v>
      </c>
      <c r="CV12" s="1077">
        <f t="shared" si="44"/>
        <v>6.3909193633613004</v>
      </c>
      <c r="CW12" s="1077">
        <f t="shared" si="44"/>
        <v>6.4056410176582252</v>
      </c>
      <c r="CX12" s="1077">
        <f t="shared" si="44"/>
        <v>6.4203965836809767</v>
      </c>
      <c r="CY12" s="1077">
        <f t="shared" si="44"/>
        <v>6.4351861395461265</v>
      </c>
      <c r="CZ12" s="1077">
        <f t="shared" si="44"/>
        <v>6.450009763550189</v>
      </c>
    </row>
    <row r="13" spans="1:104" x14ac:dyDescent="0.25">
      <c r="A13" s="806" t="str">
        <f>'HyARC Physical Property Data'!A86</f>
        <v>Woody Biomass B2A</v>
      </c>
      <c r="B13" s="254">
        <v>2007</v>
      </c>
      <c r="C13" s="726">
        <f>VLOOKUP(ref_year,DeflatorTable,2,FALSE)/VLOOKUP(B13,DeflatorTable,2,FALSE)</f>
        <v>1.1413971588333081</v>
      </c>
      <c r="D13" s="1030" t="str">
        <f>+'HyARC Physical Property Data'!$H$86</f>
        <v>kg</v>
      </c>
      <c r="E13" s="747" t="s">
        <v>1034</v>
      </c>
      <c r="F13" s="254">
        <f>'HyARC Physical Property Data'!$E$45</f>
        <v>19.551069237418005</v>
      </c>
      <c r="G13" s="254">
        <f>'HyARC Physical Property Data'!$I$45</f>
        <v>20.588656379262464</v>
      </c>
      <c r="H13" s="807">
        <f>3.80872262322035*($C$13)</f>
        <v>4.3472651809278515</v>
      </c>
      <c r="I13" s="807">
        <f>3.80872262322035*($C$13)</f>
        <v>4.3472651809278515</v>
      </c>
      <c r="J13" s="807">
        <f>3.80872262322035*($C$13)</f>
        <v>4.3472651809278515</v>
      </c>
      <c r="K13" s="807">
        <f>3.80872262322035*($C$13)</f>
        <v>4.3472651809278515</v>
      </c>
      <c r="L13" s="807">
        <f>3.58036841709093*($C$13)</f>
        <v>4.0866223388440961</v>
      </c>
      <c r="M13" s="807">
        <f>3.28153451771169*($C$13)</f>
        <v>3.7455341751295528</v>
      </c>
      <c r="N13" s="807">
        <f>3.05599949931226*($C$13)</f>
        <v>3.4881091459110256</v>
      </c>
      <c r="O13" s="807">
        <f>2.9206784882726*($C$13)</f>
        <v>3.3336541283799068</v>
      </c>
      <c r="P13" s="807">
        <f t="shared" ref="P13:BV13" si="45">2.85865635821276*($C$13)</f>
        <v>3.2628622453448157</v>
      </c>
      <c r="Q13" s="807">
        <f t="shared" si="45"/>
        <v>3.2628622453448157</v>
      </c>
      <c r="R13" s="807">
        <f t="shared" si="45"/>
        <v>3.2628622453448157</v>
      </c>
      <c r="S13" s="807">
        <f t="shared" si="45"/>
        <v>3.2628622453448157</v>
      </c>
      <c r="T13" s="807">
        <f t="shared" si="45"/>
        <v>3.2628622453448157</v>
      </c>
      <c r="U13" s="807">
        <f t="shared" si="45"/>
        <v>3.2628622453448157</v>
      </c>
      <c r="V13" s="807">
        <f t="shared" si="45"/>
        <v>3.2628622453448157</v>
      </c>
      <c r="W13" s="807">
        <f t="shared" si="45"/>
        <v>3.2628622453448157</v>
      </c>
      <c r="X13" s="807">
        <f t="shared" si="45"/>
        <v>3.2628622453448157</v>
      </c>
      <c r="Y13" s="807">
        <f t="shared" si="45"/>
        <v>3.2628622453448157</v>
      </c>
      <c r="Z13" s="807">
        <f t="shared" si="45"/>
        <v>3.2628622453448157</v>
      </c>
      <c r="AA13" s="807">
        <f t="shared" si="45"/>
        <v>3.2628622453448157</v>
      </c>
      <c r="AB13" s="807">
        <f t="shared" si="45"/>
        <v>3.2628622453448157</v>
      </c>
      <c r="AC13" s="807">
        <f t="shared" si="45"/>
        <v>3.2628622453448157</v>
      </c>
      <c r="AD13" s="807">
        <f t="shared" si="45"/>
        <v>3.2628622453448157</v>
      </c>
      <c r="AE13" s="807">
        <f t="shared" si="45"/>
        <v>3.2628622453448157</v>
      </c>
      <c r="AF13" s="807">
        <f t="shared" si="45"/>
        <v>3.2628622453448157</v>
      </c>
      <c r="AG13" s="807">
        <f t="shared" si="45"/>
        <v>3.2628622453448157</v>
      </c>
      <c r="AH13" s="807">
        <f t="shared" si="45"/>
        <v>3.2628622453448157</v>
      </c>
      <c r="AI13" s="807">
        <f t="shared" si="45"/>
        <v>3.2628622453448157</v>
      </c>
      <c r="AJ13" s="807">
        <f t="shared" si="45"/>
        <v>3.2628622453448157</v>
      </c>
      <c r="AK13" s="807">
        <f t="shared" si="45"/>
        <v>3.2628622453448157</v>
      </c>
      <c r="AL13" s="807">
        <f t="shared" si="45"/>
        <v>3.2628622453448157</v>
      </c>
      <c r="AM13" s="807">
        <f t="shared" si="45"/>
        <v>3.2628622453448157</v>
      </c>
      <c r="AN13" s="807">
        <f t="shared" si="45"/>
        <v>3.2628622453448157</v>
      </c>
      <c r="AO13" s="807">
        <f t="shared" si="45"/>
        <v>3.2628622453448157</v>
      </c>
      <c r="AP13" s="807">
        <f t="shared" si="45"/>
        <v>3.2628622453448157</v>
      </c>
      <c r="AQ13" s="807">
        <f t="shared" si="45"/>
        <v>3.2628622453448157</v>
      </c>
      <c r="AR13" s="807">
        <f t="shared" si="45"/>
        <v>3.2628622453448157</v>
      </c>
      <c r="AS13" s="807">
        <f t="shared" si="45"/>
        <v>3.2628622453448157</v>
      </c>
      <c r="AT13" s="807">
        <f t="shared" si="45"/>
        <v>3.2628622453448157</v>
      </c>
      <c r="AU13" s="807">
        <f t="shared" si="45"/>
        <v>3.2628622453448157</v>
      </c>
      <c r="AV13" s="807">
        <f t="shared" si="45"/>
        <v>3.2628622453448157</v>
      </c>
      <c r="AW13" s="807">
        <f t="shared" si="45"/>
        <v>3.2628622453448157</v>
      </c>
      <c r="AX13" s="807">
        <f t="shared" si="45"/>
        <v>3.2628622453448157</v>
      </c>
      <c r="AY13" s="807">
        <f t="shared" si="45"/>
        <v>3.2628622453448157</v>
      </c>
      <c r="AZ13" s="807">
        <f t="shared" si="45"/>
        <v>3.2628622453448157</v>
      </c>
      <c r="BA13" s="807">
        <f t="shared" si="45"/>
        <v>3.2628622453448157</v>
      </c>
      <c r="BB13" s="807">
        <f t="shared" si="45"/>
        <v>3.2628622453448157</v>
      </c>
      <c r="BC13" s="807">
        <f t="shared" si="45"/>
        <v>3.2628622453448157</v>
      </c>
      <c r="BD13" s="807">
        <f t="shared" si="45"/>
        <v>3.2628622453448157</v>
      </c>
      <c r="BE13" s="807">
        <f t="shared" si="45"/>
        <v>3.2628622453448157</v>
      </c>
      <c r="BF13" s="807">
        <f t="shared" si="45"/>
        <v>3.2628622453448157</v>
      </c>
      <c r="BG13" s="807">
        <f t="shared" si="45"/>
        <v>3.2628622453448157</v>
      </c>
      <c r="BH13" s="807">
        <f t="shared" si="45"/>
        <v>3.2628622453448157</v>
      </c>
      <c r="BI13" s="807">
        <f t="shared" si="45"/>
        <v>3.2628622453448157</v>
      </c>
      <c r="BJ13" s="807">
        <f t="shared" si="45"/>
        <v>3.2628622453448157</v>
      </c>
      <c r="BK13" s="807">
        <f t="shared" si="45"/>
        <v>3.2628622453448157</v>
      </c>
      <c r="BL13" s="807">
        <f t="shared" si="45"/>
        <v>3.2628622453448157</v>
      </c>
      <c r="BM13" s="807">
        <f t="shared" si="45"/>
        <v>3.2628622453448157</v>
      </c>
      <c r="BN13" s="807">
        <f t="shared" si="45"/>
        <v>3.2628622453448157</v>
      </c>
      <c r="BO13" s="807">
        <f t="shared" si="45"/>
        <v>3.2628622453448157</v>
      </c>
      <c r="BP13" s="807">
        <f t="shared" si="45"/>
        <v>3.2628622453448157</v>
      </c>
      <c r="BQ13" s="807">
        <f t="shared" si="45"/>
        <v>3.2628622453448157</v>
      </c>
      <c r="BR13" s="807">
        <f t="shared" si="45"/>
        <v>3.2628622453448157</v>
      </c>
      <c r="BS13" s="807">
        <f t="shared" si="45"/>
        <v>3.2628622453448157</v>
      </c>
      <c r="BT13" s="807">
        <f t="shared" si="45"/>
        <v>3.2628622453448157</v>
      </c>
      <c r="BU13" s="807">
        <f t="shared" si="45"/>
        <v>3.2628622453448157</v>
      </c>
      <c r="BV13" s="808">
        <f t="shared" si="45"/>
        <v>3.2628622453448157</v>
      </c>
      <c r="BW13" s="1077">
        <f>+BV13*BW$138/BV$138</f>
        <v>3.2707048825433991</v>
      </c>
      <c r="BX13" s="1077">
        <f t="shared" ref="BX13:CZ13" si="46">+BW13*BX$138/BW$138</f>
        <v>3.2785663703564443</v>
      </c>
      <c r="BY13" s="1077">
        <f t="shared" si="46"/>
        <v>3.2864467540934128</v>
      </c>
      <c r="BZ13" s="1077">
        <f t="shared" si="46"/>
        <v>3.2943460791726715</v>
      </c>
      <c r="CA13" s="1077">
        <f t="shared" si="46"/>
        <v>3.3022643911217555</v>
      </c>
      <c r="CB13" s="1077">
        <f t="shared" si="46"/>
        <v>3.3091958103748405</v>
      </c>
      <c r="CC13" s="1077">
        <f t="shared" si="46"/>
        <v>3.3161417786061929</v>
      </c>
      <c r="CD13" s="1077">
        <f t="shared" si="46"/>
        <v>3.323102326353971</v>
      </c>
      <c r="CE13" s="1077">
        <f t="shared" si="46"/>
        <v>3.3300774842204302</v>
      </c>
      <c r="CF13" s="1077">
        <f t="shared" si="46"/>
        <v>3.3370672828720607</v>
      </c>
      <c r="CG13" s="1077">
        <f t="shared" si="46"/>
        <v>3.3456660867834271</v>
      </c>
      <c r="CH13" s="1077">
        <f t="shared" si="46"/>
        <v>3.3542870477034605</v>
      </c>
      <c r="CI13" s="1077">
        <f t="shared" si="46"/>
        <v>3.3629302227253368</v>
      </c>
      <c r="CJ13" s="1077">
        <f t="shared" si="46"/>
        <v>3.3715956690893476</v>
      </c>
      <c r="CK13" s="1077">
        <f t="shared" si="46"/>
        <v>3.3802834441832799</v>
      </c>
      <c r="CL13" s="1077">
        <f t="shared" si="46"/>
        <v>3.3875186654915184</v>
      </c>
      <c r="CM13" s="1077">
        <f t="shared" si="46"/>
        <v>3.3947693732014868</v>
      </c>
      <c r="CN13" s="1077">
        <f t="shared" si="46"/>
        <v>3.4020356004605672</v>
      </c>
      <c r="CO13" s="1077">
        <f t="shared" si="46"/>
        <v>3.4093173804870895</v>
      </c>
      <c r="CP13" s="1077">
        <f t="shared" si="46"/>
        <v>3.416614746570485</v>
      </c>
      <c r="CQ13" s="1077">
        <f t="shared" si="46"/>
        <v>3.4232939566595637</v>
      </c>
      <c r="CR13" s="1077">
        <f t="shared" si="46"/>
        <v>3.4299862240731356</v>
      </c>
      <c r="CS13" s="1077">
        <f t="shared" si="46"/>
        <v>3.4366915743372313</v>
      </c>
      <c r="CT13" s="1077">
        <f t="shared" si="46"/>
        <v>3.4434100330277828</v>
      </c>
      <c r="CU13" s="1077">
        <f t="shared" si="46"/>
        <v>3.4501416257707223</v>
      </c>
      <c r="CV13" s="1077">
        <f t="shared" si="46"/>
        <v>3.4580891196135033</v>
      </c>
      <c r="CW13" s="1077">
        <f t="shared" si="46"/>
        <v>3.466054920721676</v>
      </c>
      <c r="CX13" s="1077">
        <f t="shared" si="46"/>
        <v>3.474039071266517</v>
      </c>
      <c r="CY13" s="1077">
        <f t="shared" si="46"/>
        <v>3.4820416135164467</v>
      </c>
      <c r="CZ13" s="1077">
        <f t="shared" si="46"/>
        <v>3.490062589837251</v>
      </c>
    </row>
    <row r="14" spans="1:104" x14ac:dyDescent="0.25">
      <c r="A14" s="806" t="str">
        <f>'HyARC Physical Property Data'!$A$87</f>
        <v>Woody Biomass MYPP</v>
      </c>
      <c r="B14" s="254">
        <v>2007</v>
      </c>
      <c r="C14" s="726">
        <f>VLOOKUP(ref_year,DeflatorTable,2,FALSE)/VLOOKUP(B14,DeflatorTable,2,FALSE)</f>
        <v>1.1413971588333081</v>
      </c>
      <c r="D14" s="1030" t="str">
        <f>+'HyARC Physical Property Data'!$H$87</f>
        <v>kg</v>
      </c>
      <c r="E14" s="747" t="s">
        <v>1034</v>
      </c>
      <c r="F14" s="254">
        <v>18.608000000000001</v>
      </c>
      <c r="G14" s="254"/>
      <c r="H14" s="254">
        <f>4.44432502149613*$C$14</f>
        <v>5.0727399524674635</v>
      </c>
      <c r="I14" s="254">
        <f t="shared" ref="I14:N14" si="47">4.44432502149613*$C$14</f>
        <v>5.0727399524674635</v>
      </c>
      <c r="J14" s="254">
        <f t="shared" si="47"/>
        <v>5.0727399524674635</v>
      </c>
      <c r="K14" s="254">
        <f t="shared" si="47"/>
        <v>5.0727399524674635</v>
      </c>
      <c r="L14" s="254">
        <f t="shared" si="47"/>
        <v>5.0727399524674635</v>
      </c>
      <c r="M14" s="254">
        <f t="shared" si="47"/>
        <v>5.0727399524674635</v>
      </c>
      <c r="N14" s="254">
        <f t="shared" si="47"/>
        <v>5.0727399524674635</v>
      </c>
      <c r="O14" s="807">
        <f t="shared" ref="O14:T14" si="48">N14-($N$14-$U$14)/7</f>
        <v>4.9524277749801975</v>
      </c>
      <c r="P14" s="807">
        <f t="shared" si="48"/>
        <v>4.8321155974929315</v>
      </c>
      <c r="Q14" s="807">
        <f t="shared" si="48"/>
        <v>4.7118034200056655</v>
      </c>
      <c r="R14" s="807">
        <f t="shared" si="48"/>
        <v>4.5914912425183996</v>
      </c>
      <c r="S14" s="807">
        <f t="shared" si="48"/>
        <v>4.4711790650311336</v>
      </c>
      <c r="T14" s="807">
        <f t="shared" si="48"/>
        <v>4.3508668875438676</v>
      </c>
      <c r="U14" s="807">
        <f>3.70647033533964*$C$14</f>
        <v>4.2305547100566034</v>
      </c>
      <c r="V14" s="807">
        <f t="shared" ref="V14:BV14" si="49">3.70647033533964*$C$14</f>
        <v>4.2305547100566034</v>
      </c>
      <c r="W14" s="807">
        <f t="shared" si="49"/>
        <v>4.2305547100566034</v>
      </c>
      <c r="X14" s="807">
        <f t="shared" si="49"/>
        <v>4.2305547100566034</v>
      </c>
      <c r="Y14" s="807">
        <f t="shared" si="49"/>
        <v>4.2305547100566034</v>
      </c>
      <c r="Z14" s="807">
        <f t="shared" si="49"/>
        <v>4.2305547100566034</v>
      </c>
      <c r="AA14" s="807">
        <f t="shared" si="49"/>
        <v>4.2305547100566034</v>
      </c>
      <c r="AB14" s="807">
        <f t="shared" si="49"/>
        <v>4.2305547100566034</v>
      </c>
      <c r="AC14" s="807">
        <f t="shared" si="49"/>
        <v>4.2305547100566034</v>
      </c>
      <c r="AD14" s="807">
        <f t="shared" si="49"/>
        <v>4.2305547100566034</v>
      </c>
      <c r="AE14" s="807">
        <f t="shared" si="49"/>
        <v>4.2305547100566034</v>
      </c>
      <c r="AF14" s="807">
        <f t="shared" si="49"/>
        <v>4.2305547100566034</v>
      </c>
      <c r="AG14" s="807">
        <f t="shared" si="49"/>
        <v>4.2305547100566034</v>
      </c>
      <c r="AH14" s="807">
        <f t="shared" si="49"/>
        <v>4.2305547100566034</v>
      </c>
      <c r="AI14" s="807">
        <f t="shared" si="49"/>
        <v>4.2305547100566034</v>
      </c>
      <c r="AJ14" s="807">
        <f t="shared" si="49"/>
        <v>4.2305547100566034</v>
      </c>
      <c r="AK14" s="807">
        <f t="shared" si="49"/>
        <v>4.2305547100566034</v>
      </c>
      <c r="AL14" s="807">
        <f t="shared" si="49"/>
        <v>4.2305547100566034</v>
      </c>
      <c r="AM14" s="807">
        <f t="shared" si="49"/>
        <v>4.2305547100566034</v>
      </c>
      <c r="AN14" s="807">
        <f t="shared" si="49"/>
        <v>4.2305547100566034</v>
      </c>
      <c r="AO14" s="807">
        <f t="shared" si="49"/>
        <v>4.2305547100566034</v>
      </c>
      <c r="AP14" s="807">
        <f t="shared" si="49"/>
        <v>4.2305547100566034</v>
      </c>
      <c r="AQ14" s="807">
        <f t="shared" si="49"/>
        <v>4.2305547100566034</v>
      </c>
      <c r="AR14" s="807">
        <f t="shared" si="49"/>
        <v>4.2305547100566034</v>
      </c>
      <c r="AS14" s="807">
        <f t="shared" si="49"/>
        <v>4.2305547100566034</v>
      </c>
      <c r="AT14" s="807">
        <f t="shared" si="49"/>
        <v>4.2305547100566034</v>
      </c>
      <c r="AU14" s="807">
        <f t="shared" si="49"/>
        <v>4.2305547100566034</v>
      </c>
      <c r="AV14" s="807">
        <f t="shared" si="49"/>
        <v>4.2305547100566034</v>
      </c>
      <c r="AW14" s="807">
        <f t="shared" si="49"/>
        <v>4.2305547100566034</v>
      </c>
      <c r="AX14" s="807">
        <f t="shared" si="49"/>
        <v>4.2305547100566034</v>
      </c>
      <c r="AY14" s="807">
        <f t="shared" si="49"/>
        <v>4.2305547100566034</v>
      </c>
      <c r="AZ14" s="807">
        <f t="shared" si="49"/>
        <v>4.2305547100566034</v>
      </c>
      <c r="BA14" s="807">
        <f t="shared" si="49"/>
        <v>4.2305547100566034</v>
      </c>
      <c r="BB14" s="807">
        <f t="shared" si="49"/>
        <v>4.2305547100566034</v>
      </c>
      <c r="BC14" s="807">
        <f t="shared" si="49"/>
        <v>4.2305547100566034</v>
      </c>
      <c r="BD14" s="807">
        <f t="shared" si="49"/>
        <v>4.2305547100566034</v>
      </c>
      <c r="BE14" s="807">
        <f t="shared" si="49"/>
        <v>4.2305547100566034</v>
      </c>
      <c r="BF14" s="807">
        <f t="shared" si="49"/>
        <v>4.2305547100566034</v>
      </c>
      <c r="BG14" s="807">
        <f t="shared" si="49"/>
        <v>4.2305547100566034</v>
      </c>
      <c r="BH14" s="807">
        <f t="shared" si="49"/>
        <v>4.2305547100566034</v>
      </c>
      <c r="BI14" s="807">
        <f t="shared" si="49"/>
        <v>4.2305547100566034</v>
      </c>
      <c r="BJ14" s="807">
        <f t="shared" si="49"/>
        <v>4.2305547100566034</v>
      </c>
      <c r="BK14" s="807">
        <f t="shared" si="49"/>
        <v>4.2305547100566034</v>
      </c>
      <c r="BL14" s="807">
        <f t="shared" si="49"/>
        <v>4.2305547100566034</v>
      </c>
      <c r="BM14" s="807">
        <f t="shared" si="49"/>
        <v>4.2305547100566034</v>
      </c>
      <c r="BN14" s="807">
        <f t="shared" si="49"/>
        <v>4.2305547100566034</v>
      </c>
      <c r="BO14" s="807">
        <f t="shared" si="49"/>
        <v>4.2305547100566034</v>
      </c>
      <c r="BP14" s="807">
        <f t="shared" si="49"/>
        <v>4.2305547100566034</v>
      </c>
      <c r="BQ14" s="807">
        <f t="shared" si="49"/>
        <v>4.2305547100566034</v>
      </c>
      <c r="BR14" s="807">
        <f t="shared" si="49"/>
        <v>4.2305547100566034</v>
      </c>
      <c r="BS14" s="807">
        <f t="shared" si="49"/>
        <v>4.2305547100566034</v>
      </c>
      <c r="BT14" s="807">
        <f t="shared" si="49"/>
        <v>4.2305547100566034</v>
      </c>
      <c r="BU14" s="807">
        <f t="shared" si="49"/>
        <v>4.2305547100566034</v>
      </c>
      <c r="BV14" s="807">
        <f t="shared" si="49"/>
        <v>4.2305547100566034</v>
      </c>
      <c r="BW14" s="1077">
        <f>+BV14*BW$138/BV$138</f>
        <v>4.2407232992414734</v>
      </c>
      <c r="BX14" s="1077">
        <f t="shared" ref="BX14:CZ14" si="50">+BW14*BX$138/BW$138</f>
        <v>4.2509163297143298</v>
      </c>
      <c r="BY14" s="1077">
        <f t="shared" si="50"/>
        <v>4.2611338602224134</v>
      </c>
      <c r="BZ14" s="1077">
        <f t="shared" si="50"/>
        <v>4.2713759496541703</v>
      </c>
      <c r="CA14" s="1077">
        <f t="shared" si="50"/>
        <v>4.2816426570395922</v>
      </c>
      <c r="CB14" s="1077">
        <f t="shared" si="50"/>
        <v>4.2906297812770164</v>
      </c>
      <c r="CC14" s="1077">
        <f t="shared" si="50"/>
        <v>4.2996357693964899</v>
      </c>
      <c r="CD14" s="1077">
        <f t="shared" si="50"/>
        <v>4.3086606609931088</v>
      </c>
      <c r="CE14" s="1077">
        <f t="shared" si="50"/>
        <v>4.3177044957450779</v>
      </c>
      <c r="CF14" s="1077">
        <f t="shared" si="50"/>
        <v>4.3267673134138871</v>
      </c>
      <c r="CG14" s="1077">
        <f t="shared" si="50"/>
        <v>4.3379163315619822</v>
      </c>
      <c r="CH14" s="1077">
        <f t="shared" si="50"/>
        <v>4.3490940779953462</v>
      </c>
      <c r="CI14" s="1077">
        <f t="shared" si="50"/>
        <v>4.3603006267397229</v>
      </c>
      <c r="CJ14" s="1077">
        <f t="shared" si="50"/>
        <v>4.3715360520116029</v>
      </c>
      <c r="CK14" s="1077">
        <f t="shared" si="50"/>
        <v>4.3828004282187161</v>
      </c>
      <c r="CL14" s="1077">
        <f t="shared" si="50"/>
        <v>4.3921814554525627</v>
      </c>
      <c r="CM14" s="1077">
        <f t="shared" si="50"/>
        <v>4.4015825620108968</v>
      </c>
      <c r="CN14" s="1077">
        <f t="shared" si="50"/>
        <v>4.4110037908718764</v>
      </c>
      <c r="CO14" s="1077">
        <f t="shared" si="50"/>
        <v>4.4204451851056508</v>
      </c>
      <c r="CP14" s="1077">
        <f t="shared" si="50"/>
        <v>4.4299067878745575</v>
      </c>
      <c r="CQ14" s="1077">
        <f t="shared" si="50"/>
        <v>4.4385669033121991</v>
      </c>
      <c r="CR14" s="1077">
        <f t="shared" si="50"/>
        <v>4.4472439485867392</v>
      </c>
      <c r="CS14" s="1077">
        <f t="shared" si="50"/>
        <v>4.4559379567946618</v>
      </c>
      <c r="CT14" s="1077">
        <f t="shared" si="50"/>
        <v>4.4646489610971525</v>
      </c>
      <c r="CU14" s="1077">
        <f t="shared" si="50"/>
        <v>4.4733769947202253</v>
      </c>
      <c r="CV14" s="1077">
        <f t="shared" si="50"/>
        <v>4.4836815387008029</v>
      </c>
      <c r="CW14" s="1077">
        <f t="shared" si="50"/>
        <v>4.494009819475032</v>
      </c>
      <c r="CX14" s="1077">
        <f t="shared" si="50"/>
        <v>4.5043618917212536</v>
      </c>
      <c r="CY14" s="1077">
        <f t="shared" si="50"/>
        <v>4.5147378102437621</v>
      </c>
      <c r="CZ14" s="1077">
        <f t="shared" si="50"/>
        <v>4.525137629973095</v>
      </c>
    </row>
    <row r="15" spans="1:104" x14ac:dyDescent="0.25">
      <c r="A15" s="812" t="str">
        <f>'HyARC Physical Property Data'!A79</f>
        <v>Electric Utility Steam Coal</v>
      </c>
      <c r="B15" s="254">
        <v>2007</v>
      </c>
      <c r="C15" s="726">
        <f>VLOOKUP(ref_year,DeflatorTable,2,FALSE)/VLOOKUP(B15,DeflatorTable,2,FALSE)</f>
        <v>1.1413971588333081</v>
      </c>
      <c r="D15" s="1030" t="str">
        <f>+'HyARC Physical Property Data'!$H$79</f>
        <v>kg</v>
      </c>
      <c r="E15" s="747" t="s">
        <v>1034</v>
      </c>
      <c r="F15" s="254">
        <f>'HyARC Physical Property Data'!E42</f>
        <v>22.7322030001394</v>
      </c>
      <c r="G15" s="254">
        <f>'HyARC Physical Property Data'!I42</f>
        <v>23.967615189707661</v>
      </c>
      <c r="H15" s="254">
        <f>1.73552525043488*($C$15/mmBTU_to_GJ*$G$15/$F$15)</f>
        <v>1.9796962563875427</v>
      </c>
      <c r="I15" s="254">
        <f>1.73552525043488*($C$15/mmBTU_to_GJ*$G$15/$F$15)</f>
        <v>1.9796962563875427</v>
      </c>
      <c r="J15" s="254">
        <f>1.73552525043488*($C$15/mmBTU_to_GJ*$G$15/$F$15)</f>
        <v>1.9796962563875427</v>
      </c>
      <c r="K15" s="254">
        <f>1.78000020980835*($C$15/mmBTU_to_GJ*$G$15/$F$15)</f>
        <v>2.0304283967309829</v>
      </c>
      <c r="L15" s="254">
        <f>1.9310736656189*($C$15/mmBTU_to_GJ*$G$15/$F$15)</f>
        <v>2.2027563734243398</v>
      </c>
      <c r="M15" s="254">
        <f>1.98230564594269*($C$15/mmBTU_to_GJ*$G$15/$F$15)</f>
        <v>2.2611961798339055</v>
      </c>
      <c r="N15" s="254">
        <f>1.86225914955139*($C$15/mmBTU_to_GJ*$G$15/$F$15)</f>
        <v>2.1242603447380195</v>
      </c>
      <c r="O15" s="254">
        <f>1.87335216999054*($C$15/mmBTU_to_GJ*$G$15/$F$15)</f>
        <v>2.1369140419572981</v>
      </c>
      <c r="P15" s="254">
        <f>1.85759365558624*($C$15/mmBTU_to_GJ*$G$15/$F$15)</f>
        <v>2.1189384625385577</v>
      </c>
      <c r="Q15" s="254">
        <f>1.88174879550934*($C$15/mmBTU_to_GJ*$G$15/$F$15)</f>
        <v>2.1464919885194074</v>
      </c>
      <c r="R15" s="254">
        <f>1.90431761741638*($C$15/mmBTU_to_GJ*$G$15/$F$15)</f>
        <v>2.1722360174404782</v>
      </c>
      <c r="S15" s="254">
        <f>1.90719401836395*($C$15/mmBTU_to_GJ*$G$15/$F$15)</f>
        <v>2.1755170991685295</v>
      </c>
      <c r="T15" s="254">
        <f>1.91704928874969*($C$15/mmBTU_to_GJ*$G$15/$F$15)</f>
        <v>2.1867589073090032</v>
      </c>
      <c r="U15" s="254">
        <f>1.92595064640045*($C$15/mmBTU_to_GJ*$G$15/$F$15)</f>
        <v>2.1969125967546401</v>
      </c>
      <c r="V15" s="254">
        <f>1.94080138206482*($C$15/mmBTU_to_GJ*$G$15/$F$15)</f>
        <v>2.2138526820642528</v>
      </c>
      <c r="W15" s="254">
        <f>1.94636797904968*($C$15/mmBTU_to_GJ*$G$15/$F$15)</f>
        <v>2.2202024434457042</v>
      </c>
      <c r="X15" s="254">
        <f>1.95628917217255*($C$15/mmBTU_to_GJ*$G$15/$F$15)</f>
        <v>2.2315194489916172</v>
      </c>
      <c r="Y15" s="254">
        <f>1.96225011348724*($C$15/mmBTU_to_GJ*$G$15/$F$15)</f>
        <v>2.2383190349972262</v>
      </c>
      <c r="Z15" s="254">
        <f>1.97535526752472*($C$15/mmBTU_to_GJ*$G$15/$F$15)</f>
        <v>2.2532679528426334</v>
      </c>
      <c r="AA15" s="254">
        <f>1.98115420341492*($C$15/mmBTU_to_GJ*$G$15/$F$15)</f>
        <v>2.259882740884458</v>
      </c>
      <c r="AB15" s="254">
        <f>1.98549652099609*($C$15/mmBTU_to_GJ*$G$15/$F$15)</f>
        <v>2.264835979022211</v>
      </c>
      <c r="AC15" s="254">
        <f>1.98988306522369*($C$15/mmBTU_to_GJ*$G$15/$F$15)</f>
        <v>2.2698396660522224</v>
      </c>
      <c r="AD15" s="254">
        <f>1.99634909629822*($C$15/mmBTU_to_GJ*$G$15/$F$15)</f>
        <v>2.277215402883896</v>
      </c>
      <c r="AE15" s="254">
        <f>2.00744533538818*($C$15/mmBTU_to_GJ*$G$15/$F$15)</f>
        <v>2.2898727715858902</v>
      </c>
      <c r="AF15" s="254">
        <f>2.02021908760071*($C$15/mmBTU_to_GJ*$G$15/$F$15)</f>
        <v>2.3044436626915257</v>
      </c>
      <c r="AG15" s="254">
        <f>2.03361201286316*($C$15/mmBTU_to_GJ*$G$15/$F$15)</f>
        <v>2.3197208382886583</v>
      </c>
      <c r="AH15" s="254">
        <f>2.04451942443848*($C$15/mmBTU_to_GJ*$G$15/$F$15)</f>
        <v>2.3321628133374963</v>
      </c>
      <c r="AI15" s="254">
        <f>(($BB$15-$AH$15)/20+AH15)</f>
        <v>2.3372909448097223</v>
      </c>
      <c r="AJ15" s="254">
        <f t="shared" ref="AJ15:BA15" si="51">(($BB$15-$AH$15)/20+AI15)</f>
        <v>2.3424190762819483</v>
      </c>
      <c r="AK15" s="254">
        <f t="shared" si="51"/>
        <v>2.3475472077541744</v>
      </c>
      <c r="AL15" s="254">
        <f t="shared" si="51"/>
        <v>2.3526753392264004</v>
      </c>
      <c r="AM15" s="254">
        <f t="shared" si="51"/>
        <v>2.3578034706986264</v>
      </c>
      <c r="AN15" s="254">
        <f t="shared" si="51"/>
        <v>2.3629316021708524</v>
      </c>
      <c r="AO15" s="254">
        <f t="shared" si="51"/>
        <v>2.3680597336430784</v>
      </c>
      <c r="AP15" s="254">
        <f t="shared" si="51"/>
        <v>2.3731878651153044</v>
      </c>
      <c r="AQ15" s="254">
        <f t="shared" si="51"/>
        <v>2.3783159965875305</v>
      </c>
      <c r="AR15" s="254">
        <f t="shared" si="51"/>
        <v>2.3834441280597565</v>
      </c>
      <c r="AS15" s="254">
        <f t="shared" si="51"/>
        <v>2.3885722595319825</v>
      </c>
      <c r="AT15" s="254">
        <f t="shared" si="51"/>
        <v>2.3937003910042085</v>
      </c>
      <c r="AU15" s="254">
        <f t="shared" si="51"/>
        <v>2.3988285224764345</v>
      </c>
      <c r="AV15" s="254">
        <f t="shared" si="51"/>
        <v>2.4039566539486605</v>
      </c>
      <c r="AW15" s="254">
        <f t="shared" si="51"/>
        <v>2.4090847854208866</v>
      </c>
      <c r="AX15" s="254">
        <f t="shared" si="51"/>
        <v>2.4142129168931126</v>
      </c>
      <c r="AY15" s="254">
        <f t="shared" si="51"/>
        <v>2.4193410483653386</v>
      </c>
      <c r="AZ15" s="254">
        <f t="shared" si="51"/>
        <v>2.4244691798375646</v>
      </c>
      <c r="BA15" s="254">
        <f t="shared" si="51"/>
        <v>2.4295973113097906</v>
      </c>
      <c r="BB15" s="859">
        <f>(1.04397747398165*AH15)</f>
        <v>2.434725442782018</v>
      </c>
      <c r="BC15" s="254">
        <f>(($BQ$15-$BB$15)/15+BB15)</f>
        <v>2.4393430815285027</v>
      </c>
      <c r="BD15" s="254">
        <f t="shared" ref="BD15:BP15" si="52">(($BQ$15-$BB$15)/15+BC15)</f>
        <v>2.4439607202749873</v>
      </c>
      <c r="BE15" s="254">
        <f t="shared" si="52"/>
        <v>2.448578359021472</v>
      </c>
      <c r="BF15" s="254">
        <f t="shared" si="52"/>
        <v>2.4531959977679567</v>
      </c>
      <c r="BG15" s="254">
        <f t="shared" si="52"/>
        <v>2.4578136365144414</v>
      </c>
      <c r="BH15" s="254">
        <f t="shared" si="52"/>
        <v>2.4624312752609261</v>
      </c>
      <c r="BI15" s="254">
        <f t="shared" si="52"/>
        <v>2.4670489140074108</v>
      </c>
      <c r="BJ15" s="254">
        <f t="shared" si="52"/>
        <v>2.4716665527538955</v>
      </c>
      <c r="BK15" s="254">
        <f t="shared" si="52"/>
        <v>2.4762841915003801</v>
      </c>
      <c r="BL15" s="254">
        <f t="shared" si="52"/>
        <v>2.4809018302468648</v>
      </c>
      <c r="BM15" s="254">
        <f t="shared" si="52"/>
        <v>2.4855194689933495</v>
      </c>
      <c r="BN15" s="254">
        <f t="shared" si="52"/>
        <v>2.4901371077398342</v>
      </c>
      <c r="BO15" s="254">
        <f t="shared" si="52"/>
        <v>2.4947547464863189</v>
      </c>
      <c r="BP15" s="254">
        <f t="shared" si="52"/>
        <v>2.4993723852328036</v>
      </c>
      <c r="BQ15" s="859">
        <f>(1.02844862093285*BB15)</f>
        <v>2.5039900239792892</v>
      </c>
      <c r="BR15" s="254">
        <f>(($BV$15-$BQ$15)/5+BQ15)</f>
        <v>2.5087390281800759</v>
      </c>
      <c r="BS15" s="254">
        <f>(($BV$15-$BQ$15)/5+BR15)</f>
        <v>2.5134880323808626</v>
      </c>
      <c r="BT15" s="254">
        <f>(($BV$15-$BQ$15)/5+BS15)</f>
        <v>2.5182370365816493</v>
      </c>
      <c r="BU15" s="254">
        <f>(($BV$15-$BQ$15)/5+BT15)</f>
        <v>2.522986040782436</v>
      </c>
      <c r="BV15" s="862">
        <f>(1.00948287364428*BQ15)</f>
        <v>2.5277350449832223</v>
      </c>
      <c r="BW15" s="1077">
        <f>+BV15*BW$139/BV$139</f>
        <v>2.536281204043199</v>
      </c>
      <c r="BX15" s="1077">
        <f t="shared" ref="BX15:CZ15" si="53">+BW15*BX$139/BW$139</f>
        <v>2.5448562572844797</v>
      </c>
      <c r="BY15" s="1077">
        <f t="shared" si="53"/>
        <v>2.5534603023969979</v>
      </c>
      <c r="BZ15" s="1077">
        <f t="shared" si="53"/>
        <v>2.5620934374009732</v>
      </c>
      <c r="CA15" s="1077">
        <f t="shared" si="53"/>
        <v>2.5707557606480269</v>
      </c>
      <c r="CB15" s="1077">
        <f t="shared" si="53"/>
        <v>2.5781162379988212</v>
      </c>
      <c r="CC15" s="1077">
        <f t="shared" si="53"/>
        <v>2.585497789551864</v>
      </c>
      <c r="CD15" s="1077">
        <f t="shared" si="53"/>
        <v>2.5929004756459051</v>
      </c>
      <c r="CE15" s="1077">
        <f t="shared" si="53"/>
        <v>2.6003243567924534</v>
      </c>
      <c r="CF15" s="1077">
        <f t="shared" si="53"/>
        <v>2.6077694936762716</v>
      </c>
      <c r="CG15" s="1077">
        <f t="shared" si="53"/>
        <v>2.6134538634410465</v>
      </c>
      <c r="CH15" s="1077">
        <f t="shared" si="53"/>
        <v>2.6191506238943774</v>
      </c>
      <c r="CI15" s="1077">
        <f t="shared" si="53"/>
        <v>2.6248598020452683</v>
      </c>
      <c r="CJ15" s="1077">
        <f t="shared" si="53"/>
        <v>2.6305814249615964</v>
      </c>
      <c r="CK15" s="1077">
        <f t="shared" si="53"/>
        <v>2.6363155197702408</v>
      </c>
      <c r="CL15" s="1077">
        <f t="shared" si="53"/>
        <v>2.640202757935151</v>
      </c>
      <c r="CM15" s="1077">
        <f t="shared" si="53"/>
        <v>2.6440957278193635</v>
      </c>
      <c r="CN15" s="1077">
        <f t="shared" si="53"/>
        <v>2.6479944378742784</v>
      </c>
      <c r="CO15" s="1077">
        <f t="shared" si="53"/>
        <v>2.6518988965637571</v>
      </c>
      <c r="CP15" s="1077">
        <f t="shared" si="53"/>
        <v>2.6558091123641421</v>
      </c>
      <c r="CQ15" s="1077">
        <f t="shared" si="53"/>
        <v>2.6571185824873536</v>
      </c>
      <c r="CR15" s="1077">
        <f t="shared" si="53"/>
        <v>2.6584286982563667</v>
      </c>
      <c r="CS15" s="1077">
        <f t="shared" si="53"/>
        <v>2.659739459989523</v>
      </c>
      <c r="CT15" s="1077">
        <f t="shared" si="53"/>
        <v>2.6610508680053204</v>
      </c>
      <c r="CU15" s="1077">
        <f t="shared" si="53"/>
        <v>2.6623629226224148</v>
      </c>
      <c r="CV15" s="1077">
        <f t="shared" si="53"/>
        <v>2.6604772171816178</v>
      </c>
      <c r="CW15" s="1077">
        <f t="shared" si="53"/>
        <v>2.6585928473532499</v>
      </c>
      <c r="CX15" s="1077">
        <f t="shared" si="53"/>
        <v>2.6567098121913197</v>
      </c>
      <c r="CY15" s="1077">
        <f t="shared" si="53"/>
        <v>2.6548281107505058</v>
      </c>
      <c r="CZ15" s="1077">
        <f t="shared" si="53"/>
        <v>2.6529477420861576</v>
      </c>
    </row>
    <row r="16" spans="1:104" x14ac:dyDescent="0.25">
      <c r="A16" s="806" t="str">
        <f>'HyARC Physical Property Data'!A76</f>
        <v>Commercial Electricity</v>
      </c>
      <c r="B16" s="254">
        <v>2007</v>
      </c>
      <c r="C16" s="726">
        <f t="shared" si="37"/>
        <v>1.1413971588333081</v>
      </c>
      <c r="D16" s="1030" t="str">
        <f>'HyARC Physical Property Data'!$H$76</f>
        <v>kWh</v>
      </c>
      <c r="E16" s="726" t="s">
        <v>1053</v>
      </c>
      <c r="F16" s="726"/>
      <c r="G16" s="726"/>
      <c r="H16" s="254">
        <f>(28.3762531280518/(mmBTU_to_GJ))*($C$16)</f>
        <v>30.700070804448433</v>
      </c>
      <c r="I16" s="254">
        <f>(28.3762531280518/(mmBTU_to_GJ))*($C$16)</f>
        <v>30.700070804448433</v>
      </c>
      <c r="J16" s="254">
        <f>(28.3762531280518/(mmBTU_to_GJ))*($C$16)</f>
        <v>30.700070804448433</v>
      </c>
      <c r="K16" s="254">
        <f>(28.0297355651855/(mmBTU_to_GJ))*($C$16)</f>
        <v>30.325175864409157</v>
      </c>
      <c r="L16" s="254">
        <f>(29.057315826416/(mmBTU_to_GJ))*($C$16)</f>
        <v>31.436907798666674</v>
      </c>
      <c r="M16" s="254">
        <f>(27.6067714691162/(mmBTU_to_GJ))*($C$16)</f>
        <v>29.867573952047074</v>
      </c>
      <c r="N16" s="254">
        <f>(24.8355846405029/(mmBTU_to_GJ))*($C$16)</f>
        <v>26.869446205340434</v>
      </c>
      <c r="O16" s="254">
        <f>(25.5812511444092/(mmBTU_to_GJ))*($C$16)</f>
        <v>27.676177607232201</v>
      </c>
      <c r="P16" s="254">
        <f>(25.4402256011963/(mmBTU_to_GJ))*($C$16)</f>
        <v>27.523603053349618</v>
      </c>
      <c r="Q16" s="254">
        <f>(25.4701290130615/(mmBTU_to_GJ))*($C$16)</f>
        <v>27.555955346565124</v>
      </c>
      <c r="R16" s="254">
        <f>(25.6722831726074/(mmBTU_to_GJ))*($C$16)</f>
        <v>27.774664525097851</v>
      </c>
      <c r="S16" s="254">
        <f>(25.7632827758789/(mmBTU_to_GJ))*($C$16)</f>
        <v>27.87311636266093</v>
      </c>
      <c r="T16" s="254">
        <f>(26.1006698608398/(mmBTU_to_GJ))*($C$16)</f>
        <v>28.238133102188346</v>
      </c>
      <c r="U16" s="254">
        <f>(26.4680442810059/(mmBTU_to_GJ))*($C$16)</f>
        <v>28.635592931008837</v>
      </c>
      <c r="V16" s="254">
        <f>(26.885612487793/(mmBTU_to_GJ))*($C$16)</f>
        <v>29.087357068303547</v>
      </c>
      <c r="W16" s="254">
        <f>(27.1694507598877/(mmBTU_to_GJ))*($C$16)</f>
        <v>29.394439719807853</v>
      </c>
      <c r="X16" s="254">
        <f>(27.6201095581055/(mmBTU_to_GJ))*($C$16)</f>
        <v>29.882004337712146</v>
      </c>
      <c r="Y16" s="254">
        <f>(28.0024471282958/(mmBTU_to_GJ))*($C$16)</f>
        <v>30.29565269442346</v>
      </c>
      <c r="Z16" s="254">
        <f>(28.2454071044922/(mmBTU_to_GJ))*($C$16)</f>
        <v>30.558509402045058</v>
      </c>
      <c r="AA16" s="254">
        <f>(28.1863746643066/(mmBTU_to_GJ))*($C$16)</f>
        <v>30.494642615782649</v>
      </c>
      <c r="AB16" s="254">
        <f>(28.2032489776611/(mmBTU_to_GJ))*($C$16)</f>
        <v>30.512898817981785</v>
      </c>
      <c r="AC16" s="254">
        <f>(28.1397113800049/(mmBTU_to_GJ))*($C$16)</f>
        <v>30.444157933200852</v>
      </c>
      <c r="AD16" s="254">
        <f>(28.178466796875/(mmBTU_to_GJ))*($C$16)</f>
        <v>30.486087149034912</v>
      </c>
      <c r="AE16" s="254">
        <f>(28.4951820373535/(mmBTU_to_GJ))*($C$16)</f>
        <v>30.828739163860856</v>
      </c>
      <c r="AF16" s="254">
        <f>(28.9155654907227/(mmBTU_to_GJ))*($C$16)</f>
        <v>31.283549096842975</v>
      </c>
      <c r="AG16" s="254">
        <f>(29.2894115447998/(mmBTU_to_GJ))*($C$16)</f>
        <v>31.688010541359226</v>
      </c>
      <c r="AH16" s="254">
        <f>(29.6516952514648/(mmBTU_to_GJ))*($C$16)</f>
        <v>32.079962762666369</v>
      </c>
      <c r="AI16" s="254">
        <f t="shared" ref="AI16:BA18" si="54">($BB16-$AH16)/20+AH16</f>
        <v>32.070504288889573</v>
      </c>
      <c r="AJ16" s="254">
        <f t="shared" si="54"/>
        <v>32.061045815112777</v>
      </c>
      <c r="AK16" s="254">
        <f t="shared" si="54"/>
        <v>32.051587341335981</v>
      </c>
      <c r="AL16" s="254">
        <f t="shared" si="54"/>
        <v>32.042128867559185</v>
      </c>
      <c r="AM16" s="254">
        <f t="shared" si="54"/>
        <v>32.032670393782389</v>
      </c>
      <c r="AN16" s="254">
        <f t="shared" si="54"/>
        <v>32.023211920005593</v>
      </c>
      <c r="AO16" s="254">
        <f t="shared" si="54"/>
        <v>32.013753446228797</v>
      </c>
      <c r="AP16" s="254">
        <f t="shared" si="54"/>
        <v>32.004294972452001</v>
      </c>
      <c r="AQ16" s="254">
        <f t="shared" si="54"/>
        <v>31.994836498675209</v>
      </c>
      <c r="AR16" s="254">
        <f t="shared" si="54"/>
        <v>31.985378024898417</v>
      </c>
      <c r="AS16" s="254">
        <f t="shared" si="54"/>
        <v>31.975919551121624</v>
      </c>
      <c r="AT16" s="254">
        <f t="shared" si="54"/>
        <v>31.966461077344832</v>
      </c>
      <c r="AU16" s="254">
        <f t="shared" si="54"/>
        <v>31.957002603568039</v>
      </c>
      <c r="AV16" s="254">
        <f t="shared" si="54"/>
        <v>31.947544129791247</v>
      </c>
      <c r="AW16" s="254">
        <f t="shared" si="54"/>
        <v>31.938085656014454</v>
      </c>
      <c r="AX16" s="254">
        <f t="shared" si="54"/>
        <v>31.928627182237662</v>
      </c>
      <c r="AY16" s="254">
        <f t="shared" si="54"/>
        <v>31.91916870846087</v>
      </c>
      <c r="AZ16" s="254">
        <f t="shared" si="54"/>
        <v>31.909710234684077</v>
      </c>
      <c r="BA16" s="254">
        <f t="shared" si="54"/>
        <v>31.900251760907285</v>
      </c>
      <c r="BB16" s="859">
        <f>0.994103189054944*AH16</f>
        <v>31.890793287130489</v>
      </c>
      <c r="BC16" s="254">
        <f t="shared" ref="BC16:BP18" si="55">($BQ16-$BB16)/15+BB16</f>
        <v>31.911051832953525</v>
      </c>
      <c r="BD16" s="254">
        <f t="shared" si="55"/>
        <v>31.931310378776562</v>
      </c>
      <c r="BE16" s="254">
        <f t="shared" si="55"/>
        <v>31.951568924599599</v>
      </c>
      <c r="BF16" s="254">
        <f t="shared" si="55"/>
        <v>31.971827470422635</v>
      </c>
      <c r="BG16" s="254">
        <f t="shared" si="55"/>
        <v>31.992086016245672</v>
      </c>
      <c r="BH16" s="254">
        <f t="shared" si="55"/>
        <v>32.012344562068712</v>
      </c>
      <c r="BI16" s="254">
        <f t="shared" si="55"/>
        <v>32.032603107891752</v>
      </c>
      <c r="BJ16" s="254">
        <f t="shared" si="55"/>
        <v>32.052861653714793</v>
      </c>
      <c r="BK16" s="254">
        <f t="shared" si="55"/>
        <v>32.073120199537833</v>
      </c>
      <c r="BL16" s="254">
        <f t="shared" si="55"/>
        <v>32.093378745360873</v>
      </c>
      <c r="BM16" s="254">
        <f t="shared" si="55"/>
        <v>32.113637291183913</v>
      </c>
      <c r="BN16" s="254">
        <f t="shared" si="55"/>
        <v>32.133895837006953</v>
      </c>
      <c r="BO16" s="254">
        <f t="shared" si="55"/>
        <v>32.154154382829994</v>
      </c>
      <c r="BP16" s="254">
        <f t="shared" si="55"/>
        <v>32.174412928653034</v>
      </c>
      <c r="BQ16" s="859">
        <f>1.00952871208344*BB16</f>
        <v>32.194671474476053</v>
      </c>
      <c r="BR16" s="254">
        <f t="shared" ref="BR16:BU18" si="56">($BV16-$BQ16)/5+BQ16</f>
        <v>32.215123058149487</v>
      </c>
      <c r="BS16" s="254">
        <f t="shared" si="56"/>
        <v>32.235574641822922</v>
      </c>
      <c r="BT16" s="254">
        <f t="shared" si="56"/>
        <v>32.256026225496356</v>
      </c>
      <c r="BU16" s="254">
        <f t="shared" si="56"/>
        <v>32.276477809169791</v>
      </c>
      <c r="BV16" s="862">
        <f>1.00317623736115*BQ16</f>
        <v>32.296929392843232</v>
      </c>
      <c r="BW16" s="1077">
        <f>+BV16*BW$140/BV$140</f>
        <v>32.282708933053591</v>
      </c>
      <c r="BX16" s="1077">
        <f t="shared" ref="BX16:CZ16" si="57">+BW16*BX$140/BW$140</f>
        <v>32.268494734586014</v>
      </c>
      <c r="BY16" s="1077">
        <f t="shared" si="57"/>
        <v>32.254286794683622</v>
      </c>
      <c r="BZ16" s="1077">
        <f t="shared" si="57"/>
        <v>32.240085110590741</v>
      </c>
      <c r="CA16" s="1077">
        <f t="shared" si="57"/>
        <v>32.225889679552914</v>
      </c>
      <c r="CB16" s="1077">
        <f t="shared" si="57"/>
        <v>32.20007724517788</v>
      </c>
      <c r="CC16" s="1077">
        <f t="shared" si="57"/>
        <v>32.174285486159683</v>
      </c>
      <c r="CD16" s="1077">
        <f t="shared" si="57"/>
        <v>32.148514385937681</v>
      </c>
      <c r="CE16" s="1077">
        <f t="shared" si="57"/>
        <v>32.122763927964499</v>
      </c>
      <c r="CF16" s="1077">
        <f t="shared" si="57"/>
        <v>32.097034095706015</v>
      </c>
      <c r="CG16" s="1077">
        <f t="shared" si="57"/>
        <v>32.061589809857011</v>
      </c>
      <c r="CH16" s="1077">
        <f t="shared" si="57"/>
        <v>32.026184664615073</v>
      </c>
      <c r="CI16" s="1077">
        <f t="shared" si="57"/>
        <v>31.990818616757792</v>
      </c>
      <c r="CJ16" s="1077">
        <f t="shared" si="57"/>
        <v>31.9554916231105</v>
      </c>
      <c r="CK16" s="1077">
        <f t="shared" si="57"/>
        <v>31.920203640546202</v>
      </c>
      <c r="CL16" s="1077">
        <f t="shared" si="57"/>
        <v>31.881731115497008</v>
      </c>
      <c r="CM16" s="1077">
        <f t="shared" si="57"/>
        <v>31.843304960301854</v>
      </c>
      <c r="CN16" s="1077">
        <f t="shared" si="57"/>
        <v>31.804925119072454</v>
      </c>
      <c r="CO16" s="1077">
        <f t="shared" si="57"/>
        <v>31.766591535987885</v>
      </c>
      <c r="CP16" s="1077">
        <f t="shared" si="57"/>
        <v>31.728304155294506</v>
      </c>
      <c r="CQ16" s="1077">
        <f t="shared" si="57"/>
        <v>31.683957370716094</v>
      </c>
      <c r="CR16" s="1077">
        <f t="shared" si="57"/>
        <v>31.639672569825585</v>
      </c>
      <c r="CS16" s="1077">
        <f t="shared" si="57"/>
        <v>31.59544966598812</v>
      </c>
      <c r="CT16" s="1077">
        <f t="shared" si="57"/>
        <v>31.551288572689923</v>
      </c>
      <c r="CU16" s="1077">
        <f t="shared" si="57"/>
        <v>31.50718920353814</v>
      </c>
      <c r="CV16" s="1077">
        <f t="shared" si="57"/>
        <v>31.46414036817173</v>
      </c>
      <c r="CW16" s="1077">
        <f t="shared" si="57"/>
        <v>31.421150351197987</v>
      </c>
      <c r="CX16" s="1077">
        <f t="shared" si="57"/>
        <v>31.378219072252289</v>
      </c>
      <c r="CY16" s="1077">
        <f t="shared" si="57"/>
        <v>31.335346451079825</v>
      </c>
      <c r="CZ16" s="1077">
        <f t="shared" si="57"/>
        <v>31.292532407535425</v>
      </c>
    </row>
    <row r="17" spans="1:104" x14ac:dyDescent="0.25">
      <c r="A17" s="806" t="str">
        <f>'HyARC Physical Property Data'!A77</f>
        <v>Industrial Electricity</v>
      </c>
      <c r="B17" s="254">
        <v>2007</v>
      </c>
      <c r="C17" s="726">
        <f t="shared" si="37"/>
        <v>1.1413971588333081</v>
      </c>
      <c r="D17" s="806" t="str">
        <f>'HyARC Physical Property Data'!$H$77</f>
        <v>kWh</v>
      </c>
      <c r="E17" s="726" t="s">
        <v>1053</v>
      </c>
      <c r="F17" s="726"/>
      <c r="G17" s="726"/>
      <c r="H17" s="254">
        <f>(18.4008941650391/(mmBTU_to_GJ))*($C$17)</f>
        <v>19.907799355419932</v>
      </c>
      <c r="I17" s="254">
        <f>(18.4008941650391/(mmBTU_to_GJ))*($C$17)</f>
        <v>19.907799355419932</v>
      </c>
      <c r="J17" s="254">
        <f>(18.4008941650391/(mmBTU_to_GJ))*($C$17)</f>
        <v>19.907799355419932</v>
      </c>
      <c r="K17" s="254">
        <f>(18.6226921081543/(mmBTU_to_GJ))*($C$17)</f>
        <v>20.147761006705959</v>
      </c>
      <c r="L17" s="254">
        <f>(20.3344097137451/(mmBTU_to_GJ))*($C$17)</f>
        <v>21.999656373290122</v>
      </c>
      <c r="M17" s="254">
        <f>(19.1594867706299/(mmBTU_to_GJ))*($C$17)</f>
        <v>20.728515416778507</v>
      </c>
      <c r="N17" s="254">
        <f>(16.8281726837158/(mmBTU_to_GJ))*($C$17)</f>
        <v>18.206282928482938</v>
      </c>
      <c r="O17" s="254">
        <f>(17.2643089294434/(mmBTU_to_GJ))*($C$17)</f>
        <v>18.678135697902565</v>
      </c>
      <c r="P17" s="254">
        <f>(17.1560707092285/(mmBTU_to_GJ))*($C$17)</f>
        <v>18.561033520622512</v>
      </c>
      <c r="Q17" s="254">
        <f>(17.0836048126221/(mmBTU_to_GJ))*($C$17)</f>
        <v>18.482633171334495</v>
      </c>
      <c r="R17" s="254">
        <f>(17.1988334655762/(mmBTU_to_GJ))*($C$17)</f>
        <v>18.607298249152503</v>
      </c>
      <c r="S17" s="254">
        <f>(17.3181438446045/(mmBTU_to_GJ))*($C$17)</f>
        <v>18.736379318007696</v>
      </c>
      <c r="T17" s="254">
        <f>(17.6150741577148/(mmBTU_to_GJ))*($C$17)</f>
        <v>19.057626157586448</v>
      </c>
      <c r="U17" s="254">
        <f>(17.9101543426514/(mmBTU_to_GJ))*($C$17)</f>
        <v>19.376871356368099</v>
      </c>
      <c r="V17" s="254">
        <f>(18.2101707458496/(mmBTU_to_GJ))*($C$17)</f>
        <v>19.701457015338534</v>
      </c>
      <c r="W17" s="254">
        <f>(18.456880569458/(mmBTU_to_GJ))*($C$17)</f>
        <v>19.968370656782042</v>
      </c>
      <c r="X17" s="254">
        <f>(18.8030014038086/(mmBTU_to_GJ))*($C$17)</f>
        <v>20.342836379000801</v>
      </c>
      <c r="Y17" s="254">
        <f>(19.0852069854736/(mmBTU_to_GJ))*($C$17)</f>
        <v>20.648152634090209</v>
      </c>
      <c r="Z17" s="254">
        <f>(19.30615234375/(mmBTU_to_GJ))*($C$17)</f>
        <v>20.887191879771816</v>
      </c>
      <c r="AA17" s="254">
        <f>(19.3043308258057/(mmBTU_to_GJ))*($C$17)</f>
        <v>20.885221192182819</v>
      </c>
      <c r="AB17" s="254">
        <f>(19.3253479003906/(mmBTU_to_GJ))*($C$17)</f>
        <v>20.90795941892992</v>
      </c>
      <c r="AC17" s="254">
        <f>(19.3248138427734/(mmBTU_to_GJ))*($C$17)</f>
        <v>20.907381625710087</v>
      </c>
      <c r="AD17" s="254">
        <f>(19.3542194366455/(mmBTU_to_GJ))*($C$17)</f>
        <v>20.939195333102905</v>
      </c>
      <c r="AE17" s="254">
        <f>(19.6148834228516/(mmBTU_to_GJ))*($C$17)</f>
        <v>21.221205885961488</v>
      </c>
      <c r="AF17" s="254">
        <f>(19.97239112854/(mmBTU_to_GJ))*($C$17)</f>
        <v>21.607990985045614</v>
      </c>
      <c r="AG17" s="254">
        <f>(20.29469871521/(mmBTU_to_GJ))*($C$17)</f>
        <v>21.956693320302069</v>
      </c>
      <c r="AH17" s="254">
        <f>(20.5609893798828/(mmBTU_to_GJ))*($C$17)</f>
        <v>22.244791337440805</v>
      </c>
      <c r="AI17" s="254">
        <f t="shared" si="54"/>
        <v>22.238232670989351</v>
      </c>
      <c r="AJ17" s="254">
        <f t="shared" si="54"/>
        <v>22.231674004537897</v>
      </c>
      <c r="AK17" s="254">
        <f t="shared" si="54"/>
        <v>22.225115338086443</v>
      </c>
      <c r="AL17" s="254">
        <f t="shared" si="54"/>
        <v>22.218556671634989</v>
      </c>
      <c r="AM17" s="254">
        <f t="shared" si="54"/>
        <v>22.211998005183535</v>
      </c>
      <c r="AN17" s="254">
        <f t="shared" si="54"/>
        <v>22.205439338732081</v>
      </c>
      <c r="AO17" s="254">
        <f t="shared" si="54"/>
        <v>22.198880672280627</v>
      </c>
      <c r="AP17" s="254">
        <f t="shared" si="54"/>
        <v>22.192322005829173</v>
      </c>
      <c r="AQ17" s="254">
        <f t="shared" si="54"/>
        <v>22.185763339377718</v>
      </c>
      <c r="AR17" s="254">
        <f t="shared" si="54"/>
        <v>22.179204672926264</v>
      </c>
      <c r="AS17" s="254">
        <f t="shared" si="54"/>
        <v>22.17264600647481</v>
      </c>
      <c r="AT17" s="254">
        <f t="shared" si="54"/>
        <v>22.166087340023356</v>
      </c>
      <c r="AU17" s="254">
        <f t="shared" si="54"/>
        <v>22.159528673571902</v>
      </c>
      <c r="AV17" s="254">
        <f t="shared" si="54"/>
        <v>22.152970007120448</v>
      </c>
      <c r="AW17" s="254">
        <f t="shared" si="54"/>
        <v>22.146411340668994</v>
      </c>
      <c r="AX17" s="254">
        <f t="shared" si="54"/>
        <v>22.13985267421754</v>
      </c>
      <c r="AY17" s="254">
        <f t="shared" si="54"/>
        <v>22.133294007766086</v>
      </c>
      <c r="AZ17" s="254">
        <f t="shared" si="54"/>
        <v>22.126735341314632</v>
      </c>
      <c r="BA17" s="254">
        <f t="shared" si="54"/>
        <v>22.120176674863178</v>
      </c>
      <c r="BB17" s="859">
        <f>0.994103189054944*AH17</f>
        <v>22.113618008411699</v>
      </c>
      <c r="BC17" s="254">
        <f t="shared" si="55"/>
        <v>22.127665628353387</v>
      </c>
      <c r="BD17" s="254">
        <f t="shared" si="55"/>
        <v>22.141713248295076</v>
      </c>
      <c r="BE17" s="254">
        <f t="shared" si="55"/>
        <v>22.155760868236765</v>
      </c>
      <c r="BF17" s="254">
        <f t="shared" si="55"/>
        <v>22.169808488178454</v>
      </c>
      <c r="BG17" s="254">
        <f t="shared" si="55"/>
        <v>22.183856108120143</v>
      </c>
      <c r="BH17" s="254">
        <f t="shared" si="55"/>
        <v>22.197903728061831</v>
      </c>
      <c r="BI17" s="254">
        <f t="shared" si="55"/>
        <v>22.21195134800352</v>
      </c>
      <c r="BJ17" s="254">
        <f t="shared" si="55"/>
        <v>22.225998967945209</v>
      </c>
      <c r="BK17" s="254">
        <f t="shared" si="55"/>
        <v>22.240046587886898</v>
      </c>
      <c r="BL17" s="254">
        <f t="shared" si="55"/>
        <v>22.254094207828587</v>
      </c>
      <c r="BM17" s="254">
        <f t="shared" si="55"/>
        <v>22.268141827770275</v>
      </c>
      <c r="BN17" s="254">
        <f t="shared" si="55"/>
        <v>22.282189447711964</v>
      </c>
      <c r="BO17" s="254">
        <f t="shared" si="55"/>
        <v>22.296237067653653</v>
      </c>
      <c r="BP17" s="254">
        <f t="shared" si="55"/>
        <v>22.310284687595342</v>
      </c>
      <c r="BQ17" s="859">
        <f>1.00952871208344*BB17</f>
        <v>22.324332307537027</v>
      </c>
      <c r="BR17" s="254">
        <f t="shared" si="56"/>
        <v>22.338513783204611</v>
      </c>
      <c r="BS17" s="254">
        <f t="shared" si="56"/>
        <v>22.352695258872195</v>
      </c>
      <c r="BT17" s="254">
        <f t="shared" si="56"/>
        <v>22.36687673453978</v>
      </c>
      <c r="BU17" s="254">
        <f t="shared" si="56"/>
        <v>22.381058210207364</v>
      </c>
      <c r="BV17" s="862">
        <f>1.00317623736115*BQ17</f>
        <v>22.395239685874952</v>
      </c>
      <c r="BW17" s="1077">
        <f>+BV17*BW$141/BV$141</f>
        <v>22.402006623717899</v>
      </c>
      <c r="BX17" s="1077">
        <f t="shared" ref="BX17:CZ17" si="58">+BW17*BX$141/BW$141</f>
        <v>22.40877560625643</v>
      </c>
      <c r="BY17" s="1077">
        <f t="shared" si="58"/>
        <v>22.415546634108377</v>
      </c>
      <c r="BZ17" s="1077">
        <f t="shared" si="58"/>
        <v>22.422319707891749</v>
      </c>
      <c r="CA17" s="1077">
        <f t="shared" si="58"/>
        <v>22.429094828224738</v>
      </c>
      <c r="CB17" s="1077">
        <f t="shared" si="58"/>
        <v>22.426558269957198</v>
      </c>
      <c r="CC17" s="1077">
        <f t="shared" si="58"/>
        <v>22.424021998554906</v>
      </c>
      <c r="CD17" s="1077">
        <f t="shared" si="58"/>
        <v>22.421486013985415</v>
      </c>
      <c r="CE17" s="1077">
        <f t="shared" si="58"/>
        <v>22.418950316216293</v>
      </c>
      <c r="CF17" s="1077">
        <f t="shared" si="58"/>
        <v>22.416414905215102</v>
      </c>
      <c r="CG17" s="1077">
        <f t="shared" si="58"/>
        <v>22.406246620986774</v>
      </c>
      <c r="CH17" s="1077">
        <f t="shared" si="58"/>
        <v>22.39608294918218</v>
      </c>
      <c r="CI17" s="1077">
        <f t="shared" si="58"/>
        <v>22.385923887709083</v>
      </c>
      <c r="CJ17" s="1077">
        <f t="shared" si="58"/>
        <v>22.375769434476197</v>
      </c>
      <c r="CK17" s="1077">
        <f t="shared" si="58"/>
        <v>22.365619587393184</v>
      </c>
      <c r="CL17" s="1077">
        <f t="shared" si="58"/>
        <v>22.353167809865965</v>
      </c>
      <c r="CM17" s="1077">
        <f t="shared" si="58"/>
        <v>22.340722964709347</v>
      </c>
      <c r="CN17" s="1077">
        <f t="shared" si="58"/>
        <v>22.328285048063812</v>
      </c>
      <c r="CO17" s="1077">
        <f t="shared" si="58"/>
        <v>22.315854056072002</v>
      </c>
      <c r="CP17" s="1077">
        <f t="shared" si="58"/>
        <v>22.303429984878701</v>
      </c>
      <c r="CQ17" s="1077">
        <f t="shared" si="58"/>
        <v>22.286408389138984</v>
      </c>
      <c r="CR17" s="1077">
        <f t="shared" si="58"/>
        <v>22.269399783989581</v>
      </c>
      <c r="CS17" s="1077">
        <f t="shared" si="58"/>
        <v>22.252404159516296</v>
      </c>
      <c r="CT17" s="1077">
        <f t="shared" si="58"/>
        <v>22.2354215058125</v>
      </c>
      <c r="CU17" s="1077">
        <f t="shared" si="58"/>
        <v>22.218451812979119</v>
      </c>
      <c r="CV17" s="1077">
        <f t="shared" si="58"/>
        <v>22.202497084041635</v>
      </c>
      <c r="CW17" s="1077">
        <f t="shared" si="58"/>
        <v>22.186553811949913</v>
      </c>
      <c r="CX17" s="1077">
        <f t="shared" si="58"/>
        <v>22.17062198847697</v>
      </c>
      <c r="CY17" s="1077">
        <f t="shared" si="58"/>
        <v>22.154701605401723</v>
      </c>
      <c r="CZ17" s="1077">
        <f t="shared" si="58"/>
        <v>22.138792654509</v>
      </c>
    </row>
    <row r="18" spans="1:104" ht="13.8" thickBot="1" x14ac:dyDescent="0.3">
      <c r="A18" s="809" t="str">
        <f>'HyARC Physical Property Data'!A78</f>
        <v>Residential Electricity</v>
      </c>
      <c r="B18" s="732">
        <v>2007</v>
      </c>
      <c r="C18" s="733">
        <f t="shared" si="37"/>
        <v>1.1413971588333081</v>
      </c>
      <c r="D18" s="809" t="str">
        <f>'HyARC Physical Property Data'!$H$78</f>
        <v>kWh</v>
      </c>
      <c r="E18" s="733" t="s">
        <v>1053</v>
      </c>
      <c r="F18" s="732"/>
      <c r="G18" s="732"/>
      <c r="H18" s="732">
        <f>(31.2067794799805/(mmBTU_to_GJ))*($C$18)</f>
        <v>33.762397568518793</v>
      </c>
      <c r="I18" s="732">
        <f>(31.2067794799805/(mmBTU_to_GJ))*($C$18)</f>
        <v>33.762397568518793</v>
      </c>
      <c r="J18" s="732">
        <f>(31.2067794799805/(mmBTU_to_GJ))*($C$18)</f>
        <v>33.762397568518793</v>
      </c>
      <c r="K18" s="732">
        <f>(31.181957244873/(mmBTU_to_GJ))*($C$18)</f>
        <v>33.735542565080316</v>
      </c>
      <c r="L18" s="732">
        <f>(31.772819519043/(mmBTU_to_GJ))*($C$18)</f>
        <v>34.374792348018154</v>
      </c>
      <c r="M18" s="732">
        <f>(30.736837387085/(mmBTU_to_GJ))*($C$18)</f>
        <v>33.253970488284573</v>
      </c>
      <c r="N18" s="732">
        <f>(28.6163578033447/(mmBTU_to_GJ))*($C$18)</f>
        <v>30.959838381891004</v>
      </c>
      <c r="O18" s="732">
        <f>(29.8736190795898/(mmBTU_to_GJ))*($C$18)</f>
        <v>32.320060608068538</v>
      </c>
      <c r="P18" s="732">
        <f>(30.101655960083/(mmBTU_to_GJ))*($C$18)</f>
        <v>32.56677212229048</v>
      </c>
      <c r="Q18" s="732">
        <f>(30.4253902435303/(mmBTU_to_GJ))*($C$18)</f>
        <v>32.917017990862689</v>
      </c>
      <c r="R18" s="732">
        <f>(30.7938537597656/(mmBTU_to_GJ))*($C$18)</f>
        <v>33.315656105142033</v>
      </c>
      <c r="S18" s="732">
        <f>(30.8830280303955/(mmBTU_to_GJ))*($C$18)</f>
        <v>33.412133128021651</v>
      </c>
      <c r="T18" s="732">
        <f>(31.1491451263428/(mmBTU_to_GJ))*($C$18)</f>
        <v>33.700043362364035</v>
      </c>
      <c r="U18" s="732">
        <f>(31.4898681640625/(mmBTU_to_GJ))*($C$18)</f>
        <v>34.068669245968131</v>
      </c>
      <c r="V18" s="732">
        <f>(31.8156299591064/(mmBTU_to_GJ))*($C$18)</f>
        <v>34.42110866522836</v>
      </c>
      <c r="W18" s="732">
        <f>(32.0206985473633/(mmBTU_to_GJ))*($C$18)</f>
        <v>34.642970943903613</v>
      </c>
      <c r="X18" s="732">
        <f>(32.4303588867188/(mmBTU_to_GJ))*($C$18)</f>
        <v>35.086179614450586</v>
      </c>
      <c r="Y18" s="732">
        <f>(32.7907905578613/(mmBTU_to_GJ))*($C$18)</f>
        <v>35.476128131413226</v>
      </c>
      <c r="Z18" s="732">
        <f>(32.9940071105957/(mmBTU_to_GJ))*($C$18)</f>
        <v>35.695986705743984</v>
      </c>
      <c r="AA18" s="732">
        <f>(32.9234657287598/(mmBTU_to_GJ))*($C$18)</f>
        <v>35.61966847559453</v>
      </c>
      <c r="AB18" s="732">
        <f>(32.9201545715332/(mmBTU_to_GJ))*($C$18)</f>
        <v>35.616086157631599</v>
      </c>
      <c r="AC18" s="732">
        <f>(32.902271270752/(mmBTU_to_GJ))*($C$18)</f>
        <v>35.596738338956506</v>
      </c>
      <c r="AD18" s="732">
        <f>(32.9582405090332/(mmBTU_to_GJ))*($C$18)</f>
        <v>35.657291068393683</v>
      </c>
      <c r="AE18" s="732">
        <f>(33.321102142334/(mmBTU_to_GJ))*($C$18)</f>
        <v>36.049868544506616</v>
      </c>
      <c r="AF18" s="732">
        <f>(33.7343635559082/(mmBTU_to_GJ))*($C$18)</f>
        <v>36.496973192192904</v>
      </c>
      <c r="AG18" s="732">
        <f>(34.1495399475098/(mmBTU_to_GJ))*($C$18)</f>
        <v>36.94614964128175</v>
      </c>
      <c r="AH18" s="732">
        <f>(34.4904899597167/(mmBTU_to_GJ))*($C$18)</f>
        <v>37.315021087004148</v>
      </c>
      <c r="AI18" s="732">
        <f t="shared" si="54"/>
        <v>37.304019105766102</v>
      </c>
      <c r="AJ18" s="732">
        <f t="shared" si="54"/>
        <v>37.293017124528063</v>
      </c>
      <c r="AK18" s="732">
        <f t="shared" si="54"/>
        <v>37.282015143290025</v>
      </c>
      <c r="AL18" s="732">
        <f t="shared" si="54"/>
        <v>37.271013162051986</v>
      </c>
      <c r="AM18" s="732">
        <f t="shared" si="54"/>
        <v>37.260011180813947</v>
      </c>
      <c r="AN18" s="732">
        <f t="shared" si="54"/>
        <v>37.249009199575909</v>
      </c>
      <c r="AO18" s="732">
        <f t="shared" si="54"/>
        <v>37.23800721833787</v>
      </c>
      <c r="AP18" s="732">
        <f t="shared" si="54"/>
        <v>37.227005237099831</v>
      </c>
      <c r="AQ18" s="732">
        <f t="shared" si="54"/>
        <v>37.216003255861793</v>
      </c>
      <c r="AR18" s="732">
        <f t="shared" si="54"/>
        <v>37.205001274623754</v>
      </c>
      <c r="AS18" s="732">
        <f t="shared" si="54"/>
        <v>37.193999293385716</v>
      </c>
      <c r="AT18" s="732">
        <f t="shared" si="54"/>
        <v>37.182997312147677</v>
      </c>
      <c r="AU18" s="732">
        <f t="shared" si="54"/>
        <v>37.171995330909638</v>
      </c>
      <c r="AV18" s="732">
        <f t="shared" si="54"/>
        <v>37.1609933496716</v>
      </c>
      <c r="AW18" s="732">
        <f t="shared" si="54"/>
        <v>37.149991368433561</v>
      </c>
      <c r="AX18" s="732">
        <f t="shared" si="54"/>
        <v>37.138989387195522</v>
      </c>
      <c r="AY18" s="732">
        <f t="shared" si="54"/>
        <v>37.127987405957484</v>
      </c>
      <c r="AZ18" s="732">
        <f t="shared" si="54"/>
        <v>37.116985424719445</v>
      </c>
      <c r="BA18" s="732">
        <f t="shared" si="54"/>
        <v>37.105983443481406</v>
      </c>
      <c r="BB18" s="863">
        <f>0.994103189054944*AH18</f>
        <v>37.094981462243304</v>
      </c>
      <c r="BC18" s="732">
        <f t="shared" si="55"/>
        <v>37.118545955449591</v>
      </c>
      <c r="BD18" s="732">
        <f t="shared" si="55"/>
        <v>37.142110448655878</v>
      </c>
      <c r="BE18" s="732">
        <f t="shared" si="55"/>
        <v>37.165674941862164</v>
      </c>
      <c r="BF18" s="732">
        <f t="shared" si="55"/>
        <v>37.189239435068451</v>
      </c>
      <c r="BG18" s="732">
        <f t="shared" si="55"/>
        <v>37.212803928274738</v>
      </c>
      <c r="BH18" s="732">
        <f t="shared" si="55"/>
        <v>37.236368421481025</v>
      </c>
      <c r="BI18" s="732">
        <f t="shared" si="55"/>
        <v>37.259932914687312</v>
      </c>
      <c r="BJ18" s="732">
        <f t="shared" si="55"/>
        <v>37.283497407893599</v>
      </c>
      <c r="BK18" s="732">
        <f t="shared" si="55"/>
        <v>37.307061901099885</v>
      </c>
      <c r="BL18" s="732">
        <f t="shared" si="55"/>
        <v>37.330626394306172</v>
      </c>
      <c r="BM18" s="732">
        <f t="shared" si="55"/>
        <v>37.354190887512459</v>
      </c>
      <c r="BN18" s="732">
        <f t="shared" si="55"/>
        <v>37.377755380718746</v>
      </c>
      <c r="BO18" s="732">
        <f t="shared" si="55"/>
        <v>37.401319873925033</v>
      </c>
      <c r="BP18" s="732">
        <f t="shared" si="55"/>
        <v>37.42488436713132</v>
      </c>
      <c r="BQ18" s="863">
        <f>1.00952871208344*BB18</f>
        <v>37.448448860337564</v>
      </c>
      <c r="BR18" s="732">
        <f t="shared" si="56"/>
        <v>37.472237892815023</v>
      </c>
      <c r="BS18" s="732">
        <f t="shared" si="56"/>
        <v>37.496026925292483</v>
      </c>
      <c r="BT18" s="732">
        <f t="shared" si="56"/>
        <v>37.519815957769943</v>
      </c>
      <c r="BU18" s="732">
        <f t="shared" si="56"/>
        <v>37.543604990247402</v>
      </c>
      <c r="BV18" s="864">
        <f>1.00317623736115*BQ18</f>
        <v>37.567394022724876</v>
      </c>
      <c r="BW18" s="1077">
        <f>+BV18*BW$142/BV$142</f>
        <v>37.550852957486022</v>
      </c>
      <c r="BX18" s="1077">
        <f t="shared" ref="BX18:CZ18" si="59">+BW18*BX$142/BW$142</f>
        <v>37.534319175340556</v>
      </c>
      <c r="BY18" s="1077">
        <f t="shared" si="59"/>
        <v>37.517792673081715</v>
      </c>
      <c r="BZ18" s="1077">
        <f t="shared" si="59"/>
        <v>37.501273447504133</v>
      </c>
      <c r="CA18" s="1077">
        <f t="shared" si="59"/>
        <v>37.484761495403866</v>
      </c>
      <c r="CB18" s="1077">
        <f t="shared" si="59"/>
        <v>37.454736786829947</v>
      </c>
      <c r="CC18" s="1077">
        <f t="shared" si="59"/>
        <v>37.424736127578718</v>
      </c>
      <c r="CD18" s="1077">
        <f t="shared" si="59"/>
        <v>37.394759498387039</v>
      </c>
      <c r="CE18" s="1077">
        <f t="shared" si="59"/>
        <v>37.364806880007208</v>
      </c>
      <c r="CF18" s="1077">
        <f t="shared" si="59"/>
        <v>37.334878253206945</v>
      </c>
      <c r="CG18" s="1077">
        <f t="shared" si="59"/>
        <v>37.293649892574038</v>
      </c>
      <c r="CH18" s="1077">
        <f t="shared" si="59"/>
        <v>37.252467059817484</v>
      </c>
      <c r="CI18" s="1077">
        <f t="shared" si="59"/>
        <v>37.211329704661502</v>
      </c>
      <c r="CJ18" s="1077">
        <f t="shared" si="59"/>
        <v>37.170237776885841</v>
      </c>
      <c r="CK18" s="1077">
        <f t="shared" si="59"/>
        <v>37.129191226325716</v>
      </c>
      <c r="CL18" s="1077">
        <f t="shared" si="59"/>
        <v>37.084440454820722</v>
      </c>
      <c r="CM18" s="1077">
        <f t="shared" si="59"/>
        <v>37.039743620163904</v>
      </c>
      <c r="CN18" s="1077">
        <f t="shared" si="59"/>
        <v>36.995100657346704</v>
      </c>
      <c r="CO18" s="1077">
        <f t="shared" si="59"/>
        <v>36.950511501438903</v>
      </c>
      <c r="CP18" s="1077">
        <f t="shared" si="59"/>
        <v>36.905976087588542</v>
      </c>
      <c r="CQ18" s="1077">
        <f t="shared" si="59"/>
        <v>36.854392449105958</v>
      </c>
      <c r="CR18" s="1077">
        <f t="shared" si="59"/>
        <v>36.802880909292512</v>
      </c>
      <c r="CS18" s="1077">
        <f t="shared" si="59"/>
        <v>36.751441367375584</v>
      </c>
      <c r="CT18" s="1077">
        <f t="shared" si="59"/>
        <v>36.70007372272341</v>
      </c>
      <c r="CU18" s="1077">
        <f t="shared" si="59"/>
        <v>36.648777874844889</v>
      </c>
      <c r="CV18" s="1077">
        <f t="shared" si="59"/>
        <v>36.598703995041703</v>
      </c>
      <c r="CW18" s="1077">
        <f t="shared" si="59"/>
        <v>36.548698532074873</v>
      </c>
      <c r="CX18" s="1077">
        <f t="shared" si="59"/>
        <v>36.498761392465255</v>
      </c>
      <c r="CY18" s="1077">
        <f t="shared" si="59"/>
        <v>36.448892482861424</v>
      </c>
      <c r="CZ18" s="1077">
        <f t="shared" si="59"/>
        <v>36.399091710039507</v>
      </c>
    </row>
    <row r="19" spans="1:104" ht="13.8" thickTop="1" x14ac:dyDescent="0.25">
      <c r="AH19" s="254"/>
    </row>
    <row r="20" spans="1:104" x14ac:dyDescent="0.25">
      <c r="E20" s="254"/>
    </row>
    <row r="21" spans="1:104" ht="13.8" thickBot="1" x14ac:dyDescent="0.3"/>
    <row r="22" spans="1:104" ht="13.8" thickTop="1" x14ac:dyDescent="0.25">
      <c r="A22" s="719" t="s">
        <v>1085</v>
      </c>
      <c r="B22" s="720" t="str">
        <f>"Prices are in $(" &amp; ref_year&amp;")/GJ LHV"</f>
        <v>Prices are in $(2016)/GJ LHV</v>
      </c>
      <c r="C22" s="721"/>
      <c r="D22" s="721"/>
      <c r="E22" s="721"/>
      <c r="F22" s="721"/>
      <c r="G22" s="721"/>
      <c r="H22" s="721"/>
      <c r="I22" s="721"/>
      <c r="J22" s="721"/>
      <c r="K22" s="721"/>
      <c r="L22" s="721"/>
      <c r="M22" s="721"/>
      <c r="N22" s="721"/>
      <c r="O22" s="721"/>
      <c r="P22" s="721"/>
      <c r="Q22" s="721"/>
      <c r="R22" s="721"/>
      <c r="S22" s="721"/>
      <c r="T22" s="721"/>
      <c r="U22" s="721"/>
      <c r="V22" s="721"/>
      <c r="W22" s="721"/>
      <c r="X22" s="721"/>
      <c r="Y22" s="721"/>
      <c r="Z22" s="721"/>
      <c r="AA22" s="721"/>
      <c r="AB22" s="721"/>
      <c r="AC22" s="721"/>
      <c r="AD22" s="721"/>
      <c r="AE22" s="721"/>
      <c r="AF22" s="721"/>
      <c r="AG22" s="721"/>
      <c r="AH22" s="721"/>
      <c r="AI22" s="721"/>
      <c r="AJ22" s="721"/>
      <c r="AK22" s="721"/>
      <c r="AL22" s="721"/>
      <c r="AM22" s="721"/>
      <c r="AN22" s="721"/>
      <c r="AO22" s="721"/>
      <c r="AP22" s="721"/>
      <c r="AQ22" s="721"/>
      <c r="AR22" s="721"/>
      <c r="AS22" s="734" t="s">
        <v>761</v>
      </c>
      <c r="AT22" s="735"/>
      <c r="AU22" s="735"/>
      <c r="AV22" s="735"/>
      <c r="AW22" s="735"/>
      <c r="AX22" s="735"/>
      <c r="AY22" s="735"/>
      <c r="AZ22" s="735"/>
      <c r="BA22" s="735"/>
      <c r="BB22" s="735"/>
      <c r="BC22" s="735"/>
      <c r="BD22" s="735"/>
      <c r="BE22" s="735"/>
      <c r="BF22" s="735"/>
      <c r="BG22" s="735"/>
      <c r="BH22" s="735"/>
      <c r="BI22" s="735"/>
      <c r="BJ22" s="735"/>
      <c r="BK22" s="735"/>
      <c r="BL22" s="735"/>
      <c r="BM22" s="735"/>
      <c r="BN22" s="735"/>
      <c r="BO22" s="735"/>
      <c r="BP22" s="735"/>
      <c r="BQ22" s="735"/>
      <c r="BR22" s="735"/>
      <c r="BS22" s="735"/>
      <c r="BT22" s="735"/>
      <c r="BU22" s="735"/>
      <c r="BV22" s="736"/>
    </row>
    <row r="23" spans="1:104" ht="40.200000000000003" thickBot="1" x14ac:dyDescent="0.3">
      <c r="A23" s="739" t="s">
        <v>1066</v>
      </c>
      <c r="B23" s="740" t="s">
        <v>667</v>
      </c>
      <c r="C23" s="740" t="s">
        <v>668</v>
      </c>
      <c r="D23" s="740" t="s">
        <v>679</v>
      </c>
      <c r="E23" s="740" t="s">
        <v>680</v>
      </c>
      <c r="F23" s="741" t="s">
        <v>669</v>
      </c>
      <c r="G23" s="741" t="s">
        <v>681</v>
      </c>
      <c r="H23" s="850">
        <v>2004</v>
      </c>
      <c r="I23" s="850">
        <v>2005</v>
      </c>
      <c r="J23" s="850">
        <v>2006</v>
      </c>
      <c r="K23" s="850">
        <v>2007</v>
      </c>
      <c r="L23" s="850">
        <v>2008</v>
      </c>
      <c r="M23" s="850">
        <v>2009</v>
      </c>
      <c r="N23" s="741">
        <v>2010</v>
      </c>
      <c r="O23" s="741">
        <v>2011</v>
      </c>
      <c r="P23" s="741">
        <v>2012</v>
      </c>
      <c r="Q23" s="741">
        <v>2013</v>
      </c>
      <c r="R23" s="741">
        <v>2014</v>
      </c>
      <c r="S23" s="741">
        <v>2015</v>
      </c>
      <c r="T23" s="741">
        <v>2016</v>
      </c>
      <c r="U23" s="741">
        <v>2017</v>
      </c>
      <c r="V23" s="741">
        <v>2018</v>
      </c>
      <c r="W23" s="741">
        <v>2019</v>
      </c>
      <c r="X23" s="741">
        <v>2020</v>
      </c>
      <c r="Y23" s="741">
        <v>2021</v>
      </c>
      <c r="Z23" s="741">
        <v>2022</v>
      </c>
      <c r="AA23" s="741">
        <v>2023</v>
      </c>
      <c r="AB23" s="741">
        <v>2024</v>
      </c>
      <c r="AC23" s="741">
        <v>2025</v>
      </c>
      <c r="AD23" s="741">
        <v>2026</v>
      </c>
      <c r="AE23" s="741">
        <v>2027</v>
      </c>
      <c r="AF23" s="741">
        <v>2028</v>
      </c>
      <c r="AG23" s="741">
        <v>2029</v>
      </c>
      <c r="AH23" s="741">
        <v>2030</v>
      </c>
      <c r="AI23" s="741">
        <v>2031</v>
      </c>
      <c r="AJ23" s="741">
        <v>2032</v>
      </c>
      <c r="AK23" s="741">
        <v>2033</v>
      </c>
      <c r="AL23" s="741">
        <v>2034</v>
      </c>
      <c r="AM23" s="741">
        <v>2035</v>
      </c>
      <c r="AN23" s="741">
        <v>2036</v>
      </c>
      <c r="AO23" s="741">
        <v>2037</v>
      </c>
      <c r="AP23" s="741">
        <v>2038</v>
      </c>
      <c r="AQ23" s="741">
        <v>2039</v>
      </c>
      <c r="AR23" s="741">
        <v>2040</v>
      </c>
      <c r="AS23" s="741">
        <v>2041</v>
      </c>
      <c r="AT23" s="741">
        <v>2042</v>
      </c>
      <c r="AU23" s="741">
        <v>2043</v>
      </c>
      <c r="AV23" s="741">
        <v>2044</v>
      </c>
      <c r="AW23" s="741">
        <v>2045</v>
      </c>
      <c r="AX23" s="741">
        <v>2046</v>
      </c>
      <c r="AY23" s="741">
        <v>2047</v>
      </c>
      <c r="AZ23" s="741">
        <v>2048</v>
      </c>
      <c r="BA23" s="741">
        <v>2049</v>
      </c>
      <c r="BB23" s="741">
        <v>2050</v>
      </c>
      <c r="BC23" s="741">
        <v>2051</v>
      </c>
      <c r="BD23" s="741">
        <v>2052</v>
      </c>
      <c r="BE23" s="741">
        <v>2053</v>
      </c>
      <c r="BF23" s="741">
        <v>2054</v>
      </c>
      <c r="BG23" s="741">
        <v>2055</v>
      </c>
      <c r="BH23" s="741">
        <v>2056</v>
      </c>
      <c r="BI23" s="741">
        <v>2057</v>
      </c>
      <c r="BJ23" s="741">
        <v>2058</v>
      </c>
      <c r="BK23" s="741">
        <v>2059</v>
      </c>
      <c r="BL23" s="741">
        <v>2060</v>
      </c>
      <c r="BM23" s="741">
        <v>2061</v>
      </c>
      <c r="BN23" s="741">
        <v>2062</v>
      </c>
      <c r="BO23" s="741">
        <v>2063</v>
      </c>
      <c r="BP23" s="741">
        <v>2064</v>
      </c>
      <c r="BQ23" s="741">
        <v>2065</v>
      </c>
      <c r="BR23" s="741">
        <v>2066</v>
      </c>
      <c r="BS23" s="741">
        <v>2067</v>
      </c>
      <c r="BT23" s="741">
        <v>2068</v>
      </c>
      <c r="BU23" s="741">
        <v>2069</v>
      </c>
      <c r="BV23" s="742">
        <v>2070</v>
      </c>
      <c r="BW23" s="1078">
        <f t="shared" ref="BW23" si="60">+BV23+1</f>
        <v>2071</v>
      </c>
      <c r="BX23" s="1078">
        <f t="shared" ref="BX23" si="61">+BW23+1</f>
        <v>2072</v>
      </c>
      <c r="BY23" s="1078">
        <f t="shared" ref="BY23" si="62">+BX23+1</f>
        <v>2073</v>
      </c>
      <c r="BZ23" s="1078">
        <f t="shared" ref="BZ23" si="63">+BY23+1</f>
        <v>2074</v>
      </c>
      <c r="CA23" s="1078">
        <f t="shared" ref="CA23" si="64">+BZ23+1</f>
        <v>2075</v>
      </c>
      <c r="CB23" s="1078">
        <f t="shared" ref="CB23" si="65">+CA23+1</f>
        <v>2076</v>
      </c>
      <c r="CC23" s="1078">
        <f t="shared" ref="CC23" si="66">+CB23+1</f>
        <v>2077</v>
      </c>
      <c r="CD23" s="1078">
        <f t="shared" ref="CD23" si="67">+CC23+1</f>
        <v>2078</v>
      </c>
      <c r="CE23" s="1078">
        <f t="shared" ref="CE23" si="68">+CD23+1</f>
        <v>2079</v>
      </c>
      <c r="CF23" s="1078">
        <f t="shared" ref="CF23" si="69">+CE23+1</f>
        <v>2080</v>
      </c>
      <c r="CG23" s="1078">
        <f t="shared" ref="CG23" si="70">+CF23+1</f>
        <v>2081</v>
      </c>
      <c r="CH23" s="1078">
        <f t="shared" ref="CH23" si="71">+CG23+1</f>
        <v>2082</v>
      </c>
      <c r="CI23" s="1078">
        <f t="shared" ref="CI23" si="72">+CH23+1</f>
        <v>2083</v>
      </c>
      <c r="CJ23" s="1078">
        <f t="shared" ref="CJ23" si="73">+CI23+1</f>
        <v>2084</v>
      </c>
      <c r="CK23" s="1078">
        <f t="shared" ref="CK23" si="74">+CJ23+1</f>
        <v>2085</v>
      </c>
      <c r="CL23" s="1078">
        <f t="shared" ref="CL23" si="75">+CK23+1</f>
        <v>2086</v>
      </c>
      <c r="CM23" s="1078">
        <f t="shared" ref="CM23" si="76">+CL23+1</f>
        <v>2087</v>
      </c>
      <c r="CN23" s="1078">
        <f t="shared" ref="CN23" si="77">+CM23+1</f>
        <v>2088</v>
      </c>
      <c r="CO23" s="1078">
        <f t="shared" ref="CO23" si="78">+CN23+1</f>
        <v>2089</v>
      </c>
      <c r="CP23" s="1078">
        <f t="shared" ref="CP23" si="79">+CO23+1</f>
        <v>2090</v>
      </c>
      <c r="CQ23" s="1078">
        <f t="shared" ref="CQ23" si="80">+CP23+1</f>
        <v>2091</v>
      </c>
      <c r="CR23" s="1078">
        <f t="shared" ref="CR23" si="81">+CQ23+1</f>
        <v>2092</v>
      </c>
      <c r="CS23" s="1078">
        <f t="shared" ref="CS23" si="82">+CR23+1</f>
        <v>2093</v>
      </c>
      <c r="CT23" s="1078">
        <f t="shared" ref="CT23" si="83">+CS23+1</f>
        <v>2094</v>
      </c>
      <c r="CU23" s="1078">
        <f t="shared" ref="CU23" si="84">+CT23+1</f>
        <v>2095</v>
      </c>
      <c r="CV23" s="1078">
        <f t="shared" ref="CV23" si="85">+CU23+1</f>
        <v>2096</v>
      </c>
      <c r="CW23" s="1078">
        <f t="shared" ref="CW23" si="86">+CV23+1</f>
        <v>2097</v>
      </c>
      <c r="CX23" s="1078">
        <f t="shared" ref="CX23" si="87">+CW23+1</f>
        <v>2098</v>
      </c>
      <c r="CY23" s="1078">
        <f t="shared" ref="CY23" si="88">+CX23+1</f>
        <v>2099</v>
      </c>
      <c r="CZ23" s="1078">
        <f t="shared" ref="CZ23" si="89">+CY23+1</f>
        <v>2100</v>
      </c>
    </row>
    <row r="24" spans="1:104" ht="13.8" thickBot="1" x14ac:dyDescent="0.3">
      <c r="A24" s="800" t="s">
        <v>1072</v>
      </c>
      <c r="B24" s="801"/>
      <c r="C24" s="801"/>
      <c r="D24" s="801"/>
      <c r="E24" s="801"/>
      <c r="F24" s="723"/>
      <c r="G24" s="801"/>
      <c r="H24" s="801"/>
      <c r="I24" s="801"/>
      <c r="J24" s="801"/>
      <c r="K24" s="801"/>
      <c r="L24" s="801"/>
      <c r="M24" s="801"/>
      <c r="N24" s="801"/>
      <c r="O24" s="801"/>
      <c r="P24" s="801"/>
      <c r="Q24" s="801"/>
      <c r="R24" s="801"/>
      <c r="S24" s="801"/>
      <c r="T24" s="801"/>
      <c r="U24" s="801"/>
      <c r="V24" s="801"/>
      <c r="W24" s="801"/>
      <c r="X24" s="801"/>
      <c r="Y24" s="801"/>
      <c r="Z24" s="801"/>
      <c r="AA24" s="801"/>
      <c r="AB24" s="801"/>
      <c r="AC24" s="801"/>
      <c r="AD24" s="801"/>
      <c r="AE24" s="801"/>
      <c r="AF24" s="801"/>
      <c r="AG24" s="801"/>
      <c r="AH24" s="801"/>
      <c r="AI24" s="801"/>
      <c r="AJ24" s="801"/>
      <c r="AK24" s="801"/>
      <c r="AL24" s="801"/>
      <c r="AM24" s="801"/>
      <c r="AN24" s="801"/>
      <c r="AO24" s="801"/>
      <c r="AP24" s="801"/>
      <c r="AQ24" s="801"/>
      <c r="AR24" s="801"/>
      <c r="AS24" s="801"/>
      <c r="AT24" s="801"/>
      <c r="AU24" s="801"/>
      <c r="AV24" s="801"/>
      <c r="AW24" s="801"/>
      <c r="AX24" s="801"/>
      <c r="AY24" s="801"/>
      <c r="AZ24" s="801"/>
      <c r="BA24" s="801"/>
      <c r="BC24" s="801"/>
      <c r="BD24" s="801"/>
      <c r="BE24" s="801"/>
      <c r="BF24" s="801"/>
      <c r="BG24" s="801"/>
      <c r="BH24" s="801"/>
      <c r="BI24" s="801"/>
      <c r="BJ24" s="801"/>
      <c r="BK24" s="801"/>
      <c r="BL24" s="801"/>
      <c r="BM24" s="801"/>
      <c r="BN24" s="801"/>
      <c r="BO24" s="801"/>
      <c r="BP24" s="801"/>
      <c r="BR24" s="801"/>
      <c r="BS24" s="801"/>
      <c r="BT24" s="801"/>
      <c r="BU24" s="801"/>
    </row>
    <row r="25" spans="1:104" x14ac:dyDescent="0.25">
      <c r="A25" s="817" t="str">
        <f>'HyARC Physical Property Data'!A73</f>
        <v>Residential Natural Gas</v>
      </c>
      <c r="B25" s="801">
        <v>2011</v>
      </c>
      <c r="C25" s="802">
        <f>VLOOKUP(ref_year,DeflatorTable,2,FALSE)/VLOOKUP(B25,DeflatorTable,2,FALSE)</f>
        <v>1.0771767810026385</v>
      </c>
      <c r="D25" s="1016" t="str">
        <f>'HyARC Physical Property Data'!H73</f>
        <v>mmBtu</v>
      </c>
      <c r="E25" s="802" t="s">
        <v>1040</v>
      </c>
      <c r="F25" s="801">
        <f>'HyARC Physical Property Data'!$E$6</f>
        <v>47.141269049911173</v>
      </c>
      <c r="G25" s="801">
        <f>'HyARC Physical Property Data'!$I$6</f>
        <v>52.224661236371581</v>
      </c>
      <c r="H25" s="851">
        <v>14.386141835345208</v>
      </c>
      <c r="I25" s="851">
        <v>14.386141835345208</v>
      </c>
      <c r="J25" s="851">
        <v>14.386141835345208</v>
      </c>
      <c r="K25" s="851">
        <v>13.326716630976858</v>
      </c>
      <c r="L25" s="851">
        <v>13.627764477872551</v>
      </c>
      <c r="M25" s="851">
        <v>11.254339733155913</v>
      </c>
      <c r="N25" s="801">
        <f t="shared" ref="N25:AR25" si="90">((N42/(mmBTU_to_GJ))*($C25))*($G25/$F25)</f>
        <v>12.848820030872972</v>
      </c>
      <c r="O25" s="801">
        <f t="shared" si="90"/>
        <v>12.218751960936617</v>
      </c>
      <c r="P25" s="801">
        <f t="shared" si="90"/>
        <v>11.836476203703018</v>
      </c>
      <c r="Q25" s="801">
        <f t="shared" si="90"/>
        <v>11.8517734777777</v>
      </c>
      <c r="R25" s="801">
        <f t="shared" si="90"/>
        <v>11.597927407987708</v>
      </c>
      <c r="S25" s="801">
        <f t="shared" si="90"/>
        <v>11.487750612568879</v>
      </c>
      <c r="T25" s="801">
        <f t="shared" si="90"/>
        <v>12.060887123888937</v>
      </c>
      <c r="U25" s="801">
        <f t="shared" si="90"/>
        <v>12.431586993598115</v>
      </c>
      <c r="V25" s="801">
        <f t="shared" si="90"/>
        <v>12.891966623565866</v>
      </c>
      <c r="W25" s="801">
        <f t="shared" si="90"/>
        <v>13.149168727974281</v>
      </c>
      <c r="X25" s="801">
        <f t="shared" si="90"/>
        <v>13.320350247045116</v>
      </c>
      <c r="Y25" s="801">
        <f t="shared" si="90"/>
        <v>13.528204956004251</v>
      </c>
      <c r="Z25" s="801">
        <f t="shared" si="90"/>
        <v>13.803266322492309</v>
      </c>
      <c r="AA25" s="801">
        <f t="shared" si="90"/>
        <v>14.062393594046176</v>
      </c>
      <c r="AB25" s="801">
        <f t="shared" si="90"/>
        <v>14.234621399609106</v>
      </c>
      <c r="AC25" s="801">
        <f t="shared" si="90"/>
        <v>14.336189236658935</v>
      </c>
      <c r="AD25" s="801">
        <f t="shared" si="90"/>
        <v>14.525745808772006</v>
      </c>
      <c r="AE25" s="801">
        <f t="shared" si="90"/>
        <v>14.629217321677178</v>
      </c>
      <c r="AF25" s="801">
        <f t="shared" si="90"/>
        <v>14.801367079923402</v>
      </c>
      <c r="AG25" s="801">
        <f t="shared" si="90"/>
        <v>14.969684601807232</v>
      </c>
      <c r="AH25" s="801">
        <f t="shared" si="90"/>
        <v>15.121948129980476</v>
      </c>
      <c r="AI25" s="801">
        <f t="shared" si="90"/>
        <v>15.323390516643737</v>
      </c>
      <c r="AJ25" s="801">
        <f t="shared" si="90"/>
        <v>15.521017633752583</v>
      </c>
      <c r="AK25" s="801">
        <f t="shared" si="90"/>
        <v>15.763176966206016</v>
      </c>
      <c r="AL25" s="801">
        <f t="shared" si="90"/>
        <v>16.117258413059144</v>
      </c>
      <c r="AM25" s="801">
        <f t="shared" si="90"/>
        <v>16.51303296272155</v>
      </c>
      <c r="AN25" s="801">
        <f t="shared" si="90"/>
        <v>16.993618929872834</v>
      </c>
      <c r="AO25" s="801">
        <f t="shared" si="90"/>
        <v>17.437235353556446</v>
      </c>
      <c r="AP25" s="801">
        <f t="shared" si="90"/>
        <v>17.919522525987844</v>
      </c>
      <c r="AQ25" s="801">
        <f t="shared" si="90"/>
        <v>18.161000923881019</v>
      </c>
      <c r="AR25" s="801">
        <f t="shared" si="90"/>
        <v>18.508607836809013</v>
      </c>
      <c r="AS25" s="801">
        <f>($BB25-$AR25)/10+AR25</f>
        <v>18.515839395504365</v>
      </c>
      <c r="AT25" s="801">
        <f t="shared" ref="AT25:BA25" si="91">($BB25-$AR25)/10+AS25</f>
        <v>18.523070954199717</v>
      </c>
      <c r="AU25" s="801">
        <f t="shared" si="91"/>
        <v>18.530302512895069</v>
      </c>
      <c r="AV25" s="801">
        <f t="shared" si="91"/>
        <v>18.537534071590422</v>
      </c>
      <c r="AW25" s="801">
        <f t="shared" si="91"/>
        <v>18.544765630285774</v>
      </c>
      <c r="AX25" s="801">
        <f t="shared" si="91"/>
        <v>18.551997188981126</v>
      </c>
      <c r="AY25" s="801">
        <f t="shared" si="91"/>
        <v>18.559228747676478</v>
      </c>
      <c r="AZ25" s="801">
        <f t="shared" si="91"/>
        <v>18.56646030637183</v>
      </c>
      <c r="BA25" s="801">
        <f t="shared" si="91"/>
        <v>18.573691865067183</v>
      </c>
      <c r="BB25" s="803">
        <f>'AEO Data'!$B$30*AM25</f>
        <v>18.580923423762542</v>
      </c>
      <c r="BC25" s="801">
        <f>($BQ25-$BB25)/15+BB25</f>
        <v>18.732326935626944</v>
      </c>
      <c r="BD25" s="801">
        <f t="shared" ref="BD25:BP25" si="92">($BQ25-$BB25)/15+BC25</f>
        <v>18.883730447491345</v>
      </c>
      <c r="BE25" s="801">
        <f t="shared" si="92"/>
        <v>19.035133959355747</v>
      </c>
      <c r="BF25" s="801">
        <f t="shared" si="92"/>
        <v>19.186537471220149</v>
      </c>
      <c r="BG25" s="801">
        <f t="shared" si="92"/>
        <v>19.33794098308455</v>
      </c>
      <c r="BH25" s="801">
        <f t="shared" si="92"/>
        <v>19.489344494948952</v>
      </c>
      <c r="BI25" s="801">
        <f t="shared" si="92"/>
        <v>19.640748006813354</v>
      </c>
      <c r="BJ25" s="801">
        <f t="shared" si="92"/>
        <v>19.792151518677755</v>
      </c>
      <c r="BK25" s="801">
        <f t="shared" si="92"/>
        <v>19.943555030542157</v>
      </c>
      <c r="BL25" s="801">
        <f t="shared" si="92"/>
        <v>20.094958542406559</v>
      </c>
      <c r="BM25" s="801">
        <f t="shared" si="92"/>
        <v>20.246362054270961</v>
      </c>
      <c r="BN25" s="801">
        <f t="shared" si="92"/>
        <v>20.397765566135362</v>
      </c>
      <c r="BO25" s="801">
        <f t="shared" si="92"/>
        <v>20.549169077999764</v>
      </c>
      <c r="BP25" s="801">
        <f t="shared" si="92"/>
        <v>20.700572589864166</v>
      </c>
      <c r="BQ25" s="803">
        <f>'AEO Data'!$C$30*BB25</f>
        <v>20.851976101728582</v>
      </c>
      <c r="BR25" s="801">
        <f>($BV25-$BQ25)/5+BQ25</f>
        <v>20.971163273815758</v>
      </c>
      <c r="BS25" s="801">
        <f>($BV25-$BQ25)/5+BR25</f>
        <v>21.090350445902935</v>
      </c>
      <c r="BT25" s="801">
        <f>($BV25-$BQ25)/5+BS25</f>
        <v>21.209537617990112</v>
      </c>
      <c r="BU25" s="801">
        <f>($BV25-$BQ25)/5+BT25</f>
        <v>21.328724790077288</v>
      </c>
      <c r="BV25" s="804">
        <f>'AEO Data'!$D$30*BQ25</f>
        <v>21.447911962164458</v>
      </c>
      <c r="BW25" s="1077">
        <f>+BV25*BW$133/BV$133</f>
        <v>21.519125336431191</v>
      </c>
      <c r="BX25" s="1077">
        <f t="shared" ref="BX25:CZ25" si="93">+BW25*BX$133/BW$133</f>
        <v>21.590575160040096</v>
      </c>
      <c r="BY25" s="1077">
        <f t="shared" si="93"/>
        <v>21.66226221807252</v>
      </c>
      <c r="BZ25" s="1077">
        <f t="shared" si="93"/>
        <v>21.734187298216501</v>
      </c>
      <c r="CA25" s="1077">
        <f t="shared" si="93"/>
        <v>21.806351190775437</v>
      </c>
      <c r="CB25" s="1077">
        <f t="shared" si="93"/>
        <v>21.852884379410604</v>
      </c>
      <c r="CC25" s="1077">
        <f t="shared" si="93"/>
        <v>21.899516866531133</v>
      </c>
      <c r="CD25" s="1077">
        <f t="shared" si="93"/>
        <v>21.946248864032874</v>
      </c>
      <c r="CE25" s="1077">
        <f t="shared" si="93"/>
        <v>21.993080584263836</v>
      </c>
      <c r="CF25" s="1077">
        <f t="shared" si="93"/>
        <v>22.040012240025163</v>
      </c>
      <c r="CG25" s="1077">
        <f t="shared" si="93"/>
        <v>22.055250650944551</v>
      </c>
      <c r="CH25" s="1077">
        <f t="shared" si="93"/>
        <v>22.070499597664231</v>
      </c>
      <c r="CI25" s="1077">
        <f t="shared" si="93"/>
        <v>22.085759087468627</v>
      </c>
      <c r="CJ25" s="1077">
        <f t="shared" si="93"/>
        <v>22.101029127647202</v>
      </c>
      <c r="CK25" s="1077">
        <f t="shared" si="93"/>
        <v>22.116309725494457</v>
      </c>
      <c r="CL25" s="1077">
        <f t="shared" si="93"/>
        <v>22.121489169854147</v>
      </c>
      <c r="CM25" s="1077">
        <f t="shared" si="93"/>
        <v>22.126669827193954</v>
      </c>
      <c r="CN25" s="1077">
        <f t="shared" si="93"/>
        <v>22.131851697797941</v>
      </c>
      <c r="CO25" s="1077">
        <f t="shared" si="93"/>
        <v>22.137034781950248</v>
      </c>
      <c r="CP25" s="1077">
        <f t="shared" si="93"/>
        <v>22.142219079935074</v>
      </c>
      <c r="CQ25" s="1077">
        <f t="shared" si="93"/>
        <v>22.15007638128591</v>
      </c>
      <c r="CR25" s="1077">
        <f t="shared" si="93"/>
        <v>22.157936470848</v>
      </c>
      <c r="CS25" s="1077">
        <f t="shared" si="93"/>
        <v>22.165799349610761</v>
      </c>
      <c r="CT25" s="1077">
        <f t="shared" si="93"/>
        <v>22.173665018563963</v>
      </c>
      <c r="CU25" s="1077">
        <f t="shared" si="93"/>
        <v>22.181533478697713</v>
      </c>
      <c r="CV25" s="1077">
        <f t="shared" si="93"/>
        <v>22.193643072156416</v>
      </c>
      <c r="CW25" s="1077">
        <f t="shared" si="93"/>
        <v>22.205759276621244</v>
      </c>
      <c r="CX25" s="1077">
        <f t="shared" si="93"/>
        <v>22.217882095701352</v>
      </c>
      <c r="CY25" s="1077">
        <f t="shared" si="93"/>
        <v>22.230011533007868</v>
      </c>
      <c r="CZ25" s="1077">
        <f t="shared" si="93"/>
        <v>22.242147592153891</v>
      </c>
    </row>
    <row r="26" spans="1:104" x14ac:dyDescent="0.25">
      <c r="A26" s="727" t="str">
        <f>'HyARC Physical Property Data'!A71</f>
        <v>Commercial Natural Gas</v>
      </c>
      <c r="B26" s="254">
        <v>2011</v>
      </c>
      <c r="C26" s="726">
        <f>VLOOKUP(ref_year,DeflatorTable,2,FALSE)/VLOOKUP(B26,DeflatorTable,2,FALSE)</f>
        <v>1.0771767810026385</v>
      </c>
      <c r="D26" s="1017" t="str">
        <f>'HyARC Physical Property Data'!H71</f>
        <v>mmBtu</v>
      </c>
      <c r="E26" s="726" t="s">
        <v>1040</v>
      </c>
      <c r="F26" s="254">
        <f>'HyARC Physical Property Data'!$E$6</f>
        <v>47.141269049911173</v>
      </c>
      <c r="G26" s="254">
        <f>'HyARC Physical Property Data'!$I$6</f>
        <v>52.224661236371581</v>
      </c>
      <c r="H26" s="852">
        <v>12.491836786393147</v>
      </c>
      <c r="I26" s="852">
        <v>12.491836786393147</v>
      </c>
      <c r="J26" s="852">
        <v>12.491836786393147</v>
      </c>
      <c r="K26" s="852">
        <v>11.540201846875071</v>
      </c>
      <c r="L26" s="852">
        <v>11.906633267965836</v>
      </c>
      <c r="M26" s="852">
        <v>9.3536765847618941</v>
      </c>
      <c r="N26" s="254">
        <f t="shared" ref="N26:AR26" si="94">((N43/(mmBTU_to_GJ))*($C26))*($G26/$F26)</f>
        <v>10.629111361129928</v>
      </c>
      <c r="O26" s="254">
        <f t="shared" si="94"/>
        <v>9.9955549154729031</v>
      </c>
      <c r="P26" s="254">
        <f t="shared" si="94"/>
        <v>9.1313053061952658</v>
      </c>
      <c r="Q26" s="254">
        <f t="shared" si="94"/>
        <v>9.5723721841997591</v>
      </c>
      <c r="R26" s="254">
        <f t="shared" si="94"/>
        <v>9.3150739345461275</v>
      </c>
      <c r="S26" s="254">
        <f t="shared" si="94"/>
        <v>9.1670102569081706</v>
      </c>
      <c r="T26" s="254">
        <f t="shared" si="94"/>
        <v>9.6835669880973843</v>
      </c>
      <c r="U26" s="254">
        <f t="shared" si="94"/>
        <v>9.9819022906517407</v>
      </c>
      <c r="V26" s="254">
        <f t="shared" si="94"/>
        <v>10.374954233193641</v>
      </c>
      <c r="W26" s="254">
        <f t="shared" si="94"/>
        <v>10.576898837373108</v>
      </c>
      <c r="X26" s="254">
        <f t="shared" si="94"/>
        <v>10.709472950445942</v>
      </c>
      <c r="Y26" s="254">
        <f t="shared" si="94"/>
        <v>10.871133827998989</v>
      </c>
      <c r="Z26" s="254">
        <f t="shared" si="94"/>
        <v>11.106678367581321</v>
      </c>
      <c r="AA26" s="254">
        <f t="shared" si="94"/>
        <v>11.324324055865388</v>
      </c>
      <c r="AB26" s="254">
        <f t="shared" si="94"/>
        <v>11.461664710860044</v>
      </c>
      <c r="AC26" s="254">
        <f t="shared" si="94"/>
        <v>11.530251335438004</v>
      </c>
      <c r="AD26" s="254">
        <f t="shared" si="94"/>
        <v>11.690741503240439</v>
      </c>
      <c r="AE26" s="254">
        <f t="shared" si="94"/>
        <v>11.750101577638928</v>
      </c>
      <c r="AF26" s="254">
        <f t="shared" si="94"/>
        <v>11.876771241534755</v>
      </c>
      <c r="AG26" s="254">
        <f t="shared" si="94"/>
        <v>11.995898593723251</v>
      </c>
      <c r="AH26" s="254">
        <f t="shared" si="94"/>
        <v>12.099846308372394</v>
      </c>
      <c r="AI26" s="254">
        <f t="shared" si="94"/>
        <v>12.252762493092598</v>
      </c>
      <c r="AJ26" s="254">
        <f t="shared" si="94"/>
        <v>12.390975242017417</v>
      </c>
      <c r="AK26" s="254">
        <f t="shared" si="94"/>
        <v>12.576341012559455</v>
      </c>
      <c r="AL26" s="254">
        <f t="shared" si="94"/>
        <v>12.876005381738906</v>
      </c>
      <c r="AM26" s="254">
        <f t="shared" si="94"/>
        <v>13.213362080405979</v>
      </c>
      <c r="AN26" s="254">
        <f t="shared" si="94"/>
        <v>13.642549930583472</v>
      </c>
      <c r="AO26" s="254">
        <f t="shared" si="94"/>
        <v>14.027368446772995</v>
      </c>
      <c r="AP26" s="254">
        <f t="shared" si="94"/>
        <v>14.457440833206514</v>
      </c>
      <c r="AQ26" s="254">
        <f t="shared" si="94"/>
        <v>14.646759870007866</v>
      </c>
      <c r="AR26" s="254">
        <f t="shared" si="94"/>
        <v>14.945407361829057</v>
      </c>
      <c r="AS26" s="254">
        <f t="shared" ref="AS26:BA26" si="95">($BB26-$AR26)/10+AR26</f>
        <v>14.937670833817531</v>
      </c>
      <c r="AT26" s="254">
        <f t="shared" si="95"/>
        <v>14.929934305806006</v>
      </c>
      <c r="AU26" s="254">
        <f t="shared" si="95"/>
        <v>14.92219777779448</v>
      </c>
      <c r="AV26" s="254">
        <f t="shared" si="95"/>
        <v>14.914461249782955</v>
      </c>
      <c r="AW26" s="254">
        <f t="shared" si="95"/>
        <v>14.906724721771429</v>
      </c>
      <c r="AX26" s="254">
        <f t="shared" si="95"/>
        <v>14.898988193759903</v>
      </c>
      <c r="AY26" s="254">
        <f t="shared" si="95"/>
        <v>14.891251665748378</v>
      </c>
      <c r="AZ26" s="254">
        <f t="shared" si="95"/>
        <v>14.883515137736852</v>
      </c>
      <c r="BA26" s="254">
        <f t="shared" si="95"/>
        <v>14.875778609725327</v>
      </c>
      <c r="BB26" s="781">
        <f>'AEO Data'!$B$30*AM26</f>
        <v>14.868042081713805</v>
      </c>
      <c r="BC26" s="254">
        <f t="shared" ref="BC26:BP28" si="96">($BQ26-$BB26)/15+BB26</f>
        <v>14.989191807934644</v>
      </c>
      <c r="BD26" s="254">
        <f t="shared" si="96"/>
        <v>15.110341534155483</v>
      </c>
      <c r="BE26" s="254">
        <f t="shared" si="96"/>
        <v>15.231491260376322</v>
      </c>
      <c r="BF26" s="254">
        <f t="shared" si="96"/>
        <v>15.35264098659716</v>
      </c>
      <c r="BG26" s="254">
        <f t="shared" si="96"/>
        <v>15.473790712817999</v>
      </c>
      <c r="BH26" s="254">
        <f t="shared" si="96"/>
        <v>15.594940439038838</v>
      </c>
      <c r="BI26" s="254">
        <f t="shared" si="96"/>
        <v>15.716090165259677</v>
      </c>
      <c r="BJ26" s="254">
        <f t="shared" si="96"/>
        <v>15.837239891480516</v>
      </c>
      <c r="BK26" s="254">
        <f t="shared" si="96"/>
        <v>15.958389617701355</v>
      </c>
      <c r="BL26" s="254">
        <f t="shared" si="96"/>
        <v>16.079539343922193</v>
      </c>
      <c r="BM26" s="254">
        <f t="shared" si="96"/>
        <v>16.200689070143032</v>
      </c>
      <c r="BN26" s="254">
        <f t="shared" si="96"/>
        <v>16.32183879636387</v>
      </c>
      <c r="BO26" s="254">
        <f t="shared" si="96"/>
        <v>16.442988522584709</v>
      </c>
      <c r="BP26" s="254">
        <f t="shared" si="96"/>
        <v>16.564138248805548</v>
      </c>
      <c r="BQ26" s="781">
        <f>'AEO Data'!$C$30*BB26</f>
        <v>16.68528797502638</v>
      </c>
      <c r="BR26" s="254">
        <f t="shared" ref="BR26:BU28" si="97">($BV26-$BQ26)/5+BQ26</f>
        <v>16.780658901959232</v>
      </c>
      <c r="BS26" s="254">
        <f t="shared" si="97"/>
        <v>16.876029828892083</v>
      </c>
      <c r="BT26" s="254">
        <f t="shared" si="97"/>
        <v>16.971400755824934</v>
      </c>
      <c r="BU26" s="254">
        <f t="shared" si="97"/>
        <v>17.066771682757786</v>
      </c>
      <c r="BV26" s="805">
        <f>'AEO Data'!$D$30*BQ26</f>
        <v>17.162142609690644</v>
      </c>
      <c r="BW26" s="1077">
        <f>+BV26*BW$134/BV$134</f>
        <v>17.219125969517879</v>
      </c>
      <c r="BX26" s="1077">
        <f t="shared" ref="BX26:CZ26" si="98">+BW26*BX$134/BW$134</f>
        <v>17.276298530855151</v>
      </c>
      <c r="BY26" s="1077">
        <f t="shared" si="98"/>
        <v>17.333660921907107</v>
      </c>
      <c r="BZ26" s="1077">
        <f t="shared" si="98"/>
        <v>17.391213772964214</v>
      </c>
      <c r="CA26" s="1077">
        <f t="shared" si="98"/>
        <v>17.448957716409694</v>
      </c>
      <c r="CB26" s="1077">
        <f t="shared" si="98"/>
        <v>17.486192540053562</v>
      </c>
      <c r="CC26" s="1077">
        <f t="shared" si="98"/>
        <v>17.523506820139147</v>
      </c>
      <c r="CD26" s="1077">
        <f t="shared" si="98"/>
        <v>17.56090072622079</v>
      </c>
      <c r="CE26" s="1077">
        <f t="shared" si="98"/>
        <v>17.598374428214658</v>
      </c>
      <c r="CF26" s="1077">
        <f t="shared" si="98"/>
        <v>17.635928096399496</v>
      </c>
      <c r="CG26" s="1077">
        <f t="shared" si="98"/>
        <v>17.648121534241135</v>
      </c>
      <c r="CH26" s="1077">
        <f t="shared" si="98"/>
        <v>17.660323402596077</v>
      </c>
      <c r="CI26" s="1077">
        <f t="shared" si="98"/>
        <v>17.672533707293155</v>
      </c>
      <c r="CJ26" s="1077">
        <f t="shared" si="98"/>
        <v>17.684752454165238</v>
      </c>
      <c r="CK26" s="1077">
        <f t="shared" si="98"/>
        <v>17.696979649049226</v>
      </c>
      <c r="CL26" s="1077">
        <f t="shared" si="98"/>
        <v>17.701124125345881</v>
      </c>
      <c r="CM26" s="1077">
        <f t="shared" si="98"/>
        <v>17.705269572242276</v>
      </c>
      <c r="CN26" s="1077">
        <f t="shared" si="98"/>
        <v>17.709415989965713</v>
      </c>
      <c r="CO26" s="1077">
        <f t="shared" si="98"/>
        <v>17.713563378743547</v>
      </c>
      <c r="CP26" s="1077">
        <f t="shared" si="98"/>
        <v>17.717711738803196</v>
      </c>
      <c r="CQ26" s="1077">
        <f t="shared" si="98"/>
        <v>17.723998976765952</v>
      </c>
      <c r="CR26" s="1077">
        <f t="shared" si="98"/>
        <v>17.730288445793402</v>
      </c>
      <c r="CS26" s="1077">
        <f t="shared" si="98"/>
        <v>17.736580146677259</v>
      </c>
      <c r="CT26" s="1077">
        <f t="shared" si="98"/>
        <v>17.742874080209511</v>
      </c>
      <c r="CU26" s="1077">
        <f t="shared" si="98"/>
        <v>17.749170247182427</v>
      </c>
      <c r="CV26" s="1077">
        <f t="shared" si="98"/>
        <v>17.758860074809945</v>
      </c>
      <c r="CW26" s="1077">
        <f t="shared" si="98"/>
        <v>17.768555192417683</v>
      </c>
      <c r="CX26" s="1077">
        <f t="shared" si="98"/>
        <v>17.778255602893598</v>
      </c>
      <c r="CY26" s="1077">
        <f t="shared" si="98"/>
        <v>17.78796130912724</v>
      </c>
      <c r="CZ26" s="1077">
        <f t="shared" si="98"/>
        <v>17.797672314009723</v>
      </c>
    </row>
    <row r="27" spans="1:104" x14ac:dyDescent="0.25">
      <c r="A27" s="727" t="str">
        <f>'HyARC Physical Property Data'!A72</f>
        <v>Industrial Natural Gas</v>
      </c>
      <c r="B27" s="254">
        <v>2011</v>
      </c>
      <c r="C27" s="726">
        <f t="shared" ref="C27:C35" si="99">VLOOKUP(ref_year,DeflatorTable,2,FALSE)/VLOOKUP(B27,DeflatorTable,2,FALSE)</f>
        <v>1.0771767810026385</v>
      </c>
      <c r="D27" s="1017" t="str">
        <f>'HyARC Physical Property Data'!H72</f>
        <v>mmBtu</v>
      </c>
      <c r="E27" s="726" t="s">
        <v>1040</v>
      </c>
      <c r="F27" s="254">
        <f>'HyARC Physical Property Data'!$E$6</f>
        <v>47.141269049911173</v>
      </c>
      <c r="G27" s="254">
        <f>'HyARC Physical Property Data'!$I$6</f>
        <v>52.224661236371581</v>
      </c>
      <c r="H27" s="852">
        <v>8.3524006010892204</v>
      </c>
      <c r="I27" s="852">
        <v>8.3524006010892204</v>
      </c>
      <c r="J27" s="852">
        <v>8.3524006010892204</v>
      </c>
      <c r="K27" s="852">
        <v>7.891606632326889</v>
      </c>
      <c r="L27" s="852">
        <v>9.2420298006250725</v>
      </c>
      <c r="M27" s="852">
        <v>5.091378564817072</v>
      </c>
      <c r="N27" s="254">
        <f t="shared" ref="N27:AR27" si="100">((N44/(mmBTU_to_GJ))*($C27))*($G27/$F27)</f>
        <v>6.2030197526312536</v>
      </c>
      <c r="O27" s="254">
        <f t="shared" si="100"/>
        <v>5.530967881908893</v>
      </c>
      <c r="P27" s="254">
        <f t="shared" si="100"/>
        <v>4.2526580284486375</v>
      </c>
      <c r="Q27" s="254">
        <f t="shared" si="100"/>
        <v>4.9022628122135865</v>
      </c>
      <c r="R27" s="254">
        <f t="shared" si="100"/>
        <v>4.9487111457393711</v>
      </c>
      <c r="S27" s="254">
        <f t="shared" si="100"/>
        <v>5.0024201419600187</v>
      </c>
      <c r="T27" s="254">
        <f t="shared" si="100"/>
        <v>5.5040732290196832</v>
      </c>
      <c r="U27" s="254">
        <f t="shared" si="100"/>
        <v>5.7324521200318364</v>
      </c>
      <c r="V27" s="254">
        <f t="shared" si="100"/>
        <v>6.0189830487143103</v>
      </c>
      <c r="W27" s="254">
        <f t="shared" si="100"/>
        <v>6.1643784130172916</v>
      </c>
      <c r="X27" s="254">
        <f t="shared" si="100"/>
        <v>6.2544314430514243</v>
      </c>
      <c r="Y27" s="254">
        <f t="shared" si="100"/>
        <v>6.3802934868874104</v>
      </c>
      <c r="Z27" s="254">
        <f t="shared" si="100"/>
        <v>6.5919159583386113</v>
      </c>
      <c r="AA27" s="254">
        <f t="shared" si="100"/>
        <v>6.7988318372561878</v>
      </c>
      <c r="AB27" s="254">
        <f t="shared" si="100"/>
        <v>6.9111566305652739</v>
      </c>
      <c r="AC27" s="254">
        <f t="shared" si="100"/>
        <v>6.9577474852780874</v>
      </c>
      <c r="AD27" s="254">
        <f t="shared" si="100"/>
        <v>7.0760185792238648</v>
      </c>
      <c r="AE27" s="254">
        <f t="shared" si="100"/>
        <v>7.1203087347746017</v>
      </c>
      <c r="AF27" s="254">
        <f t="shared" si="100"/>
        <v>7.2355314588866548</v>
      </c>
      <c r="AG27" s="254">
        <f t="shared" si="100"/>
        <v>7.3367328128841169</v>
      </c>
      <c r="AH27" s="254">
        <f t="shared" si="100"/>
        <v>7.4218281416265226</v>
      </c>
      <c r="AI27" s="254">
        <f t="shared" si="100"/>
        <v>7.552074408644514</v>
      </c>
      <c r="AJ27" s="254">
        <f t="shared" si="100"/>
        <v>7.6589686922794975</v>
      </c>
      <c r="AK27" s="254">
        <f t="shared" si="100"/>
        <v>7.8228205503030184</v>
      </c>
      <c r="AL27" s="254">
        <f t="shared" si="100"/>
        <v>8.1087248382107671</v>
      </c>
      <c r="AM27" s="254">
        <f t="shared" si="100"/>
        <v>8.4216617757126304</v>
      </c>
      <c r="AN27" s="254">
        <f t="shared" si="100"/>
        <v>8.8376765961745321</v>
      </c>
      <c r="AO27" s="254">
        <f t="shared" si="100"/>
        <v>9.2227722368943912</v>
      </c>
      <c r="AP27" s="254">
        <f t="shared" si="100"/>
        <v>9.6133017806499446</v>
      </c>
      <c r="AQ27" s="254">
        <f t="shared" si="100"/>
        <v>9.7721812328148197</v>
      </c>
      <c r="AR27" s="254">
        <f t="shared" si="100"/>
        <v>10.045586638844041</v>
      </c>
      <c r="AS27" s="254">
        <f t="shared" ref="AS27:BA27" si="101">($BB27-$AR27)/10+AR27</f>
        <v>9.9886567534439159</v>
      </c>
      <c r="AT27" s="254">
        <f t="shared" si="101"/>
        <v>9.9317268680437891</v>
      </c>
      <c r="AU27" s="254">
        <f t="shared" si="101"/>
        <v>9.8747969826436623</v>
      </c>
      <c r="AV27" s="254">
        <f t="shared" si="101"/>
        <v>9.8178670972435356</v>
      </c>
      <c r="AW27" s="254">
        <f t="shared" si="101"/>
        <v>9.7609372118434088</v>
      </c>
      <c r="AX27" s="254">
        <f t="shared" si="101"/>
        <v>9.704007326443282</v>
      </c>
      <c r="AY27" s="254">
        <f t="shared" si="101"/>
        <v>9.6470774410431552</v>
      </c>
      <c r="AZ27" s="254">
        <f t="shared" si="101"/>
        <v>9.5901475556430285</v>
      </c>
      <c r="BA27" s="254">
        <f t="shared" si="101"/>
        <v>9.5332176702429017</v>
      </c>
      <c r="BB27" s="781">
        <f>'AEO Data'!$B$30*AM27</f>
        <v>9.476287784842782</v>
      </c>
      <c r="BC27" s="254">
        <f t="shared" si="96"/>
        <v>9.5535037131011205</v>
      </c>
      <c r="BD27" s="254">
        <f t="shared" si="96"/>
        <v>9.6307196413594589</v>
      </c>
      <c r="BE27" s="254">
        <f t="shared" si="96"/>
        <v>9.7079355696177974</v>
      </c>
      <c r="BF27" s="254">
        <f t="shared" si="96"/>
        <v>9.7851514978761358</v>
      </c>
      <c r="BG27" s="254">
        <f t="shared" si="96"/>
        <v>9.8623674261344743</v>
      </c>
      <c r="BH27" s="254">
        <f t="shared" si="96"/>
        <v>9.9395833543928127</v>
      </c>
      <c r="BI27" s="254">
        <f t="shared" si="96"/>
        <v>10.016799282651151</v>
      </c>
      <c r="BJ27" s="254">
        <f t="shared" si="96"/>
        <v>10.09401521090949</v>
      </c>
      <c r="BK27" s="254">
        <f t="shared" si="96"/>
        <v>10.171231139167828</v>
      </c>
      <c r="BL27" s="254">
        <f t="shared" si="96"/>
        <v>10.248447067426167</v>
      </c>
      <c r="BM27" s="254">
        <f t="shared" si="96"/>
        <v>10.325662995684505</v>
      </c>
      <c r="BN27" s="254">
        <f t="shared" si="96"/>
        <v>10.402878923942843</v>
      </c>
      <c r="BO27" s="254">
        <f t="shared" si="96"/>
        <v>10.480094852201182</v>
      </c>
      <c r="BP27" s="254">
        <f t="shared" si="96"/>
        <v>10.55731078045952</v>
      </c>
      <c r="BQ27" s="781">
        <f>'AEO Data'!$C$30*BB27</f>
        <v>10.634526708717866</v>
      </c>
      <c r="BR27" s="254">
        <f t="shared" si="97"/>
        <v>10.695312274494174</v>
      </c>
      <c r="BS27" s="254">
        <f t="shared" si="97"/>
        <v>10.756097840270483</v>
      </c>
      <c r="BT27" s="254">
        <f t="shared" si="97"/>
        <v>10.816883406046792</v>
      </c>
      <c r="BU27" s="254">
        <f t="shared" si="97"/>
        <v>10.8776689718231</v>
      </c>
      <c r="BV27" s="805">
        <f>'AEO Data'!$D$30*BQ27</f>
        <v>10.938454537599405</v>
      </c>
      <c r="BW27" s="1077">
        <f>+BV27*BW$135/BV$135</f>
        <v>10.974773423011646</v>
      </c>
      <c r="BX27" s="1077">
        <f t="shared" ref="BX27:CZ27" si="102">+BW27*BX$135/BW$135</f>
        <v>11.011212897802675</v>
      </c>
      <c r="BY27" s="1077">
        <f t="shared" si="102"/>
        <v>11.047773362364691</v>
      </c>
      <c r="BZ27" s="1077">
        <f t="shared" si="102"/>
        <v>11.084455218419302</v>
      </c>
      <c r="CA27" s="1077">
        <f t="shared" si="102"/>
        <v>11.121258869021963</v>
      </c>
      <c r="CB27" s="1077">
        <f t="shared" si="102"/>
        <v>11.144990837396005</v>
      </c>
      <c r="CC27" s="1077">
        <f t="shared" si="102"/>
        <v>11.168773448087572</v>
      </c>
      <c r="CD27" s="1077">
        <f t="shared" si="102"/>
        <v>11.192606809163733</v>
      </c>
      <c r="CE27" s="1077">
        <f t="shared" si="102"/>
        <v>11.216491028922169</v>
      </c>
      <c r="CF27" s="1077">
        <f t="shared" si="102"/>
        <v>11.240426215891658</v>
      </c>
      <c r="CG27" s="1077">
        <f t="shared" si="102"/>
        <v>11.24819781927016</v>
      </c>
      <c r="CH27" s="1077">
        <f t="shared" si="102"/>
        <v>11.255974795916359</v>
      </c>
      <c r="CI27" s="1077">
        <f t="shared" si="102"/>
        <v>11.263757149545318</v>
      </c>
      <c r="CJ27" s="1077">
        <f t="shared" si="102"/>
        <v>11.27154488387467</v>
      </c>
      <c r="CK27" s="1077">
        <f t="shared" si="102"/>
        <v>11.279338002624618</v>
      </c>
      <c r="CL27" s="1077">
        <f t="shared" si="102"/>
        <v>11.281979523941867</v>
      </c>
      <c r="CM27" s="1077">
        <f t="shared" si="102"/>
        <v>11.284621663880072</v>
      </c>
      <c r="CN27" s="1077">
        <f t="shared" si="102"/>
        <v>11.28726442258411</v>
      </c>
      <c r="CO27" s="1077">
        <f t="shared" si="102"/>
        <v>11.28990780019889</v>
      </c>
      <c r="CP27" s="1077">
        <f t="shared" si="102"/>
        <v>11.292551796869356</v>
      </c>
      <c r="CQ27" s="1077">
        <f t="shared" si="102"/>
        <v>11.296559027678859</v>
      </c>
      <c r="CR27" s="1077">
        <f t="shared" si="102"/>
        <v>11.300567680478631</v>
      </c>
      <c r="CS27" s="1077">
        <f t="shared" si="102"/>
        <v>11.304577755773273</v>
      </c>
      <c r="CT27" s="1077">
        <f t="shared" si="102"/>
        <v>11.308589254067567</v>
      </c>
      <c r="CU27" s="1077">
        <f t="shared" si="102"/>
        <v>11.312602175866472</v>
      </c>
      <c r="CV27" s="1077">
        <f t="shared" si="102"/>
        <v>11.318778079504572</v>
      </c>
      <c r="CW27" s="1077">
        <f t="shared" si="102"/>
        <v>11.324957354761789</v>
      </c>
      <c r="CX27" s="1077">
        <f t="shared" si="102"/>
        <v>11.331140003478794</v>
      </c>
      <c r="CY27" s="1077">
        <f t="shared" si="102"/>
        <v>11.337326027497264</v>
      </c>
      <c r="CZ27" s="1077">
        <f t="shared" si="102"/>
        <v>11.343515428659883</v>
      </c>
    </row>
    <row r="28" spans="1:104" x14ac:dyDescent="0.25">
      <c r="A28" s="727" t="str">
        <f>'HyARC Physical Property Data'!A74</f>
        <v>Electric Utility Natural Gas</v>
      </c>
      <c r="B28" s="254">
        <v>2011</v>
      </c>
      <c r="C28" s="726">
        <f t="shared" si="99"/>
        <v>1.0771767810026385</v>
      </c>
      <c r="D28" s="1030" t="str">
        <f>'HyARC Physical Property Data'!H74</f>
        <v>mmBtu</v>
      </c>
      <c r="E28" s="726" t="s">
        <v>1040</v>
      </c>
      <c r="F28" s="254">
        <f>'HyARC Physical Property Data'!$E$6</f>
        <v>47.141269049911173</v>
      </c>
      <c r="G28" s="254">
        <f>'HyARC Physical Property Data'!$I$6</f>
        <v>52.224661236371581</v>
      </c>
      <c r="H28" s="852">
        <v>7.4079259090132386</v>
      </c>
      <c r="I28" s="852">
        <v>7.4079259090132386</v>
      </c>
      <c r="J28" s="852">
        <v>7.4079259090132386</v>
      </c>
      <c r="K28" s="852">
        <v>7.3706710915002853</v>
      </c>
      <c r="L28" s="852">
        <v>9.3158925097981644</v>
      </c>
      <c r="M28" s="852">
        <v>4.7837623175056114</v>
      </c>
      <c r="N28" s="254">
        <f t="shared" ref="N28:AR28" si="103">((N45/(mmBTU_to_GJ))*($C28))*($G28/$F28)</f>
        <v>5.9476183921097752</v>
      </c>
      <c r="O28" s="254">
        <f t="shared" si="103"/>
        <v>5.4007770397969708</v>
      </c>
      <c r="P28" s="254">
        <f t="shared" si="103"/>
        <v>3.7573064138727101</v>
      </c>
      <c r="Q28" s="254">
        <f t="shared" si="103"/>
        <v>4.2027122702379316</v>
      </c>
      <c r="R28" s="254">
        <f t="shared" si="103"/>
        <v>4.2509986746282031</v>
      </c>
      <c r="S28" s="254">
        <f t="shared" si="103"/>
        <v>4.3458453934769246</v>
      </c>
      <c r="T28" s="254">
        <f t="shared" si="103"/>
        <v>4.8441571504850804</v>
      </c>
      <c r="U28" s="254">
        <f t="shared" si="103"/>
        <v>5.0319853704252662</v>
      </c>
      <c r="V28" s="254">
        <f t="shared" si="103"/>
        <v>5.3192198560786403</v>
      </c>
      <c r="W28" s="254">
        <f t="shared" si="103"/>
        <v>5.4545256252362373</v>
      </c>
      <c r="X28" s="254">
        <f t="shared" si="103"/>
        <v>5.5388246451241194</v>
      </c>
      <c r="Y28" s="254">
        <f t="shared" si="103"/>
        <v>5.6639944431945244</v>
      </c>
      <c r="Z28" s="254">
        <f t="shared" si="103"/>
        <v>5.884484899616556</v>
      </c>
      <c r="AA28" s="254">
        <f t="shared" si="103"/>
        <v>6.0953551759139817</v>
      </c>
      <c r="AB28" s="254">
        <f t="shared" si="103"/>
        <v>6.2414495727057346</v>
      </c>
      <c r="AC28" s="254">
        <f t="shared" si="103"/>
        <v>6.309346213759178</v>
      </c>
      <c r="AD28" s="254">
        <f t="shared" si="103"/>
        <v>6.4573499420089364</v>
      </c>
      <c r="AE28" s="254">
        <f t="shared" si="103"/>
        <v>6.5161274893334484</v>
      </c>
      <c r="AF28" s="254">
        <f t="shared" si="103"/>
        <v>6.6361077064030667</v>
      </c>
      <c r="AG28" s="254">
        <f t="shared" si="103"/>
        <v>6.7471554646315317</v>
      </c>
      <c r="AH28" s="254">
        <f t="shared" si="103"/>
        <v>6.8465029120770557</v>
      </c>
      <c r="AI28" s="254">
        <f t="shared" si="103"/>
        <v>6.9944896735188342</v>
      </c>
      <c r="AJ28" s="254">
        <f t="shared" si="103"/>
        <v>7.1183428472899974</v>
      </c>
      <c r="AK28" s="254">
        <f t="shared" si="103"/>
        <v>7.2910592969227492</v>
      </c>
      <c r="AL28" s="254">
        <f t="shared" si="103"/>
        <v>7.5766389532378176</v>
      </c>
      <c r="AM28" s="254">
        <f t="shared" si="103"/>
        <v>7.8957257930721285</v>
      </c>
      <c r="AN28" s="254">
        <f t="shared" si="103"/>
        <v>8.3082759913445337</v>
      </c>
      <c r="AO28" s="254">
        <f t="shared" si="103"/>
        <v>8.6812923959032329</v>
      </c>
      <c r="AP28" s="254">
        <f t="shared" si="103"/>
        <v>9.0738262852414806</v>
      </c>
      <c r="AQ28" s="254">
        <f t="shared" si="103"/>
        <v>9.2242743649608752</v>
      </c>
      <c r="AR28" s="254">
        <f t="shared" si="103"/>
        <v>9.4762823638863765</v>
      </c>
      <c r="AS28" s="254">
        <f t="shared" ref="AS28:BA28" si="104">($BB28-$AR28)/10+AR28</f>
        <v>9.4171031281586099</v>
      </c>
      <c r="AT28" s="254">
        <f t="shared" si="104"/>
        <v>9.3579238924308434</v>
      </c>
      <c r="AU28" s="254">
        <f t="shared" si="104"/>
        <v>9.2987446567030769</v>
      </c>
      <c r="AV28" s="254">
        <f t="shared" si="104"/>
        <v>9.2395654209753104</v>
      </c>
      <c r="AW28" s="254">
        <f t="shared" si="104"/>
        <v>9.1803861852475439</v>
      </c>
      <c r="AX28" s="254">
        <f t="shared" si="104"/>
        <v>9.1212069495197774</v>
      </c>
      <c r="AY28" s="254">
        <f t="shared" si="104"/>
        <v>9.0620277137920109</v>
      </c>
      <c r="AZ28" s="254">
        <f t="shared" si="104"/>
        <v>9.0028484780642444</v>
      </c>
      <c r="BA28" s="254">
        <f t="shared" si="104"/>
        <v>8.9436692423364779</v>
      </c>
      <c r="BB28" s="781">
        <f>'AEO Data'!$B$30*AM28</f>
        <v>8.8844900066087185</v>
      </c>
      <c r="BC28" s="254">
        <f t="shared" si="96"/>
        <v>8.9568837707638682</v>
      </c>
      <c r="BD28" s="254">
        <f t="shared" si="96"/>
        <v>9.029277534919018</v>
      </c>
      <c r="BE28" s="254">
        <f t="shared" si="96"/>
        <v>9.1016712990741677</v>
      </c>
      <c r="BF28" s="254">
        <f t="shared" si="96"/>
        <v>9.1740650632293175</v>
      </c>
      <c r="BG28" s="254">
        <f t="shared" si="96"/>
        <v>9.2464588273844672</v>
      </c>
      <c r="BH28" s="254">
        <f t="shared" si="96"/>
        <v>9.318852591539617</v>
      </c>
      <c r="BI28" s="254">
        <f t="shared" si="96"/>
        <v>9.3912463556947667</v>
      </c>
      <c r="BJ28" s="254">
        <f t="shared" si="96"/>
        <v>9.4636401198499165</v>
      </c>
      <c r="BK28" s="254">
        <f t="shared" si="96"/>
        <v>9.5360338840050662</v>
      </c>
      <c r="BL28" s="254">
        <f t="shared" si="96"/>
        <v>9.608427648160216</v>
      </c>
      <c r="BM28" s="254">
        <f t="shared" si="96"/>
        <v>9.6808214123153657</v>
      </c>
      <c r="BN28" s="254">
        <f t="shared" si="96"/>
        <v>9.7532151764705155</v>
      </c>
      <c r="BO28" s="254">
        <f t="shared" si="96"/>
        <v>9.8256089406256653</v>
      </c>
      <c r="BP28" s="254">
        <f t="shared" si="96"/>
        <v>9.898002704780815</v>
      </c>
      <c r="BQ28" s="781">
        <f>'AEO Data'!$C$30*BB28</f>
        <v>9.9703964689359541</v>
      </c>
      <c r="BR28" s="254">
        <f t="shared" si="97"/>
        <v>10.027385952998422</v>
      </c>
      <c r="BS28" s="254">
        <f t="shared" si="97"/>
        <v>10.08437543706089</v>
      </c>
      <c r="BT28" s="254">
        <f t="shared" si="97"/>
        <v>10.141364921123358</v>
      </c>
      <c r="BU28" s="254">
        <f t="shared" si="97"/>
        <v>10.198354405185826</v>
      </c>
      <c r="BV28" s="805">
        <f>'AEO Data'!$D$30*BQ28</f>
        <v>10.255343889248296</v>
      </c>
      <c r="BW28" s="1077">
        <f>+BV28*BW$136/BV$136</f>
        <v>10.289394646445894</v>
      </c>
      <c r="BX28" s="1077">
        <f t="shared" ref="BX28:CZ28" si="105">+BW28*BX$136/BW$136</f>
        <v>10.323558462169682</v>
      </c>
      <c r="BY28" s="1077">
        <f t="shared" si="105"/>
        <v>10.357835711807217</v>
      </c>
      <c r="BZ28" s="1077">
        <f t="shared" si="105"/>
        <v>10.392226771992446</v>
      </c>
      <c r="CA28" s="1077">
        <f t="shared" si="105"/>
        <v>10.426732020609851</v>
      </c>
      <c r="CB28" s="1077">
        <f t="shared" si="105"/>
        <v>10.448981918528062</v>
      </c>
      <c r="CC28" s="1077">
        <f t="shared" si="105"/>
        <v>10.471279296131797</v>
      </c>
      <c r="CD28" s="1077">
        <f t="shared" si="105"/>
        <v>10.493624254739295</v>
      </c>
      <c r="CE28" s="1077">
        <f t="shared" si="105"/>
        <v>10.516016895885006</v>
      </c>
      <c r="CF28" s="1077">
        <f t="shared" si="105"/>
        <v>10.538457321320044</v>
      </c>
      <c r="CG28" s="1077">
        <f t="shared" si="105"/>
        <v>10.545743585110182</v>
      </c>
      <c r="CH28" s="1077">
        <f t="shared" si="105"/>
        <v>10.553034886605404</v>
      </c>
      <c r="CI28" s="1077">
        <f t="shared" si="105"/>
        <v>10.560331229288767</v>
      </c>
      <c r="CJ28" s="1077">
        <f t="shared" si="105"/>
        <v>10.567632616645735</v>
      </c>
      <c r="CK28" s="1077">
        <f t="shared" si="105"/>
        <v>10.574939052164185</v>
      </c>
      <c r="CL28" s="1077">
        <f t="shared" si="105"/>
        <v>10.577415609469975</v>
      </c>
      <c r="CM28" s="1077">
        <f t="shared" si="105"/>
        <v>10.579892746763608</v>
      </c>
      <c r="CN28" s="1077">
        <f t="shared" si="105"/>
        <v>10.582370464180912</v>
      </c>
      <c r="CO28" s="1077">
        <f t="shared" si="105"/>
        <v>10.584848761857746</v>
      </c>
      <c r="CP28" s="1077">
        <f t="shared" si="105"/>
        <v>10.587327639930004</v>
      </c>
      <c r="CQ28" s="1077">
        <f t="shared" si="105"/>
        <v>10.591084617650559</v>
      </c>
      <c r="CR28" s="1077">
        <f t="shared" si="105"/>
        <v>10.594842928557549</v>
      </c>
      <c r="CS28" s="1077">
        <f t="shared" si="105"/>
        <v>10.598602573124062</v>
      </c>
      <c r="CT28" s="1077">
        <f t="shared" si="105"/>
        <v>10.602363551823357</v>
      </c>
      <c r="CU28" s="1077">
        <f t="shared" si="105"/>
        <v>10.60612586512886</v>
      </c>
      <c r="CV28" s="1077">
        <f t="shared" si="105"/>
        <v>10.611916081234606</v>
      </c>
      <c r="CW28" s="1077">
        <f t="shared" si="105"/>
        <v>10.617709458400572</v>
      </c>
      <c r="CX28" s="1077">
        <f t="shared" si="105"/>
        <v>10.62350599835248</v>
      </c>
      <c r="CY28" s="1077">
        <f t="shared" si="105"/>
        <v>10.629305702816991</v>
      </c>
      <c r="CZ28" s="1077">
        <f t="shared" si="105"/>
        <v>10.635108573521714</v>
      </c>
    </row>
    <row r="29" spans="1:104" x14ac:dyDescent="0.25">
      <c r="A29" s="727" t="str">
        <f>'HyARC Physical Property Data'!A75</f>
        <v>Bio Methane</v>
      </c>
      <c r="B29" s="254">
        <v>2007</v>
      </c>
      <c r="C29" s="726">
        <f t="shared" si="99"/>
        <v>1.1413971588333081</v>
      </c>
      <c r="D29" s="1030" t="str">
        <f>'HyARC Physical Property Data'!H75</f>
        <v>mmBtu</v>
      </c>
      <c r="E29" s="726" t="s">
        <v>1040</v>
      </c>
      <c r="F29" s="254">
        <f>'HyARC Physical Property Data'!$E$6</f>
        <v>47.141269049911173</v>
      </c>
      <c r="G29" s="254">
        <f>'HyARC Physical Property Data'!$I$6</f>
        <v>52.224661236371581</v>
      </c>
      <c r="H29" s="852">
        <v>12.42654028436019</v>
      </c>
      <c r="I29" s="852">
        <v>12.42654028436019</v>
      </c>
      <c r="J29" s="852">
        <v>12.42654028436019</v>
      </c>
      <c r="K29" s="852">
        <v>12.42654028436019</v>
      </c>
      <c r="L29" s="852">
        <v>12.42654028436019</v>
      </c>
      <c r="M29" s="852">
        <v>12.42654028436019</v>
      </c>
      <c r="N29" s="254">
        <f t="shared" ref="N29:AM29" si="106">13.11*($C$29/mmBTU_to_GJ)</f>
        <v>14.183617774696369</v>
      </c>
      <c r="O29" s="254">
        <f t="shared" si="106"/>
        <v>14.183617774696369</v>
      </c>
      <c r="P29" s="254">
        <f t="shared" si="106"/>
        <v>14.183617774696369</v>
      </c>
      <c r="Q29" s="254">
        <f t="shared" si="106"/>
        <v>14.183617774696369</v>
      </c>
      <c r="R29" s="254">
        <f t="shared" si="106"/>
        <v>14.183617774696369</v>
      </c>
      <c r="S29" s="254">
        <f t="shared" si="106"/>
        <v>14.183617774696369</v>
      </c>
      <c r="T29" s="254">
        <f t="shared" si="106"/>
        <v>14.183617774696369</v>
      </c>
      <c r="U29" s="254">
        <f t="shared" si="106"/>
        <v>14.183617774696369</v>
      </c>
      <c r="V29" s="254">
        <f t="shared" si="106"/>
        <v>14.183617774696369</v>
      </c>
      <c r="W29" s="254">
        <f t="shared" si="106"/>
        <v>14.183617774696369</v>
      </c>
      <c r="X29" s="254">
        <f t="shared" si="106"/>
        <v>14.183617774696369</v>
      </c>
      <c r="Y29" s="254">
        <f t="shared" si="106"/>
        <v>14.183617774696369</v>
      </c>
      <c r="Z29" s="254">
        <f t="shared" si="106"/>
        <v>14.183617774696369</v>
      </c>
      <c r="AA29" s="254">
        <f t="shared" si="106"/>
        <v>14.183617774696369</v>
      </c>
      <c r="AB29" s="254">
        <f t="shared" si="106"/>
        <v>14.183617774696369</v>
      </c>
      <c r="AC29" s="254">
        <f t="shared" si="106"/>
        <v>14.183617774696369</v>
      </c>
      <c r="AD29" s="254">
        <f t="shared" si="106"/>
        <v>14.183617774696369</v>
      </c>
      <c r="AE29" s="254">
        <f t="shared" si="106"/>
        <v>14.183617774696369</v>
      </c>
      <c r="AF29" s="254">
        <f t="shared" si="106"/>
        <v>14.183617774696369</v>
      </c>
      <c r="AG29" s="254">
        <f t="shared" si="106"/>
        <v>14.183617774696369</v>
      </c>
      <c r="AH29" s="254">
        <f t="shared" si="106"/>
        <v>14.183617774696369</v>
      </c>
      <c r="AI29" s="254">
        <f t="shared" si="106"/>
        <v>14.183617774696369</v>
      </c>
      <c r="AJ29" s="254">
        <f t="shared" si="106"/>
        <v>14.183617774696369</v>
      </c>
      <c r="AK29" s="254">
        <f t="shared" si="106"/>
        <v>14.183617774696369</v>
      </c>
      <c r="AL29" s="254">
        <f t="shared" si="106"/>
        <v>14.183617774696369</v>
      </c>
      <c r="AM29" s="254">
        <f t="shared" si="106"/>
        <v>14.183617774696369</v>
      </c>
      <c r="AN29" s="254">
        <f t="shared" ref="AN29:BV29" si="107">13.11*($C$29/mmBTU_to_GJ)</f>
        <v>14.183617774696369</v>
      </c>
      <c r="AO29" s="254">
        <f t="shared" si="107"/>
        <v>14.183617774696369</v>
      </c>
      <c r="AP29" s="254">
        <f t="shared" si="107"/>
        <v>14.183617774696369</v>
      </c>
      <c r="AQ29" s="254">
        <f t="shared" si="107"/>
        <v>14.183617774696369</v>
      </c>
      <c r="AR29" s="254">
        <f t="shared" si="107"/>
        <v>14.183617774696369</v>
      </c>
      <c r="AS29" s="254">
        <f t="shared" si="107"/>
        <v>14.183617774696369</v>
      </c>
      <c r="AT29" s="254">
        <f t="shared" si="107"/>
        <v>14.183617774696369</v>
      </c>
      <c r="AU29" s="254">
        <f t="shared" si="107"/>
        <v>14.183617774696369</v>
      </c>
      <c r="AV29" s="254">
        <f t="shared" si="107"/>
        <v>14.183617774696369</v>
      </c>
      <c r="AW29" s="254">
        <f t="shared" si="107"/>
        <v>14.183617774696369</v>
      </c>
      <c r="AX29" s="254">
        <f t="shared" si="107"/>
        <v>14.183617774696369</v>
      </c>
      <c r="AY29" s="254">
        <f t="shared" si="107"/>
        <v>14.183617774696369</v>
      </c>
      <c r="AZ29" s="254">
        <f t="shared" si="107"/>
        <v>14.183617774696369</v>
      </c>
      <c r="BA29" s="254">
        <f t="shared" si="107"/>
        <v>14.183617774696369</v>
      </c>
      <c r="BB29" s="254">
        <f t="shared" si="107"/>
        <v>14.183617774696369</v>
      </c>
      <c r="BC29" s="254">
        <f t="shared" si="107"/>
        <v>14.183617774696369</v>
      </c>
      <c r="BD29" s="254">
        <f t="shared" si="107"/>
        <v>14.183617774696369</v>
      </c>
      <c r="BE29" s="254">
        <f t="shared" si="107"/>
        <v>14.183617774696369</v>
      </c>
      <c r="BF29" s="254">
        <f t="shared" si="107"/>
        <v>14.183617774696369</v>
      </c>
      <c r="BG29" s="254">
        <f t="shared" si="107"/>
        <v>14.183617774696369</v>
      </c>
      <c r="BH29" s="254">
        <f t="shared" si="107"/>
        <v>14.183617774696369</v>
      </c>
      <c r="BI29" s="254">
        <f t="shared" si="107"/>
        <v>14.183617774696369</v>
      </c>
      <c r="BJ29" s="254">
        <f t="shared" si="107"/>
        <v>14.183617774696369</v>
      </c>
      <c r="BK29" s="254">
        <f t="shared" si="107"/>
        <v>14.183617774696369</v>
      </c>
      <c r="BL29" s="254">
        <f t="shared" si="107"/>
        <v>14.183617774696369</v>
      </c>
      <c r="BM29" s="254">
        <f t="shared" si="107"/>
        <v>14.183617774696369</v>
      </c>
      <c r="BN29" s="254">
        <f t="shared" si="107"/>
        <v>14.183617774696369</v>
      </c>
      <c r="BO29" s="254">
        <f t="shared" si="107"/>
        <v>14.183617774696369</v>
      </c>
      <c r="BP29" s="254">
        <f t="shared" si="107"/>
        <v>14.183617774696369</v>
      </c>
      <c r="BQ29" s="254">
        <f t="shared" si="107"/>
        <v>14.183617774696369</v>
      </c>
      <c r="BR29" s="254">
        <f t="shared" si="107"/>
        <v>14.183617774696369</v>
      </c>
      <c r="BS29" s="254">
        <f t="shared" si="107"/>
        <v>14.183617774696369</v>
      </c>
      <c r="BT29" s="254">
        <f t="shared" si="107"/>
        <v>14.183617774696369</v>
      </c>
      <c r="BU29" s="254">
        <f t="shared" si="107"/>
        <v>14.183617774696369</v>
      </c>
      <c r="BV29" s="254">
        <f t="shared" si="107"/>
        <v>14.183617774696369</v>
      </c>
      <c r="BW29" s="1077">
        <f>+BV29*BW$136/BV$136</f>
        <v>14.230711556264829</v>
      </c>
      <c r="BX29" s="1077">
        <f t="shared" ref="BX29:CZ29" si="108">+BW29*BX$136/BW$136</f>
        <v>14.277961703035571</v>
      </c>
      <c r="BY29" s="1077">
        <f t="shared" si="108"/>
        <v>14.325368734187041</v>
      </c>
      <c r="BZ29" s="1077">
        <f t="shared" si="108"/>
        <v>14.372933170621517</v>
      </c>
      <c r="CA29" s="1077">
        <f t="shared" si="108"/>
        <v>14.420655534970821</v>
      </c>
      <c r="CB29" s="1077">
        <f t="shared" si="108"/>
        <v>14.451428179067991</v>
      </c>
      <c r="CC29" s="1077">
        <f t="shared" si="108"/>
        <v>14.482266489779443</v>
      </c>
      <c r="CD29" s="1077">
        <f t="shared" si="108"/>
        <v>14.51317060723302</v>
      </c>
      <c r="CE29" s="1077">
        <f t="shared" si="108"/>
        <v>14.54414067185559</v>
      </c>
      <c r="CF29" s="1077">
        <f t="shared" si="108"/>
        <v>14.575176824373679</v>
      </c>
      <c r="CG29" s="1077">
        <f t="shared" si="108"/>
        <v>14.585254066221541</v>
      </c>
      <c r="CH29" s="1077">
        <f t="shared" si="108"/>
        <v>14.595338275449933</v>
      </c>
      <c r="CI29" s="1077">
        <f t="shared" si="108"/>
        <v>14.605429456876088</v>
      </c>
      <c r="CJ29" s="1077">
        <f t="shared" si="108"/>
        <v>14.615527615320566</v>
      </c>
      <c r="CK29" s="1077">
        <f t="shared" si="108"/>
        <v>14.625632755607262</v>
      </c>
      <c r="CL29" s="1077">
        <f t="shared" si="108"/>
        <v>14.629057949594106</v>
      </c>
      <c r="CM29" s="1077">
        <f t="shared" si="108"/>
        <v>14.632483945731124</v>
      </c>
      <c r="CN29" s="1077">
        <f t="shared" si="108"/>
        <v>14.635910744206171</v>
      </c>
      <c r="CO29" s="1077">
        <f t="shared" si="108"/>
        <v>14.639338345207147</v>
      </c>
      <c r="CP29" s="1077">
        <f t="shared" si="108"/>
        <v>14.642766748922</v>
      </c>
      <c r="CQ29" s="1077">
        <f t="shared" si="108"/>
        <v>14.647962823919764</v>
      </c>
      <c r="CR29" s="1077">
        <f t="shared" si="108"/>
        <v>14.6531607427764</v>
      </c>
      <c r="CS29" s="1077">
        <f t="shared" si="108"/>
        <v>14.658360506146211</v>
      </c>
      <c r="CT29" s="1077">
        <f t="shared" si="108"/>
        <v>14.663562114683737</v>
      </c>
      <c r="CU29" s="1077">
        <f t="shared" si="108"/>
        <v>14.668765569043746</v>
      </c>
      <c r="CV29" s="1077">
        <f t="shared" si="108"/>
        <v>14.676773707333766</v>
      </c>
      <c r="CW29" s="1077">
        <f t="shared" si="108"/>
        <v>14.68478621751715</v>
      </c>
      <c r="CX29" s="1077">
        <f t="shared" si="108"/>
        <v>14.692803101980653</v>
      </c>
      <c r="CY29" s="1077">
        <f t="shared" si="108"/>
        <v>14.700824363112332</v>
      </c>
      <c r="CZ29" s="1077">
        <f t="shared" si="108"/>
        <v>14.708850003301547</v>
      </c>
    </row>
    <row r="30" spans="1:104" x14ac:dyDescent="0.25">
      <c r="A30" s="806" t="str">
        <f>'HyARC Physical Property Data'!A85</f>
        <v>Woody Biomass</v>
      </c>
      <c r="B30" s="254">
        <v>2005</v>
      </c>
      <c r="C30" s="726">
        <f>VLOOKUP(ref_year,DeflatorTable,2,FALSE)/VLOOKUP(B30,DeflatorTable,2,FALSE)</f>
        <v>1.208440716126562</v>
      </c>
      <c r="D30" s="1030" t="str">
        <f>+'HyARC Physical Property Data'!$H$85</f>
        <v>kg</v>
      </c>
      <c r="E30" s="747" t="s">
        <v>1034</v>
      </c>
      <c r="F30" s="254">
        <f>'HyARC Physical Property Data'!$E$45</f>
        <v>19.551069237418005</v>
      </c>
      <c r="G30" s="254">
        <f>'HyARC Physical Property Data'!$I$45</f>
        <v>20.588656379262464</v>
      </c>
      <c r="H30" s="853">
        <v>1.3438238843289665</v>
      </c>
      <c r="I30" s="853">
        <v>1.3438238843289665</v>
      </c>
      <c r="J30" s="853">
        <v>1.3438238843289665</v>
      </c>
      <c r="K30" s="853">
        <v>1.3438238843289665</v>
      </c>
      <c r="L30" s="853">
        <v>1.3438238843289665</v>
      </c>
      <c r="M30" s="853">
        <v>1.3438238843289665</v>
      </c>
      <c r="N30" s="807">
        <f>1.27*($C$30)</f>
        <v>1.5347197094807337</v>
      </c>
      <c r="O30" s="807">
        <f>1.27*($C$30)</f>
        <v>1.5347197094807337</v>
      </c>
      <c r="P30" s="807">
        <f>1.28*($C$30)</f>
        <v>1.5468041166419995</v>
      </c>
      <c r="Q30" s="807">
        <f>1.32*($C$30)</f>
        <v>1.595141745287062</v>
      </c>
      <c r="R30" s="807">
        <f>1.32*($C$30)</f>
        <v>1.595141745287062</v>
      </c>
      <c r="S30" s="807">
        <f>1.34*($C$30)</f>
        <v>1.6193105596095931</v>
      </c>
      <c r="T30" s="807">
        <f>1.34*($C$30)</f>
        <v>1.6193105596095931</v>
      </c>
      <c r="U30" s="807">
        <f>1.36*($C$30)</f>
        <v>1.6434793739321245</v>
      </c>
      <c r="V30" s="807">
        <f>1.36*($C$30)</f>
        <v>1.6434793739321245</v>
      </c>
      <c r="W30" s="807">
        <f>1.38*($C$30)</f>
        <v>1.6676481882546554</v>
      </c>
      <c r="X30" s="807">
        <f>1.4*($C$30)</f>
        <v>1.6918170025771868</v>
      </c>
      <c r="Y30" s="807">
        <f>1.46*($C$30)</f>
        <v>1.7643234455447805</v>
      </c>
      <c r="Z30" s="807">
        <f>1.48*($C$30)</f>
        <v>1.7884922598673119</v>
      </c>
      <c r="AA30" s="807">
        <f>1.48*($C$30)</f>
        <v>1.7884922598673119</v>
      </c>
      <c r="AB30" s="807">
        <f>1.51*($C$30)</f>
        <v>1.8247454813511086</v>
      </c>
      <c r="AC30" s="807">
        <f>1.52*($C$30)</f>
        <v>1.8368298885123742</v>
      </c>
      <c r="AD30" s="807">
        <f>1.62*($C$30)</f>
        <v>1.9576739601250306</v>
      </c>
      <c r="AE30" s="807">
        <f>1.72*($C$30)</f>
        <v>2.0785180317376866</v>
      </c>
      <c r="AF30" s="807">
        <f>1.82*($C$30)</f>
        <v>2.1993621033503428</v>
      </c>
      <c r="AG30" s="807">
        <f>1.91*($C$30)</f>
        <v>2.3081217678017332</v>
      </c>
      <c r="AH30" s="807">
        <f>2.01*($C$30)</f>
        <v>2.4289658394143894</v>
      </c>
      <c r="AI30" s="807">
        <f>2.11*($C$30)</f>
        <v>2.5498099110270456</v>
      </c>
      <c r="AJ30" s="807">
        <f>2.2*($C$30)</f>
        <v>2.6585695754784364</v>
      </c>
      <c r="AK30" s="807">
        <f>2.3*($C$30)</f>
        <v>2.7794136470910926</v>
      </c>
      <c r="AL30" s="807">
        <f>2.4*($C$30)</f>
        <v>2.9002577187037488</v>
      </c>
      <c r="AM30" s="807">
        <f>2.5*($C$30)</f>
        <v>3.021101790316405</v>
      </c>
      <c r="AN30" s="807">
        <f>2.57*($C$30)</f>
        <v>3.1056926404452643</v>
      </c>
      <c r="AO30" s="807">
        <f>2.64*($C$30)</f>
        <v>3.190283490574124</v>
      </c>
      <c r="AP30" s="807">
        <f>2.71*($C$30)</f>
        <v>3.2748743407029832</v>
      </c>
      <c r="AQ30" s="807">
        <f>2.78*($C$30)</f>
        <v>3.359465190831842</v>
      </c>
      <c r="AR30" s="807">
        <f>2.85*($C$30)</f>
        <v>3.4440560409607017</v>
      </c>
      <c r="AS30" s="807">
        <f>2.92*($C$30)</f>
        <v>3.528646891089561</v>
      </c>
      <c r="AT30" s="807">
        <f>2.99*($C$30)</f>
        <v>3.6132377412184207</v>
      </c>
      <c r="AU30" s="807">
        <f>3.07*($C$30)</f>
        <v>3.7099129985085453</v>
      </c>
      <c r="AV30" s="807">
        <f>3.14*($C$30)</f>
        <v>3.794503848637405</v>
      </c>
      <c r="AW30" s="807">
        <f>3.21*($C$30)</f>
        <v>3.8790946987662642</v>
      </c>
      <c r="AX30" s="807">
        <f>3.28*($C$30)</f>
        <v>3.963685548895123</v>
      </c>
      <c r="AY30" s="807">
        <f>3.35*($C$30)</f>
        <v>4.0482763990239832</v>
      </c>
      <c r="AZ30" s="807">
        <f>3.42*($C$30)</f>
        <v>4.1328672491528424</v>
      </c>
      <c r="BA30" s="807">
        <f>3.49*($C$30)</f>
        <v>4.2174580992817017</v>
      </c>
      <c r="BB30" s="807">
        <f>3.56*($C$30)</f>
        <v>4.3020489494105609</v>
      </c>
      <c r="BC30" s="807">
        <f>3.64*($C$30)</f>
        <v>4.3987242067006855</v>
      </c>
      <c r="BD30" s="807">
        <f>3.71*($C$30)</f>
        <v>4.4833150568295448</v>
      </c>
      <c r="BE30" s="807">
        <f>3.78*($C$30)</f>
        <v>4.567905906958404</v>
      </c>
      <c r="BF30" s="807">
        <f>3.85*($C$30)</f>
        <v>4.6524967570872642</v>
      </c>
      <c r="BG30" s="807">
        <f>3.92*($C$30)</f>
        <v>4.7370876072161234</v>
      </c>
      <c r="BH30" s="807">
        <f>3.99*($C$30)</f>
        <v>4.8216784573449827</v>
      </c>
      <c r="BI30" s="807">
        <f>4.06*($C$30)</f>
        <v>4.906269307473841</v>
      </c>
      <c r="BJ30" s="807">
        <f>4.14*($C$30)</f>
        <v>5.0029445647639665</v>
      </c>
      <c r="BK30" s="807">
        <f>4.21*($C$30)</f>
        <v>5.0875354148928258</v>
      </c>
      <c r="BL30" s="807">
        <f>4.28*($C$30)</f>
        <v>5.1721262650216859</v>
      </c>
      <c r="BM30" s="807">
        <f>4.35*($C$30)</f>
        <v>5.2567171151505443</v>
      </c>
      <c r="BN30" s="807">
        <f>4.42*($C$30)</f>
        <v>5.3413079652794044</v>
      </c>
      <c r="BO30" s="807">
        <f>4.49*($C$30)</f>
        <v>5.4258988154082637</v>
      </c>
      <c r="BP30" s="807">
        <f>4.56*($C$30)</f>
        <v>5.5104896655371221</v>
      </c>
      <c r="BQ30" s="807">
        <f>4.63*($C$30)</f>
        <v>5.5950805156659822</v>
      </c>
      <c r="BR30" s="807">
        <f>4.71*($C$30)</f>
        <v>5.6917557729561068</v>
      </c>
      <c r="BS30" s="807">
        <f>4.78*($C$30)</f>
        <v>5.7763466230849669</v>
      </c>
      <c r="BT30" s="807">
        <f>4.85*($C$30)</f>
        <v>5.8609374732138253</v>
      </c>
      <c r="BU30" s="807">
        <f>4.92*($C$30)</f>
        <v>5.9455283233426854</v>
      </c>
      <c r="BV30" s="808">
        <f>4.99*($C$30)</f>
        <v>6.0301191734715447</v>
      </c>
      <c r="BW30" s="1077">
        <f>+BV30*BW$138/BV$138</f>
        <v>6.0446132076616896</v>
      </c>
      <c r="BX30" s="1077">
        <f t="shared" ref="BX30:CZ30" si="109">+BW30*BX$138/BW$138</f>
        <v>6.0591420798079438</v>
      </c>
      <c r="BY30" s="1077">
        <f t="shared" si="109"/>
        <v>6.0737058736470511</v>
      </c>
      <c r="BZ30" s="1077">
        <f t="shared" si="109"/>
        <v>6.0883046731170198</v>
      </c>
      <c r="CA30" s="1077">
        <f t="shared" si="109"/>
        <v>6.1029385623576156</v>
      </c>
      <c r="CB30" s="1077">
        <f t="shared" si="109"/>
        <v>6.1157485681116217</v>
      </c>
      <c r="CC30" s="1077">
        <f t="shared" si="109"/>
        <v>6.1285854619369617</v>
      </c>
      <c r="CD30" s="1077">
        <f t="shared" si="109"/>
        <v>6.1414493002714252</v>
      </c>
      <c r="CE30" s="1077">
        <f t="shared" si="109"/>
        <v>6.1543401396712598</v>
      </c>
      <c r="CF30" s="1077">
        <f t="shared" si="109"/>
        <v>6.167258036811428</v>
      </c>
      <c r="CG30" s="1077">
        <f t="shared" si="109"/>
        <v>6.183149548139812</v>
      </c>
      <c r="CH30" s="1077">
        <f t="shared" si="109"/>
        <v>6.1990820079952069</v>
      </c>
      <c r="CI30" s="1077">
        <f t="shared" si="109"/>
        <v>6.215055521891923</v>
      </c>
      <c r="CJ30" s="1077">
        <f t="shared" si="109"/>
        <v>6.2310701956161552</v>
      </c>
      <c r="CK30" s="1077">
        <f t="shared" si="109"/>
        <v>6.2471261352266838</v>
      </c>
      <c r="CL30" s="1077">
        <f t="shared" si="109"/>
        <v>6.2604975997429575</v>
      </c>
      <c r="CM30" s="1077">
        <f t="shared" si="109"/>
        <v>6.2738976847896071</v>
      </c>
      <c r="CN30" s="1077">
        <f t="shared" si="109"/>
        <v>6.2873264516265444</v>
      </c>
      <c r="CO30" s="1077">
        <f t="shared" si="109"/>
        <v>6.3007839616448056</v>
      </c>
      <c r="CP30" s="1077">
        <f t="shared" si="109"/>
        <v>6.3142702763668277</v>
      </c>
      <c r="CQ30" s="1077">
        <f t="shared" si="109"/>
        <v>6.326614172551615</v>
      </c>
      <c r="CR30" s="1077">
        <f t="shared" si="109"/>
        <v>6.3389822000716718</v>
      </c>
      <c r="CS30" s="1077">
        <f t="shared" si="109"/>
        <v>6.3513744061018391</v>
      </c>
      <c r="CT30" s="1077">
        <f t="shared" si="109"/>
        <v>6.3637908379091801</v>
      </c>
      <c r="CU30" s="1077">
        <f t="shared" si="109"/>
        <v>6.376231542853164</v>
      </c>
      <c r="CV30" s="1077">
        <f t="shared" si="109"/>
        <v>6.3909193633613004</v>
      </c>
      <c r="CW30" s="1077">
        <f t="shared" si="109"/>
        <v>6.4056410176582252</v>
      </c>
      <c r="CX30" s="1077">
        <f t="shared" si="109"/>
        <v>6.4203965836809767</v>
      </c>
      <c r="CY30" s="1077">
        <f t="shared" si="109"/>
        <v>6.4351861395461265</v>
      </c>
      <c r="CZ30" s="1077">
        <f t="shared" si="109"/>
        <v>6.450009763550189</v>
      </c>
    </row>
    <row r="31" spans="1:104" x14ac:dyDescent="0.25">
      <c r="A31" s="806" t="str">
        <f>'HyARC Physical Property Data'!$A$87</f>
        <v>Woody Biomass MYPP</v>
      </c>
      <c r="B31" s="254">
        <v>2007</v>
      </c>
      <c r="C31" s="726">
        <f>VLOOKUP(ref_year,DeflatorTable,2,FALSE)/VLOOKUP(B31,DeflatorTable,2,FALSE)</f>
        <v>1.1413971588333081</v>
      </c>
      <c r="D31" s="1030" t="str">
        <f>+'HyARC Physical Property Data'!$H$87</f>
        <v>kg</v>
      </c>
      <c r="E31" s="747" t="s">
        <v>1034</v>
      </c>
      <c r="F31" s="254">
        <v>18.608000000000001</v>
      </c>
      <c r="G31" s="254"/>
      <c r="H31" s="852">
        <v>4.4443250214961303</v>
      </c>
      <c r="I31" s="852">
        <v>4.4443250214961303</v>
      </c>
      <c r="J31" s="852">
        <v>4.4443250214961303</v>
      </c>
      <c r="K31" s="852">
        <v>4.4443250214961303</v>
      </c>
      <c r="L31" s="852">
        <v>4.4443250214961303</v>
      </c>
      <c r="M31" s="852">
        <v>4.4443250214961303</v>
      </c>
      <c r="N31" s="254">
        <f>4.44432502149613*$C$31</f>
        <v>5.0727399524674635</v>
      </c>
      <c r="O31" s="807">
        <f t="shared" ref="O31:T31" si="110">N31-($N$31-$U$31)/7</f>
        <v>4.9524277749801975</v>
      </c>
      <c r="P31" s="807">
        <f t="shared" si="110"/>
        <v>4.8321155974929315</v>
      </c>
      <c r="Q31" s="807">
        <f t="shared" si="110"/>
        <v>4.7118034200056655</v>
      </c>
      <c r="R31" s="807">
        <f t="shared" si="110"/>
        <v>4.5914912425183996</v>
      </c>
      <c r="S31" s="807">
        <f t="shared" si="110"/>
        <v>4.4711790650311336</v>
      </c>
      <c r="T31" s="807">
        <f t="shared" si="110"/>
        <v>4.3508668875438676</v>
      </c>
      <c r="U31" s="807">
        <f>3.70647033533964*$C$31</f>
        <v>4.2305547100566034</v>
      </c>
      <c r="V31" s="807">
        <f t="shared" ref="V31:BV31" si="111">3.70647033533964*$C$31</f>
        <v>4.2305547100566034</v>
      </c>
      <c r="W31" s="807">
        <f t="shared" si="111"/>
        <v>4.2305547100566034</v>
      </c>
      <c r="X31" s="807">
        <f t="shared" si="111"/>
        <v>4.2305547100566034</v>
      </c>
      <c r="Y31" s="807">
        <f t="shared" si="111"/>
        <v>4.2305547100566034</v>
      </c>
      <c r="Z31" s="807">
        <f t="shared" si="111"/>
        <v>4.2305547100566034</v>
      </c>
      <c r="AA31" s="807">
        <f t="shared" si="111"/>
        <v>4.2305547100566034</v>
      </c>
      <c r="AB31" s="807">
        <f t="shared" si="111"/>
        <v>4.2305547100566034</v>
      </c>
      <c r="AC31" s="807">
        <f t="shared" si="111"/>
        <v>4.2305547100566034</v>
      </c>
      <c r="AD31" s="807">
        <f t="shared" si="111"/>
        <v>4.2305547100566034</v>
      </c>
      <c r="AE31" s="807">
        <f t="shared" si="111"/>
        <v>4.2305547100566034</v>
      </c>
      <c r="AF31" s="807">
        <f t="shared" si="111"/>
        <v>4.2305547100566034</v>
      </c>
      <c r="AG31" s="807">
        <f t="shared" si="111"/>
        <v>4.2305547100566034</v>
      </c>
      <c r="AH31" s="807">
        <f t="shared" si="111"/>
        <v>4.2305547100566034</v>
      </c>
      <c r="AI31" s="807">
        <f t="shared" si="111"/>
        <v>4.2305547100566034</v>
      </c>
      <c r="AJ31" s="807">
        <f t="shared" si="111"/>
        <v>4.2305547100566034</v>
      </c>
      <c r="AK31" s="807">
        <f t="shared" si="111"/>
        <v>4.2305547100566034</v>
      </c>
      <c r="AL31" s="807">
        <f t="shared" si="111"/>
        <v>4.2305547100566034</v>
      </c>
      <c r="AM31" s="807">
        <f t="shared" si="111"/>
        <v>4.2305547100566034</v>
      </c>
      <c r="AN31" s="807">
        <f t="shared" si="111"/>
        <v>4.2305547100566034</v>
      </c>
      <c r="AO31" s="807">
        <f t="shared" si="111"/>
        <v>4.2305547100566034</v>
      </c>
      <c r="AP31" s="807">
        <f t="shared" si="111"/>
        <v>4.2305547100566034</v>
      </c>
      <c r="AQ31" s="807">
        <f t="shared" si="111"/>
        <v>4.2305547100566034</v>
      </c>
      <c r="AR31" s="807">
        <f t="shared" si="111"/>
        <v>4.2305547100566034</v>
      </c>
      <c r="AS31" s="807">
        <f t="shared" si="111"/>
        <v>4.2305547100566034</v>
      </c>
      <c r="AT31" s="807">
        <f t="shared" si="111"/>
        <v>4.2305547100566034</v>
      </c>
      <c r="AU31" s="807">
        <f t="shared" si="111"/>
        <v>4.2305547100566034</v>
      </c>
      <c r="AV31" s="807">
        <f t="shared" si="111"/>
        <v>4.2305547100566034</v>
      </c>
      <c r="AW31" s="807">
        <f t="shared" si="111"/>
        <v>4.2305547100566034</v>
      </c>
      <c r="AX31" s="807">
        <f t="shared" si="111"/>
        <v>4.2305547100566034</v>
      </c>
      <c r="AY31" s="807">
        <f t="shared" si="111"/>
        <v>4.2305547100566034</v>
      </c>
      <c r="AZ31" s="807">
        <f t="shared" si="111"/>
        <v>4.2305547100566034</v>
      </c>
      <c r="BA31" s="807">
        <f t="shared" si="111"/>
        <v>4.2305547100566034</v>
      </c>
      <c r="BB31" s="807">
        <f t="shared" si="111"/>
        <v>4.2305547100566034</v>
      </c>
      <c r="BC31" s="807">
        <f t="shared" si="111"/>
        <v>4.2305547100566034</v>
      </c>
      <c r="BD31" s="807">
        <f t="shared" si="111"/>
        <v>4.2305547100566034</v>
      </c>
      <c r="BE31" s="807">
        <f t="shared" si="111"/>
        <v>4.2305547100566034</v>
      </c>
      <c r="BF31" s="807">
        <f t="shared" si="111"/>
        <v>4.2305547100566034</v>
      </c>
      <c r="BG31" s="807">
        <f t="shared" si="111"/>
        <v>4.2305547100566034</v>
      </c>
      <c r="BH31" s="807">
        <f t="shared" si="111"/>
        <v>4.2305547100566034</v>
      </c>
      <c r="BI31" s="807">
        <f t="shared" si="111"/>
        <v>4.2305547100566034</v>
      </c>
      <c r="BJ31" s="807">
        <f t="shared" si="111"/>
        <v>4.2305547100566034</v>
      </c>
      <c r="BK31" s="807">
        <f t="shared" si="111"/>
        <v>4.2305547100566034</v>
      </c>
      <c r="BL31" s="807">
        <f t="shared" si="111"/>
        <v>4.2305547100566034</v>
      </c>
      <c r="BM31" s="807">
        <f t="shared" si="111"/>
        <v>4.2305547100566034</v>
      </c>
      <c r="BN31" s="807">
        <f t="shared" si="111"/>
        <v>4.2305547100566034</v>
      </c>
      <c r="BO31" s="807">
        <f t="shared" si="111"/>
        <v>4.2305547100566034</v>
      </c>
      <c r="BP31" s="807">
        <f t="shared" si="111"/>
        <v>4.2305547100566034</v>
      </c>
      <c r="BQ31" s="807">
        <f t="shared" si="111"/>
        <v>4.2305547100566034</v>
      </c>
      <c r="BR31" s="807">
        <f t="shared" si="111"/>
        <v>4.2305547100566034</v>
      </c>
      <c r="BS31" s="807">
        <f t="shared" si="111"/>
        <v>4.2305547100566034</v>
      </c>
      <c r="BT31" s="807">
        <f t="shared" si="111"/>
        <v>4.2305547100566034</v>
      </c>
      <c r="BU31" s="807">
        <f t="shared" si="111"/>
        <v>4.2305547100566034</v>
      </c>
      <c r="BV31" s="807">
        <f t="shared" si="111"/>
        <v>4.2305547100566034</v>
      </c>
      <c r="BW31" s="1077">
        <f>+BV31*BW$138/BV$138</f>
        <v>4.2407232992414734</v>
      </c>
      <c r="BX31" s="1077">
        <f t="shared" ref="BX31:CZ31" si="112">+BW31*BX$138/BW$138</f>
        <v>4.2509163297143298</v>
      </c>
      <c r="BY31" s="1077">
        <f t="shared" si="112"/>
        <v>4.2611338602224134</v>
      </c>
      <c r="BZ31" s="1077">
        <f t="shared" si="112"/>
        <v>4.2713759496541703</v>
      </c>
      <c r="CA31" s="1077">
        <f t="shared" si="112"/>
        <v>4.2816426570395922</v>
      </c>
      <c r="CB31" s="1077">
        <f t="shared" si="112"/>
        <v>4.2906297812770164</v>
      </c>
      <c r="CC31" s="1077">
        <f t="shared" si="112"/>
        <v>4.2996357693964899</v>
      </c>
      <c r="CD31" s="1077">
        <f t="shared" si="112"/>
        <v>4.3086606609931088</v>
      </c>
      <c r="CE31" s="1077">
        <f t="shared" si="112"/>
        <v>4.3177044957450779</v>
      </c>
      <c r="CF31" s="1077">
        <f t="shared" si="112"/>
        <v>4.3267673134138871</v>
      </c>
      <c r="CG31" s="1077">
        <f t="shared" si="112"/>
        <v>4.3379163315619822</v>
      </c>
      <c r="CH31" s="1077">
        <f t="shared" si="112"/>
        <v>4.3490940779953462</v>
      </c>
      <c r="CI31" s="1077">
        <f t="shared" si="112"/>
        <v>4.3603006267397229</v>
      </c>
      <c r="CJ31" s="1077">
        <f t="shared" si="112"/>
        <v>4.3715360520116029</v>
      </c>
      <c r="CK31" s="1077">
        <f t="shared" si="112"/>
        <v>4.3828004282187161</v>
      </c>
      <c r="CL31" s="1077">
        <f t="shared" si="112"/>
        <v>4.3921814554525627</v>
      </c>
      <c r="CM31" s="1077">
        <f t="shared" si="112"/>
        <v>4.4015825620108968</v>
      </c>
      <c r="CN31" s="1077">
        <f t="shared" si="112"/>
        <v>4.4110037908718764</v>
      </c>
      <c r="CO31" s="1077">
        <f t="shared" si="112"/>
        <v>4.4204451851056508</v>
      </c>
      <c r="CP31" s="1077">
        <f t="shared" si="112"/>
        <v>4.4299067878745575</v>
      </c>
      <c r="CQ31" s="1077">
        <f t="shared" si="112"/>
        <v>4.4385669033121991</v>
      </c>
      <c r="CR31" s="1077">
        <f t="shared" si="112"/>
        <v>4.4472439485867392</v>
      </c>
      <c r="CS31" s="1077">
        <f t="shared" si="112"/>
        <v>4.4559379567946618</v>
      </c>
      <c r="CT31" s="1077">
        <f t="shared" si="112"/>
        <v>4.4646489610971525</v>
      </c>
      <c r="CU31" s="1077">
        <f t="shared" si="112"/>
        <v>4.4733769947202253</v>
      </c>
      <c r="CV31" s="1077">
        <f t="shared" si="112"/>
        <v>4.4836815387008029</v>
      </c>
      <c r="CW31" s="1077">
        <f t="shared" si="112"/>
        <v>4.494009819475032</v>
      </c>
      <c r="CX31" s="1077">
        <f t="shared" si="112"/>
        <v>4.5043618917212536</v>
      </c>
      <c r="CY31" s="1077">
        <f t="shared" si="112"/>
        <v>4.5147378102437621</v>
      </c>
      <c r="CZ31" s="1077">
        <f t="shared" si="112"/>
        <v>4.525137629973095</v>
      </c>
    </row>
    <row r="32" spans="1:104" x14ac:dyDescent="0.25">
      <c r="A32" s="812" t="str">
        <f>'HyARC Physical Property Data'!A79</f>
        <v>Electric Utility Steam Coal</v>
      </c>
      <c r="B32" s="254">
        <v>2011</v>
      </c>
      <c r="C32" s="726">
        <f>VLOOKUP(ref_year,DeflatorTable,2,FALSE)/VLOOKUP(B32,DeflatorTable,2,FALSE)</f>
        <v>1.0771767810026385</v>
      </c>
      <c r="D32" s="1030" t="str">
        <f>+'HyARC Physical Property Data'!$H$79</f>
        <v>kg</v>
      </c>
      <c r="E32" s="747" t="s">
        <v>1034</v>
      </c>
      <c r="F32" s="254">
        <f>'HyARC Physical Property Data'!E42</f>
        <v>22.7322030001394</v>
      </c>
      <c r="G32" s="254">
        <f>'HyARC Physical Property Data'!I42</f>
        <v>23.967615189707661</v>
      </c>
      <c r="H32" s="852">
        <v>1.7344499599167666</v>
      </c>
      <c r="I32" s="852">
        <v>1.7344499599167666</v>
      </c>
      <c r="J32" s="852">
        <v>1.7344499599167666</v>
      </c>
      <c r="K32" s="852">
        <v>1.7788973636542149</v>
      </c>
      <c r="L32" s="852">
        <v>1.9298772179141501</v>
      </c>
      <c r="M32" s="852">
        <v>1.9810774561110811</v>
      </c>
      <c r="N32" s="254">
        <f t="shared" ref="N32:AR32" si="113">N50*($C32/mmBTU_to_GJ*$G32/$F32)</f>
        <v>2.4738067312648084</v>
      </c>
      <c r="O32" s="254">
        <f t="shared" si="113"/>
        <v>2.562092342657099</v>
      </c>
      <c r="P32" s="254">
        <f t="shared" si="113"/>
        <v>2.5893000409210973</v>
      </c>
      <c r="Q32" s="254">
        <f t="shared" si="113"/>
        <v>2.5157066296517416</v>
      </c>
      <c r="R32" s="254">
        <f t="shared" si="113"/>
        <v>2.5782561311129801</v>
      </c>
      <c r="S32" s="254">
        <f t="shared" si="113"/>
        <v>2.5794316793643168</v>
      </c>
      <c r="T32" s="254">
        <f t="shared" si="113"/>
        <v>2.6463884102586808</v>
      </c>
      <c r="U32" s="254">
        <f t="shared" si="113"/>
        <v>2.6614358584795466</v>
      </c>
      <c r="V32" s="254">
        <f t="shared" si="113"/>
        <v>2.6700253268837741</v>
      </c>
      <c r="W32" s="254">
        <f t="shared" si="113"/>
        <v>2.6738598533226581</v>
      </c>
      <c r="X32" s="254">
        <f t="shared" si="113"/>
        <v>2.7085589804154591</v>
      </c>
      <c r="Y32" s="254">
        <f t="shared" si="113"/>
        <v>2.7412837892912716</v>
      </c>
      <c r="Z32" s="254">
        <f t="shared" si="113"/>
        <v>2.7897299412646319</v>
      </c>
      <c r="AA32" s="254">
        <f t="shared" si="113"/>
        <v>2.829150638531758</v>
      </c>
      <c r="AB32" s="254">
        <f t="shared" si="113"/>
        <v>2.8628658360442274</v>
      </c>
      <c r="AC32" s="254">
        <f t="shared" si="113"/>
        <v>2.8975789577590683</v>
      </c>
      <c r="AD32" s="254">
        <f t="shared" si="113"/>
        <v>2.9373430615208616</v>
      </c>
      <c r="AE32" s="254">
        <f t="shared" si="113"/>
        <v>2.9731875946021442</v>
      </c>
      <c r="AF32" s="254">
        <f t="shared" si="113"/>
        <v>3.0056045217930829</v>
      </c>
      <c r="AG32" s="254">
        <f t="shared" si="113"/>
        <v>3.0446516703026871</v>
      </c>
      <c r="AH32" s="254">
        <f t="shared" si="113"/>
        <v>3.0864493002977911</v>
      </c>
      <c r="AI32" s="254">
        <f t="shared" si="113"/>
        <v>3.1186476960830318</v>
      </c>
      <c r="AJ32" s="254">
        <f t="shared" si="113"/>
        <v>3.1475444375762862</v>
      </c>
      <c r="AK32" s="254">
        <f t="shared" si="113"/>
        <v>3.18024986928312</v>
      </c>
      <c r="AL32" s="254">
        <f t="shared" si="113"/>
        <v>3.2161686815121526</v>
      </c>
      <c r="AM32" s="254">
        <f t="shared" si="113"/>
        <v>3.2620441290677542</v>
      </c>
      <c r="AN32" s="254">
        <f t="shared" si="113"/>
        <v>3.3016661335903748</v>
      </c>
      <c r="AO32" s="254">
        <f t="shared" si="113"/>
        <v>3.3385419626650465</v>
      </c>
      <c r="AP32" s="254">
        <f t="shared" si="113"/>
        <v>3.3748515478018035</v>
      </c>
      <c r="AQ32" s="254">
        <f t="shared" si="113"/>
        <v>3.4125282998609028</v>
      </c>
      <c r="AR32" s="254">
        <f t="shared" si="113"/>
        <v>3.4464921710419247</v>
      </c>
      <c r="AS32" s="254">
        <f t="shared" ref="AS32:BA32" si="114">($BB32-$AR32)/10+AR32</f>
        <v>3.4437798221078069</v>
      </c>
      <c r="AT32" s="254">
        <f t="shared" si="114"/>
        <v>3.441067473173689</v>
      </c>
      <c r="AU32" s="254">
        <f t="shared" si="114"/>
        <v>3.4383551242395711</v>
      </c>
      <c r="AV32" s="254">
        <f t="shared" si="114"/>
        <v>3.4356427753054533</v>
      </c>
      <c r="AW32" s="254">
        <f t="shared" si="114"/>
        <v>3.4329304263713354</v>
      </c>
      <c r="AX32" s="254">
        <f t="shared" si="114"/>
        <v>3.4302180774372175</v>
      </c>
      <c r="AY32" s="254">
        <f t="shared" si="114"/>
        <v>3.4275057285030996</v>
      </c>
      <c r="AZ32" s="254">
        <f t="shared" si="114"/>
        <v>3.4247933795689818</v>
      </c>
      <c r="BA32" s="254">
        <f t="shared" si="114"/>
        <v>3.4220810306348639</v>
      </c>
      <c r="BB32" s="781">
        <f>('AEO Data'!$B$28*AM32)</f>
        <v>3.4193686817007474</v>
      </c>
      <c r="BC32" s="254">
        <f>(($BQ$32-$BB$32)/15+BB32)</f>
        <v>3.4313687390140855</v>
      </c>
      <c r="BD32" s="254">
        <f t="shared" ref="BD32:BP32" si="115">(($BQ$32-$BB$32)/15+BC32)</f>
        <v>3.4433687963274235</v>
      </c>
      <c r="BE32" s="254">
        <f t="shared" si="115"/>
        <v>3.4553688536407616</v>
      </c>
      <c r="BF32" s="254">
        <f t="shared" si="115"/>
        <v>3.4673689109540997</v>
      </c>
      <c r="BG32" s="254">
        <f t="shared" si="115"/>
        <v>3.4793689682674378</v>
      </c>
      <c r="BH32" s="254">
        <f t="shared" si="115"/>
        <v>3.4913690255807759</v>
      </c>
      <c r="BI32" s="254">
        <f t="shared" si="115"/>
        <v>3.503369082894114</v>
      </c>
      <c r="BJ32" s="254">
        <f t="shared" si="115"/>
        <v>3.5153691402074521</v>
      </c>
      <c r="BK32" s="254">
        <f t="shared" si="115"/>
        <v>3.5273691975207901</v>
      </c>
      <c r="BL32" s="254">
        <f t="shared" si="115"/>
        <v>3.5393692548341282</v>
      </c>
      <c r="BM32" s="254">
        <f t="shared" si="115"/>
        <v>3.5513693121474663</v>
      </c>
      <c r="BN32" s="254">
        <f t="shared" si="115"/>
        <v>3.5633693694608044</v>
      </c>
      <c r="BO32" s="254">
        <f t="shared" si="115"/>
        <v>3.5753694267741425</v>
      </c>
      <c r="BP32" s="254">
        <f t="shared" si="115"/>
        <v>3.5873694840874806</v>
      </c>
      <c r="BQ32" s="781">
        <f>('AEO Data'!$C$28*BB32)</f>
        <v>3.5993695414008169</v>
      </c>
      <c r="BR32" s="254">
        <f>(($BV$32-$BQ$32)/5+BQ32)</f>
        <v>3.6109087635521795</v>
      </c>
      <c r="BS32" s="254">
        <f>(($BV$32-$BQ$32)/5+BR32)</f>
        <v>3.6224479857035421</v>
      </c>
      <c r="BT32" s="254">
        <f>(($BV$32-$BQ$32)/5+BS32)</f>
        <v>3.6339872078549047</v>
      </c>
      <c r="BU32" s="254">
        <f>(($BV$32-$BQ$32)/5+BT32)</f>
        <v>3.6455264300062673</v>
      </c>
      <c r="BV32" s="805">
        <f>('AEO Data'!$D$28*BQ32)</f>
        <v>3.657065652157629</v>
      </c>
      <c r="BW32" s="1077">
        <f>+BV32*BW$139/BV$139</f>
        <v>3.6694300274580169</v>
      </c>
      <c r="BX32" s="1077">
        <f t="shared" ref="BX32:CZ32" si="116">+BW32*BX$139/BW$139</f>
        <v>3.6818362061579366</v>
      </c>
      <c r="BY32" s="1077">
        <f t="shared" si="116"/>
        <v>3.6942843295928096</v>
      </c>
      <c r="BZ32" s="1077">
        <f t="shared" si="116"/>
        <v>3.7067745395759086</v>
      </c>
      <c r="CA32" s="1077">
        <f t="shared" si="116"/>
        <v>3.7193069783999695</v>
      </c>
      <c r="CB32" s="1077">
        <f t="shared" si="116"/>
        <v>3.7299559382094629</v>
      </c>
      <c r="CC32" s="1077">
        <f t="shared" si="116"/>
        <v>3.7406353876627754</v>
      </c>
      <c r="CD32" s="1077">
        <f t="shared" si="116"/>
        <v>3.7513454140565434</v>
      </c>
      <c r="CE32" s="1077">
        <f t="shared" si="116"/>
        <v>3.7620861049373482</v>
      </c>
      <c r="CF32" s="1077">
        <f t="shared" si="116"/>
        <v>3.7728575481024307</v>
      </c>
      <c r="CG32" s="1077">
        <f t="shared" si="116"/>
        <v>3.7810815561772397</v>
      </c>
      <c r="CH32" s="1077">
        <f t="shared" si="116"/>
        <v>3.7893234907992221</v>
      </c>
      <c r="CI32" s="1077">
        <f t="shared" si="116"/>
        <v>3.7975833910443488</v>
      </c>
      <c r="CJ32" s="1077">
        <f t="shared" si="116"/>
        <v>3.8058612960737661</v>
      </c>
      <c r="CK32" s="1077">
        <f t="shared" si="116"/>
        <v>3.8141572451339845</v>
      </c>
      <c r="CL32" s="1077">
        <f t="shared" si="116"/>
        <v>3.8197812068711383</v>
      </c>
      <c r="CM32" s="1077">
        <f t="shared" si="116"/>
        <v>3.8254134611205277</v>
      </c>
      <c r="CN32" s="1077">
        <f t="shared" si="116"/>
        <v>3.8310540201094327</v>
      </c>
      <c r="CO32" s="1077">
        <f t="shared" si="116"/>
        <v>3.8367028960831631</v>
      </c>
      <c r="CP32" s="1077">
        <f t="shared" si="116"/>
        <v>3.8423601013050841</v>
      </c>
      <c r="CQ32" s="1077">
        <f t="shared" si="116"/>
        <v>3.8442546108659763</v>
      </c>
      <c r="CR32" s="1077">
        <f t="shared" si="116"/>
        <v>3.8461500545315284</v>
      </c>
      <c r="CS32" s="1077">
        <f t="shared" si="116"/>
        <v>3.8480464327623092</v>
      </c>
      <c r="CT32" s="1077">
        <f t="shared" si="116"/>
        <v>3.8499437460191142</v>
      </c>
      <c r="CU32" s="1077">
        <f t="shared" si="116"/>
        <v>3.8518419947629661</v>
      </c>
      <c r="CV32" s="1077">
        <f t="shared" si="116"/>
        <v>3.8491138019441373</v>
      </c>
      <c r="CW32" s="1077">
        <f t="shared" si="116"/>
        <v>3.8463875414569224</v>
      </c>
      <c r="CX32" s="1077">
        <f t="shared" si="116"/>
        <v>3.8436632119326841</v>
      </c>
      <c r="CY32" s="1077">
        <f t="shared" si="116"/>
        <v>3.8409408120037543</v>
      </c>
      <c r="CZ32" s="1077">
        <f t="shared" si="116"/>
        <v>3.8382203403034345</v>
      </c>
    </row>
    <row r="33" spans="1:106" x14ac:dyDescent="0.25">
      <c r="A33" s="806" t="str">
        <f>'HyARC Physical Property Data'!A76</f>
        <v>Commercial Electricity</v>
      </c>
      <c r="B33" s="254">
        <v>2011</v>
      </c>
      <c r="C33" s="726">
        <f t="shared" si="99"/>
        <v>1.0771767810026385</v>
      </c>
      <c r="D33" s="1030" t="str">
        <f>'HyARC Physical Property Data'!$H$76</f>
        <v>kWh</v>
      </c>
      <c r="E33" s="726" t="s">
        <v>1053</v>
      </c>
      <c r="F33" s="726"/>
      <c r="G33" s="726"/>
      <c r="H33" s="852">
        <v>26.896922396257633</v>
      </c>
      <c r="I33" s="852">
        <v>26.896922396257633</v>
      </c>
      <c r="J33" s="852">
        <v>26.896922396257633</v>
      </c>
      <c r="K33" s="852">
        <v>26.568469730033652</v>
      </c>
      <c r="L33" s="852">
        <v>27.542479456318485</v>
      </c>
      <c r="M33" s="852">
        <v>26.167555894896875</v>
      </c>
      <c r="N33" s="254">
        <f t="shared" ref="N33:AR33" si="117">(N51/(mmBTU_to_GJ))*($C33)</f>
        <v>31.133552693543749</v>
      </c>
      <c r="O33" s="254">
        <f t="shared" si="117"/>
        <v>30.610864657554803</v>
      </c>
      <c r="P33" s="254">
        <f t="shared" si="117"/>
        <v>29.061789491552979</v>
      </c>
      <c r="Q33" s="254">
        <f t="shared" si="117"/>
        <v>28.354246688716874</v>
      </c>
      <c r="R33" s="254">
        <f t="shared" si="117"/>
        <v>28.429556150508322</v>
      </c>
      <c r="S33" s="254">
        <f t="shared" si="117"/>
        <v>28.316980456176768</v>
      </c>
      <c r="T33" s="254">
        <f t="shared" si="117"/>
        <v>28.823692582125577</v>
      </c>
      <c r="U33" s="254">
        <f t="shared" si="117"/>
        <v>29.117226828521051</v>
      </c>
      <c r="V33" s="254">
        <f t="shared" si="117"/>
        <v>29.247133327289326</v>
      </c>
      <c r="W33" s="254">
        <f t="shared" si="117"/>
        <v>29.177516055596545</v>
      </c>
      <c r="X33" s="254">
        <f t="shared" si="117"/>
        <v>29.167046509897588</v>
      </c>
      <c r="Y33" s="254">
        <f t="shared" si="117"/>
        <v>29.278527670097162</v>
      </c>
      <c r="Z33" s="254">
        <f t="shared" si="117"/>
        <v>29.26715860520952</v>
      </c>
      <c r="AA33" s="254">
        <f t="shared" si="117"/>
        <v>29.230231351523717</v>
      </c>
      <c r="AB33" s="254">
        <f t="shared" si="117"/>
        <v>29.234638076629693</v>
      </c>
      <c r="AC33" s="254">
        <f t="shared" si="117"/>
        <v>29.084632786454755</v>
      </c>
      <c r="AD33" s="254">
        <f t="shared" si="117"/>
        <v>28.975210003876501</v>
      </c>
      <c r="AE33" s="254">
        <f t="shared" si="117"/>
        <v>28.966039196438619</v>
      </c>
      <c r="AF33" s="254">
        <f t="shared" si="117"/>
        <v>29.081694289036999</v>
      </c>
      <c r="AG33" s="254">
        <f t="shared" si="117"/>
        <v>29.178046986332202</v>
      </c>
      <c r="AH33" s="254">
        <f t="shared" si="117"/>
        <v>29.254591883104705</v>
      </c>
      <c r="AI33" s="254">
        <f t="shared" si="117"/>
        <v>29.386069732646401</v>
      </c>
      <c r="AJ33" s="254">
        <f t="shared" si="117"/>
        <v>29.520327821405793</v>
      </c>
      <c r="AK33" s="254">
        <f t="shared" si="117"/>
        <v>29.693042652777955</v>
      </c>
      <c r="AL33" s="254">
        <f t="shared" si="117"/>
        <v>29.886409668746637</v>
      </c>
      <c r="AM33" s="254">
        <f t="shared" si="117"/>
        <v>30.281916310070152</v>
      </c>
      <c r="AN33" s="254">
        <f t="shared" si="117"/>
        <v>30.734461248733886</v>
      </c>
      <c r="AO33" s="254">
        <f t="shared" si="117"/>
        <v>31.144263200115045</v>
      </c>
      <c r="AP33" s="254">
        <f t="shared" si="117"/>
        <v>31.594533304780605</v>
      </c>
      <c r="AQ33" s="254">
        <f t="shared" si="117"/>
        <v>32.138219651364906</v>
      </c>
      <c r="AR33" s="254">
        <f t="shared" si="117"/>
        <v>32.414492522727556</v>
      </c>
      <c r="AS33" s="254">
        <f t="shared" ref="AS33:BA33" si="118">($BB33-$AR33)/10+AR33</f>
        <v>32.12574672681761</v>
      </c>
      <c r="AT33" s="254">
        <f t="shared" si="118"/>
        <v>31.837000930907664</v>
      </c>
      <c r="AU33" s="254">
        <f t="shared" si="118"/>
        <v>31.548255134997717</v>
      </c>
      <c r="AV33" s="254">
        <f t="shared" si="118"/>
        <v>31.259509339087771</v>
      </c>
      <c r="AW33" s="254">
        <f t="shared" si="118"/>
        <v>30.970763543177824</v>
      </c>
      <c r="AX33" s="254">
        <f t="shared" si="118"/>
        <v>30.682017747267878</v>
      </c>
      <c r="AY33" s="254">
        <f t="shared" si="118"/>
        <v>30.393271951357931</v>
      </c>
      <c r="AZ33" s="254">
        <f t="shared" si="118"/>
        <v>30.104526155447985</v>
      </c>
      <c r="BA33" s="254">
        <f t="shared" si="118"/>
        <v>29.815780359538039</v>
      </c>
      <c r="BB33" s="781">
        <f>'AEO Data'!$B$33*AM33</f>
        <v>29.527034563628085</v>
      </c>
      <c r="BC33" s="254">
        <f t="shared" ref="BC33:BP33" si="119">($BQ33-$BB33)/15+BB33</f>
        <v>29.544237717052788</v>
      </c>
      <c r="BD33" s="254">
        <f t="shared" si="119"/>
        <v>29.56144087047749</v>
      </c>
      <c r="BE33" s="254">
        <f t="shared" si="119"/>
        <v>29.578644023902193</v>
      </c>
      <c r="BF33" s="254">
        <f t="shared" si="119"/>
        <v>29.595847177326895</v>
      </c>
      <c r="BG33" s="254">
        <f t="shared" si="119"/>
        <v>29.613050330751598</v>
      </c>
      <c r="BH33" s="254">
        <f t="shared" si="119"/>
        <v>29.630253484176301</v>
      </c>
      <c r="BI33" s="254">
        <f t="shared" si="119"/>
        <v>29.647456637601003</v>
      </c>
      <c r="BJ33" s="254">
        <f t="shared" si="119"/>
        <v>29.664659791025706</v>
      </c>
      <c r="BK33" s="254">
        <f t="shared" si="119"/>
        <v>29.681862944450408</v>
      </c>
      <c r="BL33" s="254">
        <f t="shared" si="119"/>
        <v>29.699066097875111</v>
      </c>
      <c r="BM33" s="254">
        <f t="shared" si="119"/>
        <v>29.716269251299813</v>
      </c>
      <c r="BN33" s="254">
        <f t="shared" si="119"/>
        <v>29.733472404724516</v>
      </c>
      <c r="BO33" s="254">
        <f t="shared" si="119"/>
        <v>29.750675558149219</v>
      </c>
      <c r="BP33" s="254">
        <f t="shared" si="119"/>
        <v>29.767878711573921</v>
      </c>
      <c r="BQ33" s="781">
        <f>'AEO Data'!$C$33*BB33</f>
        <v>29.78508186499861</v>
      </c>
      <c r="BR33" s="254">
        <f t="shared" ref="BR33:BU35" si="120">($BV33-$BQ33)/5+BQ33</f>
        <v>29.765026073611775</v>
      </c>
      <c r="BS33" s="254">
        <f t="shared" si="120"/>
        <v>29.744970282224941</v>
      </c>
      <c r="BT33" s="254">
        <f t="shared" si="120"/>
        <v>29.724914490838106</v>
      </c>
      <c r="BU33" s="254">
        <f t="shared" si="120"/>
        <v>29.704858699451272</v>
      </c>
      <c r="BV33" s="805">
        <f>'AEO Data'!$D$33*BQ33</f>
        <v>29.684802908064434</v>
      </c>
      <c r="BW33" s="1077">
        <f>+BV33*BW$140/BV$140</f>
        <v>29.671732577415259</v>
      </c>
      <c r="BX33" s="1077">
        <f t="shared" ref="BX33:CZ33" si="121">+BW33*BX$140/BW$140</f>
        <v>29.658668001681953</v>
      </c>
      <c r="BY33" s="1077">
        <f t="shared" si="121"/>
        <v>29.645609178330599</v>
      </c>
      <c r="BZ33" s="1077">
        <f t="shared" si="121"/>
        <v>29.632556104828407</v>
      </c>
      <c r="CA33" s="1077">
        <f t="shared" si="121"/>
        <v>29.619508778643699</v>
      </c>
      <c r="CB33" s="1077">
        <f t="shared" si="121"/>
        <v>29.595784014667533</v>
      </c>
      <c r="CC33" s="1077">
        <f t="shared" si="121"/>
        <v>29.572078253856809</v>
      </c>
      <c r="CD33" s="1077">
        <f t="shared" si="121"/>
        <v>29.54839148099029</v>
      </c>
      <c r="CE33" s="1077">
        <f t="shared" si="121"/>
        <v>29.524723680858934</v>
      </c>
      <c r="CF33" s="1077">
        <f t="shared" si="121"/>
        <v>29.501074838265872</v>
      </c>
      <c r="CG33" s="1077">
        <f t="shared" si="121"/>
        <v>29.468497232300709</v>
      </c>
      <c r="CH33" s="1077">
        <f t="shared" si="121"/>
        <v>29.435955601309892</v>
      </c>
      <c r="CI33" s="1077">
        <f t="shared" si="121"/>
        <v>29.403449905566777</v>
      </c>
      <c r="CJ33" s="1077">
        <f t="shared" si="121"/>
        <v>29.3709801053886</v>
      </c>
      <c r="CK33" s="1077">
        <f t="shared" si="121"/>
        <v>29.33854616113641</v>
      </c>
      <c r="CL33" s="1077">
        <f t="shared" si="121"/>
        <v>29.303185235347783</v>
      </c>
      <c r="CM33" s="1077">
        <f t="shared" si="121"/>
        <v>29.267866929089987</v>
      </c>
      <c r="CN33" s="1077">
        <f t="shared" si="121"/>
        <v>29.232591190994896</v>
      </c>
      <c r="CO33" s="1077">
        <f t="shared" si="121"/>
        <v>29.1973579697563</v>
      </c>
      <c r="CP33" s="1077">
        <f t="shared" si="121"/>
        <v>29.16216721412983</v>
      </c>
      <c r="CQ33" s="1077">
        <f t="shared" si="121"/>
        <v>29.121407129980525</v>
      </c>
      <c r="CR33" s="1077">
        <f t="shared" si="121"/>
        <v>29.080704016372799</v>
      </c>
      <c r="CS33" s="1077">
        <f t="shared" si="121"/>
        <v>29.040057793678688</v>
      </c>
      <c r="CT33" s="1077">
        <f t="shared" si="121"/>
        <v>28.999468382381522</v>
      </c>
      <c r="CU33" s="1077">
        <f t="shared" si="121"/>
        <v>28.95893570307577</v>
      </c>
      <c r="CV33" s="1077">
        <f t="shared" si="121"/>
        <v>28.919368591982021</v>
      </c>
      <c r="CW33" s="1077">
        <f t="shared" si="121"/>
        <v>28.879855542138877</v>
      </c>
      <c r="CX33" s="1077">
        <f t="shared" si="121"/>
        <v>28.840396479681488</v>
      </c>
      <c r="CY33" s="1077">
        <f t="shared" si="121"/>
        <v>28.800991330845925</v>
      </c>
      <c r="CZ33" s="1077">
        <f t="shared" si="121"/>
        <v>28.761640021969036</v>
      </c>
    </row>
    <row r="34" spans="1:106" x14ac:dyDescent="0.25">
      <c r="A34" s="806" t="str">
        <f>'HyARC Physical Property Data'!A77</f>
        <v>Industrial Electricity</v>
      </c>
      <c r="B34" s="254">
        <v>2011</v>
      </c>
      <c r="C34" s="726">
        <f t="shared" si="99"/>
        <v>1.0771767810026385</v>
      </c>
      <c r="D34" s="1018" t="str">
        <f>'HyARC Physical Property Data'!$H$77</f>
        <v>kWh</v>
      </c>
      <c r="E34" s="726" t="s">
        <v>1053</v>
      </c>
      <c r="F34" s="726"/>
      <c r="G34" s="726"/>
      <c r="H34" s="852">
        <v>17.44160584363896</v>
      </c>
      <c r="I34" s="852">
        <v>17.44160584363896</v>
      </c>
      <c r="J34" s="852">
        <v>17.44160584363896</v>
      </c>
      <c r="K34" s="852">
        <v>17.651840860809763</v>
      </c>
      <c r="L34" s="852">
        <v>19.274322003549859</v>
      </c>
      <c r="M34" s="852">
        <v>18.160650967421709</v>
      </c>
      <c r="N34" s="254">
        <f t="shared" ref="N34:AR34" si="122">(N52/(mmBTU_to_GJ))*($C34)</f>
        <v>20.686330589978613</v>
      </c>
      <c r="O34" s="254">
        <f t="shared" si="122"/>
        <v>20.395642949142793</v>
      </c>
      <c r="P34" s="254">
        <f t="shared" si="122"/>
        <v>18.823552956770747</v>
      </c>
      <c r="Q34" s="254">
        <f t="shared" si="122"/>
        <v>18.524341835586291</v>
      </c>
      <c r="R34" s="254">
        <f t="shared" si="122"/>
        <v>18.425452923007665</v>
      </c>
      <c r="S34" s="254">
        <f t="shared" si="122"/>
        <v>18.26043454526129</v>
      </c>
      <c r="T34" s="254">
        <f t="shared" si="122"/>
        <v>18.754222591879351</v>
      </c>
      <c r="U34" s="254">
        <f t="shared" si="122"/>
        <v>19.028024593279895</v>
      </c>
      <c r="V34" s="254">
        <f t="shared" si="122"/>
        <v>19.177936970576098</v>
      </c>
      <c r="W34" s="254">
        <f t="shared" si="122"/>
        <v>19.120789424026807</v>
      </c>
      <c r="X34" s="254">
        <f t="shared" si="122"/>
        <v>19.113803600770296</v>
      </c>
      <c r="Y34" s="254">
        <f t="shared" si="122"/>
        <v>19.250773520364145</v>
      </c>
      <c r="Z34" s="254">
        <f t="shared" si="122"/>
        <v>19.360178945591421</v>
      </c>
      <c r="AA34" s="254">
        <f t="shared" si="122"/>
        <v>19.49113403256262</v>
      </c>
      <c r="AB34" s="254">
        <f t="shared" si="122"/>
        <v>19.561495628305966</v>
      </c>
      <c r="AC34" s="254">
        <f t="shared" si="122"/>
        <v>19.585178202178344</v>
      </c>
      <c r="AD34" s="254">
        <f t="shared" si="122"/>
        <v>19.679504173492226</v>
      </c>
      <c r="AE34" s="254">
        <f t="shared" si="122"/>
        <v>19.769484680938866</v>
      </c>
      <c r="AF34" s="254">
        <f t="shared" si="122"/>
        <v>19.876209926971701</v>
      </c>
      <c r="AG34" s="254">
        <f t="shared" si="122"/>
        <v>20.022596719978992</v>
      </c>
      <c r="AH34" s="254">
        <f t="shared" si="122"/>
        <v>20.141018778526679</v>
      </c>
      <c r="AI34" s="254">
        <f t="shared" si="122"/>
        <v>20.284500767797521</v>
      </c>
      <c r="AJ34" s="254">
        <f t="shared" si="122"/>
        <v>20.450430916980327</v>
      </c>
      <c r="AK34" s="254">
        <f t="shared" si="122"/>
        <v>20.629529169428153</v>
      </c>
      <c r="AL34" s="254">
        <f t="shared" si="122"/>
        <v>20.858104040315624</v>
      </c>
      <c r="AM34" s="254">
        <f t="shared" si="122"/>
        <v>21.232143722567496</v>
      </c>
      <c r="AN34" s="254">
        <f t="shared" si="122"/>
        <v>21.710953396316075</v>
      </c>
      <c r="AO34" s="254">
        <f t="shared" si="122"/>
        <v>22.126345435731348</v>
      </c>
      <c r="AP34" s="254">
        <f t="shared" si="122"/>
        <v>22.531327148645097</v>
      </c>
      <c r="AQ34" s="254">
        <f t="shared" si="122"/>
        <v>22.961372876364592</v>
      </c>
      <c r="AR34" s="254">
        <f t="shared" si="122"/>
        <v>23.222533621153197</v>
      </c>
      <c r="AS34" s="254">
        <f t="shared" ref="AS34:BA34" si="123">($BB34-$AR34)/10+AR34</f>
        <v>22.97056615223179</v>
      </c>
      <c r="AT34" s="254">
        <f t="shared" si="123"/>
        <v>22.718598683310383</v>
      </c>
      <c r="AU34" s="254">
        <f t="shared" si="123"/>
        <v>22.466631214388975</v>
      </c>
      <c r="AV34" s="254">
        <f t="shared" si="123"/>
        <v>22.214663745467568</v>
      </c>
      <c r="AW34" s="254">
        <f t="shared" si="123"/>
        <v>21.962696276546161</v>
      </c>
      <c r="AX34" s="254">
        <f t="shared" si="123"/>
        <v>21.710728807624754</v>
      </c>
      <c r="AY34" s="254">
        <f t="shared" si="123"/>
        <v>21.458761338703347</v>
      </c>
      <c r="AZ34" s="254">
        <f t="shared" si="123"/>
        <v>21.20679386978194</v>
      </c>
      <c r="BA34" s="254">
        <f t="shared" si="123"/>
        <v>20.954826400860533</v>
      </c>
      <c r="BB34" s="781">
        <f>'AEO Data'!$B$33*AM34</f>
        <v>20.702858931939144</v>
      </c>
      <c r="BC34" s="254">
        <f t="shared" ref="BC34:BP34" si="124">($BQ34-$BB34)/15+BB34</f>
        <v>20.714920910522487</v>
      </c>
      <c r="BD34" s="254">
        <f t="shared" si="124"/>
        <v>20.72698288910583</v>
      </c>
      <c r="BE34" s="254">
        <f t="shared" si="124"/>
        <v>20.739044867689174</v>
      </c>
      <c r="BF34" s="254">
        <f t="shared" si="124"/>
        <v>20.751106846272517</v>
      </c>
      <c r="BG34" s="254">
        <f t="shared" si="124"/>
        <v>20.76316882485586</v>
      </c>
      <c r="BH34" s="254">
        <f t="shared" si="124"/>
        <v>20.775230803439204</v>
      </c>
      <c r="BI34" s="254">
        <f t="shared" si="124"/>
        <v>20.787292782022547</v>
      </c>
      <c r="BJ34" s="254">
        <f t="shared" si="124"/>
        <v>20.79935476060589</v>
      </c>
      <c r="BK34" s="254">
        <f t="shared" si="124"/>
        <v>20.811416739189234</v>
      </c>
      <c r="BL34" s="254">
        <f t="shared" si="124"/>
        <v>20.823478717772577</v>
      </c>
      <c r="BM34" s="254">
        <f t="shared" si="124"/>
        <v>20.83554069635592</v>
      </c>
      <c r="BN34" s="254">
        <f t="shared" si="124"/>
        <v>20.847602674939264</v>
      </c>
      <c r="BO34" s="254">
        <f t="shared" si="124"/>
        <v>20.859664653522607</v>
      </c>
      <c r="BP34" s="254">
        <f t="shared" si="124"/>
        <v>20.87172663210595</v>
      </c>
      <c r="BQ34" s="781">
        <f>'AEO Data'!$C$33*BB34</f>
        <v>20.883788610689287</v>
      </c>
      <c r="BR34" s="254">
        <f t="shared" si="120"/>
        <v>20.869726507061667</v>
      </c>
      <c r="BS34" s="254">
        <f t="shared" si="120"/>
        <v>20.855664403434048</v>
      </c>
      <c r="BT34" s="254">
        <f t="shared" si="120"/>
        <v>20.841602299806429</v>
      </c>
      <c r="BU34" s="254">
        <f t="shared" si="120"/>
        <v>20.827540196178809</v>
      </c>
      <c r="BV34" s="805">
        <f>'AEO Data'!$D$33*BQ34</f>
        <v>20.813478092551186</v>
      </c>
      <c r="BW34" s="1077">
        <f>+BV34*BW$141/BV$141</f>
        <v>20.819767085860629</v>
      </c>
      <c r="BX34" s="1077">
        <f t="shared" ref="BX34:CZ34" si="125">+BW34*BX$141/BW$141</f>
        <v>20.826057979450106</v>
      </c>
      <c r="BY34" s="1077">
        <f t="shared" si="125"/>
        <v>20.832350773893804</v>
      </c>
      <c r="BZ34" s="1077">
        <f t="shared" si="125"/>
        <v>20.838645469766085</v>
      </c>
      <c r="CA34" s="1077">
        <f t="shared" si="125"/>
        <v>20.844942067641483</v>
      </c>
      <c r="CB34" s="1077">
        <f t="shared" si="125"/>
        <v>20.842584664877659</v>
      </c>
      <c r="CC34" s="1077">
        <f t="shared" si="125"/>
        <v>20.840227528717975</v>
      </c>
      <c r="CD34" s="1077">
        <f t="shared" si="125"/>
        <v>20.837870659132275</v>
      </c>
      <c r="CE34" s="1077">
        <f t="shared" si="125"/>
        <v>20.83551405609041</v>
      </c>
      <c r="CF34" s="1077">
        <f t="shared" si="125"/>
        <v>20.833157719562244</v>
      </c>
      <c r="CG34" s="1077">
        <f t="shared" si="125"/>
        <v>20.823707614808125</v>
      </c>
      <c r="CH34" s="1077">
        <f t="shared" si="125"/>
        <v>20.814261796705171</v>
      </c>
      <c r="CI34" s="1077">
        <f t="shared" si="125"/>
        <v>20.804820263308923</v>
      </c>
      <c r="CJ34" s="1077">
        <f t="shared" si="125"/>
        <v>20.795383012675799</v>
      </c>
      <c r="CK34" s="1077">
        <f t="shared" si="125"/>
        <v>20.785950042863099</v>
      </c>
      <c r="CL34" s="1077">
        <f t="shared" si="125"/>
        <v>20.77437772649537</v>
      </c>
      <c r="CM34" s="1077">
        <f t="shared" si="125"/>
        <v>20.762811852869294</v>
      </c>
      <c r="CN34" s="1077">
        <f t="shared" si="125"/>
        <v>20.751252418397954</v>
      </c>
      <c r="CO34" s="1077">
        <f t="shared" si="125"/>
        <v>20.739699419496432</v>
      </c>
      <c r="CP34" s="1077">
        <f t="shared" si="125"/>
        <v>20.728152852581804</v>
      </c>
      <c r="CQ34" s="1077">
        <f t="shared" si="125"/>
        <v>20.712333481367292</v>
      </c>
      <c r="CR34" s="1077">
        <f t="shared" si="125"/>
        <v>20.696526183225924</v>
      </c>
      <c r="CS34" s="1077">
        <f t="shared" si="125"/>
        <v>20.680730948943744</v>
      </c>
      <c r="CT34" s="1077">
        <f t="shared" si="125"/>
        <v>20.664947769313819</v>
      </c>
      <c r="CU34" s="1077">
        <f t="shared" si="125"/>
        <v>20.649176635136243</v>
      </c>
      <c r="CV34" s="1077">
        <f t="shared" si="125"/>
        <v>20.634348778597502</v>
      </c>
      <c r="CW34" s="1077">
        <f t="shared" si="125"/>
        <v>20.619531569714763</v>
      </c>
      <c r="CX34" s="1077">
        <f t="shared" si="125"/>
        <v>20.604725000842109</v>
      </c>
      <c r="CY34" s="1077">
        <f t="shared" si="125"/>
        <v>20.58992906433911</v>
      </c>
      <c r="CZ34" s="1077">
        <f t="shared" si="125"/>
        <v>20.575143752570824</v>
      </c>
    </row>
    <row r="35" spans="1:106" ht="13.8" thickBot="1" x14ac:dyDescent="0.3">
      <c r="A35" s="809" t="str">
        <f>'HyARC Physical Property Data'!A78</f>
        <v>Residential Electricity</v>
      </c>
      <c r="B35" s="732">
        <v>2011</v>
      </c>
      <c r="C35" s="733">
        <f t="shared" si="99"/>
        <v>1.0771767810026385</v>
      </c>
      <c r="D35" s="1019" t="str">
        <f>'HyARC Physical Property Data'!$H$78</f>
        <v>kWh</v>
      </c>
      <c r="E35" s="733" t="s">
        <v>1053</v>
      </c>
      <c r="F35" s="732"/>
      <c r="G35" s="732"/>
      <c r="H35" s="854">
        <v>29.579885763014694</v>
      </c>
      <c r="I35" s="854">
        <v>29.579885763014694</v>
      </c>
      <c r="J35" s="854">
        <v>29.579885763014694</v>
      </c>
      <c r="K35" s="854">
        <v>29.556357578078675</v>
      </c>
      <c r="L35" s="854">
        <v>30.116416605727963</v>
      </c>
      <c r="M35" s="854">
        <v>29.134443020933652</v>
      </c>
      <c r="N35" s="732">
        <f t="shared" ref="N35:AR35" si="126">(N53/(mmBTU_to_GJ))*($C35)</f>
        <v>35.248515023946787</v>
      </c>
      <c r="O35" s="732">
        <f t="shared" si="126"/>
        <v>35.057638277332465</v>
      </c>
      <c r="P35" s="732">
        <f t="shared" si="126"/>
        <v>33.966003843989547</v>
      </c>
      <c r="Q35" s="732">
        <f t="shared" si="126"/>
        <v>33.233617566807133</v>
      </c>
      <c r="R35" s="732">
        <f t="shared" si="126"/>
        <v>33.701326704097838</v>
      </c>
      <c r="S35" s="732">
        <f t="shared" si="126"/>
        <v>33.757355212019654</v>
      </c>
      <c r="T35" s="732">
        <f t="shared" si="126"/>
        <v>34.284141624879645</v>
      </c>
      <c r="U35" s="732">
        <f t="shared" si="126"/>
        <v>34.53730982005527</v>
      </c>
      <c r="V35" s="732">
        <f t="shared" si="126"/>
        <v>34.545858825920035</v>
      </c>
      <c r="W35" s="732">
        <f t="shared" si="126"/>
        <v>34.349778958096259</v>
      </c>
      <c r="X35" s="732">
        <f t="shared" si="126"/>
        <v>34.322062331653513</v>
      </c>
      <c r="Y35" s="732">
        <f t="shared" si="126"/>
        <v>34.366342976028214</v>
      </c>
      <c r="Z35" s="732">
        <f t="shared" si="126"/>
        <v>34.399461822706293</v>
      </c>
      <c r="AA35" s="732">
        <f t="shared" si="126"/>
        <v>34.411956052345289</v>
      </c>
      <c r="AB35" s="732">
        <f t="shared" si="126"/>
        <v>34.551308013105078</v>
      </c>
      <c r="AC35" s="732">
        <f t="shared" si="126"/>
        <v>34.673225025322317</v>
      </c>
      <c r="AD35" s="732">
        <f t="shared" si="126"/>
        <v>34.843428145906536</v>
      </c>
      <c r="AE35" s="732">
        <f t="shared" si="126"/>
        <v>34.985992237617076</v>
      </c>
      <c r="AF35" s="732">
        <f t="shared" si="126"/>
        <v>35.137048158036244</v>
      </c>
      <c r="AG35" s="732">
        <f t="shared" si="126"/>
        <v>35.236409803173729</v>
      </c>
      <c r="AH35" s="732">
        <f t="shared" si="126"/>
        <v>35.28809897335217</v>
      </c>
      <c r="AI35" s="732">
        <f t="shared" si="126"/>
        <v>35.415531539096392</v>
      </c>
      <c r="AJ35" s="732">
        <f t="shared" si="126"/>
        <v>35.539081163325783</v>
      </c>
      <c r="AK35" s="732">
        <f t="shared" si="126"/>
        <v>35.65784015868649</v>
      </c>
      <c r="AL35" s="732">
        <f t="shared" si="126"/>
        <v>35.819984363315783</v>
      </c>
      <c r="AM35" s="732">
        <f t="shared" si="126"/>
        <v>36.165866338206058</v>
      </c>
      <c r="AN35" s="732">
        <f t="shared" si="126"/>
        <v>36.58927134764722</v>
      </c>
      <c r="AO35" s="732">
        <f t="shared" si="126"/>
        <v>36.936418367117263</v>
      </c>
      <c r="AP35" s="732">
        <f t="shared" si="126"/>
        <v>37.270112418562192</v>
      </c>
      <c r="AQ35" s="732">
        <f t="shared" si="126"/>
        <v>37.681875750603361</v>
      </c>
      <c r="AR35" s="732">
        <f t="shared" si="126"/>
        <v>37.878431414047952</v>
      </c>
      <c r="AS35" s="732">
        <f t="shared" ref="AS35:BA35" si="127">($BB35-$AR35)/10+AR35</f>
        <v>37.617018946505915</v>
      </c>
      <c r="AT35" s="732">
        <f t="shared" si="127"/>
        <v>37.355606478963878</v>
      </c>
      <c r="AU35" s="732">
        <f t="shared" si="127"/>
        <v>37.094194011421841</v>
      </c>
      <c r="AV35" s="732">
        <f t="shared" si="127"/>
        <v>36.832781543879804</v>
      </c>
      <c r="AW35" s="732">
        <f t="shared" si="127"/>
        <v>36.571369076337767</v>
      </c>
      <c r="AX35" s="732">
        <f t="shared" si="127"/>
        <v>36.30995660879573</v>
      </c>
      <c r="AY35" s="732">
        <f t="shared" si="127"/>
        <v>36.048544141253693</v>
      </c>
      <c r="AZ35" s="732">
        <f t="shared" si="127"/>
        <v>35.787131673711656</v>
      </c>
      <c r="BA35" s="732">
        <f t="shared" si="127"/>
        <v>35.525719206169619</v>
      </c>
      <c r="BB35" s="810">
        <f>'AEO Data'!$B$33*AM35</f>
        <v>35.264306738627596</v>
      </c>
      <c r="BC35" s="732">
        <f t="shared" ref="BC35:BP35" si="128">($BQ35-$BB35)/15+BB35</f>
        <v>35.284852563435471</v>
      </c>
      <c r="BD35" s="732">
        <f t="shared" si="128"/>
        <v>35.305398388243347</v>
      </c>
      <c r="BE35" s="732">
        <f t="shared" si="128"/>
        <v>35.325944213051223</v>
      </c>
      <c r="BF35" s="732">
        <f t="shared" si="128"/>
        <v>35.346490037859098</v>
      </c>
      <c r="BG35" s="732">
        <f t="shared" si="128"/>
        <v>35.367035862666974</v>
      </c>
      <c r="BH35" s="732">
        <f t="shared" si="128"/>
        <v>35.387581687474849</v>
      </c>
      <c r="BI35" s="732">
        <f t="shared" si="128"/>
        <v>35.408127512282725</v>
      </c>
      <c r="BJ35" s="732">
        <f t="shared" si="128"/>
        <v>35.428673337090601</v>
      </c>
      <c r="BK35" s="732">
        <f t="shared" si="128"/>
        <v>35.449219161898476</v>
      </c>
      <c r="BL35" s="732">
        <f t="shared" si="128"/>
        <v>35.469764986706352</v>
      </c>
      <c r="BM35" s="732">
        <f t="shared" si="128"/>
        <v>35.490310811514227</v>
      </c>
      <c r="BN35" s="732">
        <f t="shared" si="128"/>
        <v>35.510856636322103</v>
      </c>
      <c r="BO35" s="732">
        <f t="shared" si="128"/>
        <v>35.531402461129979</v>
      </c>
      <c r="BP35" s="732">
        <f t="shared" si="128"/>
        <v>35.551948285937854</v>
      </c>
      <c r="BQ35" s="810">
        <f>'AEO Data'!$C$33*BB35</f>
        <v>35.572494110745708</v>
      </c>
      <c r="BR35" s="732">
        <f t="shared" si="120"/>
        <v>35.548541364057677</v>
      </c>
      <c r="BS35" s="732">
        <f t="shared" si="120"/>
        <v>35.524588617369645</v>
      </c>
      <c r="BT35" s="732">
        <f t="shared" si="120"/>
        <v>35.500635870681613</v>
      </c>
      <c r="BU35" s="732">
        <f t="shared" si="120"/>
        <v>35.476683123993581</v>
      </c>
      <c r="BV35" s="811">
        <f>'AEO Data'!$D$33*BQ35</f>
        <v>35.452730377305556</v>
      </c>
      <c r="BW35" s="1077">
        <f>+BV35*BW$142/BV$142</f>
        <v>35.437120406443277</v>
      </c>
      <c r="BX35" s="1077">
        <f t="shared" ref="BX35:CZ35" si="129">+BW35*BX$142/BW$142</f>
        <v>35.42151730871003</v>
      </c>
      <c r="BY35" s="1077">
        <f t="shared" si="129"/>
        <v>35.405921081079541</v>
      </c>
      <c r="BZ35" s="1077">
        <f t="shared" si="129"/>
        <v>35.390331720526888</v>
      </c>
      <c r="CA35" s="1077">
        <f t="shared" si="129"/>
        <v>35.37474922402847</v>
      </c>
      <c r="CB35" s="1077">
        <f t="shared" si="129"/>
        <v>35.346414602332743</v>
      </c>
      <c r="CC35" s="1077">
        <f t="shared" si="129"/>
        <v>35.318102676226502</v>
      </c>
      <c r="CD35" s="1077">
        <f t="shared" si="129"/>
        <v>35.289813427530937</v>
      </c>
      <c r="CE35" s="1077">
        <f t="shared" si="129"/>
        <v>35.261546838081799</v>
      </c>
      <c r="CF35" s="1077">
        <f t="shared" si="129"/>
        <v>35.23330288972938</v>
      </c>
      <c r="CG35" s="1077">
        <f t="shared" si="129"/>
        <v>35.194395268068625</v>
      </c>
      <c r="CH35" s="1077">
        <f t="shared" si="129"/>
        <v>35.155530611526075</v>
      </c>
      <c r="CI35" s="1077">
        <f t="shared" si="129"/>
        <v>35.11670887265597</v>
      </c>
      <c r="CJ35" s="1077">
        <f t="shared" si="129"/>
        <v>35.077930004064953</v>
      </c>
      <c r="CK35" s="1077">
        <f t="shared" si="129"/>
        <v>35.039193958412007</v>
      </c>
      <c r="CL35" s="1077">
        <f t="shared" si="129"/>
        <v>34.996962201921704</v>
      </c>
      <c r="CM35" s="1077">
        <f t="shared" si="129"/>
        <v>34.954781346181527</v>
      </c>
      <c r="CN35" s="1077">
        <f t="shared" si="129"/>
        <v>34.912651329842227</v>
      </c>
      <c r="CO35" s="1077">
        <f t="shared" si="129"/>
        <v>34.870572091628503</v>
      </c>
      <c r="CP35" s="1077">
        <f t="shared" si="129"/>
        <v>34.828543570338908</v>
      </c>
      <c r="CQ35" s="1077">
        <f t="shared" si="129"/>
        <v>34.779863568050295</v>
      </c>
      <c r="CR35" s="1077">
        <f t="shared" si="129"/>
        <v>34.731251606006261</v>
      </c>
      <c r="CS35" s="1077">
        <f t="shared" si="129"/>
        <v>34.682707589106663</v>
      </c>
      <c r="CT35" s="1077">
        <f t="shared" si="129"/>
        <v>34.634231422384289</v>
      </c>
      <c r="CU35" s="1077">
        <f t="shared" si="129"/>
        <v>34.585823011004663</v>
      </c>
      <c r="CV35" s="1077">
        <f t="shared" si="129"/>
        <v>34.538567783278886</v>
      </c>
      <c r="CW35" s="1077">
        <f t="shared" si="129"/>
        <v>34.491377121214782</v>
      </c>
      <c r="CX35" s="1077">
        <f t="shared" si="129"/>
        <v>34.444250936595139</v>
      </c>
      <c r="CY35" s="1077">
        <f t="shared" si="129"/>
        <v>34.397189141323274</v>
      </c>
      <c r="CZ35" s="1077">
        <f t="shared" si="129"/>
        <v>34.350191647422875</v>
      </c>
    </row>
    <row r="36" spans="1:106" ht="13.8" thickTop="1" x14ac:dyDescent="0.25">
      <c r="A36" s="729"/>
      <c r="B36" s="254"/>
      <c r="C36" s="726"/>
      <c r="D36" s="1020"/>
      <c r="E36" s="726"/>
      <c r="F36" s="254"/>
      <c r="G36" s="254"/>
      <c r="H36" s="254"/>
      <c r="I36" s="254"/>
      <c r="J36" s="254"/>
      <c r="K36" s="254"/>
      <c r="L36" s="254"/>
      <c r="M36" s="254"/>
      <c r="N36" s="254"/>
      <c r="O36" s="254"/>
      <c r="P36" s="254"/>
      <c r="Q36" s="254"/>
      <c r="R36" s="254"/>
      <c r="S36" s="254"/>
      <c r="T36" s="254"/>
      <c r="U36" s="254"/>
      <c r="V36" s="254"/>
      <c r="W36" s="254"/>
      <c r="X36" s="254"/>
      <c r="Y36" s="254"/>
      <c r="Z36" s="254"/>
      <c r="AA36" s="254"/>
      <c r="AB36" s="254"/>
      <c r="AC36" s="254"/>
      <c r="AD36" s="254"/>
      <c r="AE36" s="254"/>
      <c r="AF36" s="254"/>
      <c r="AG36" s="254"/>
      <c r="AH36" s="254"/>
      <c r="AI36" s="254"/>
      <c r="AJ36" s="254"/>
      <c r="AK36" s="254"/>
      <c r="AL36" s="254"/>
      <c r="AM36" s="254"/>
      <c r="AN36" s="254"/>
      <c r="AO36" s="254"/>
      <c r="AP36" s="254"/>
      <c r="AQ36" s="254"/>
      <c r="AR36" s="254"/>
      <c r="AS36" s="254"/>
      <c r="AT36" s="254"/>
      <c r="AU36" s="254"/>
      <c r="AV36" s="254"/>
      <c r="AW36" s="254"/>
      <c r="AX36" s="254"/>
      <c r="AY36" s="254"/>
      <c r="AZ36" s="254"/>
      <c r="BA36" s="254"/>
      <c r="BB36" s="254"/>
      <c r="BC36" s="254"/>
      <c r="BD36" s="254"/>
      <c r="BE36" s="254"/>
      <c r="BF36" s="254"/>
      <c r="BG36" s="254"/>
      <c r="BH36" s="254"/>
      <c r="BI36" s="254"/>
      <c r="BJ36" s="254"/>
      <c r="BK36" s="254"/>
      <c r="BL36" s="254"/>
      <c r="BM36" s="254"/>
      <c r="BN36" s="254"/>
      <c r="BO36" s="254"/>
      <c r="BP36" s="254"/>
      <c r="BQ36" s="254"/>
      <c r="BR36" s="254"/>
      <c r="BS36" s="254"/>
      <c r="BT36" s="254"/>
      <c r="BU36" s="254"/>
      <c r="BV36" s="254"/>
      <c r="BW36" s="254"/>
      <c r="BX36" s="254"/>
      <c r="BY36" s="254"/>
      <c r="BZ36" s="254"/>
      <c r="CA36" s="254"/>
      <c r="CB36" s="254"/>
      <c r="CC36" s="254"/>
      <c r="CD36" s="254"/>
      <c r="CE36" s="254"/>
      <c r="CF36" s="254"/>
      <c r="CG36" s="254"/>
      <c r="CH36" s="254"/>
      <c r="CI36" s="254"/>
      <c r="CJ36" s="254"/>
      <c r="CK36" s="254"/>
      <c r="CL36" s="254"/>
      <c r="CM36" s="254"/>
      <c r="CN36" s="254"/>
      <c r="CO36" s="254"/>
      <c r="CP36" s="254"/>
      <c r="CQ36" s="254"/>
      <c r="CR36" s="254"/>
      <c r="CS36" s="254"/>
      <c r="CT36" s="254"/>
      <c r="CU36" s="254"/>
      <c r="CV36" s="254"/>
      <c r="CW36" s="254"/>
      <c r="CX36" s="254"/>
      <c r="CY36" s="254"/>
      <c r="CZ36" s="254"/>
      <c r="DA36" s="254"/>
      <c r="DB36" s="254"/>
    </row>
    <row r="37" spans="1:106" x14ac:dyDescent="0.25">
      <c r="A37" s="729"/>
      <c r="B37" s="254"/>
      <c r="C37" s="726"/>
      <c r="D37" s="1021"/>
      <c r="E37" s="726"/>
      <c r="F37" s="254"/>
      <c r="G37" s="254"/>
      <c r="H37" s="254"/>
      <c r="I37" s="254"/>
      <c r="J37" s="254"/>
      <c r="K37" s="254"/>
      <c r="L37" s="254"/>
      <c r="M37" s="254"/>
      <c r="N37" s="254"/>
      <c r="O37" s="254"/>
      <c r="P37" s="254"/>
      <c r="Q37" s="254"/>
      <c r="R37" s="254"/>
      <c r="S37" s="254"/>
      <c r="T37" s="254"/>
      <c r="U37" s="254"/>
      <c r="V37" s="254"/>
      <c r="W37" s="254"/>
      <c r="X37" s="254"/>
      <c r="Y37" s="254"/>
      <c r="Z37" s="254"/>
      <c r="AA37" s="254"/>
      <c r="AB37" s="254"/>
      <c r="AC37" s="254"/>
      <c r="AD37" s="254"/>
      <c r="AE37" s="254"/>
      <c r="AF37" s="254"/>
      <c r="AG37" s="254"/>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4"/>
      <c r="BH37" s="254"/>
      <c r="BI37" s="254"/>
      <c r="BJ37" s="254"/>
      <c r="BK37" s="254"/>
      <c r="BL37" s="254"/>
      <c r="BM37" s="254"/>
      <c r="BN37" s="254"/>
      <c r="BO37" s="254"/>
      <c r="BP37" s="254"/>
      <c r="BQ37" s="254"/>
      <c r="BR37" s="254"/>
      <c r="BS37" s="254"/>
      <c r="BT37" s="254"/>
      <c r="BU37" s="254"/>
      <c r="BV37" s="254"/>
    </row>
    <row r="38" spans="1:106" ht="13.8" thickBot="1" x14ac:dyDescent="0.3">
      <c r="A38" s="816"/>
      <c r="B38" s="254"/>
      <c r="C38" s="726"/>
      <c r="D38" s="1021"/>
      <c r="E38" s="726"/>
      <c r="F38" s="254"/>
      <c r="G38" s="254"/>
      <c r="H38" s="254"/>
      <c r="I38" s="254"/>
      <c r="J38" s="254"/>
      <c r="K38" s="254"/>
      <c r="L38" s="254"/>
      <c r="M38" s="254"/>
      <c r="N38" s="254"/>
      <c r="O38" s="254"/>
      <c r="P38" s="254"/>
      <c r="Q38" s="254"/>
      <c r="R38" s="254"/>
      <c r="S38" s="254"/>
      <c r="T38" s="254"/>
      <c r="U38" s="254"/>
      <c r="V38" s="254"/>
      <c r="W38" s="254"/>
      <c r="X38" s="254"/>
      <c r="Y38" s="254"/>
      <c r="Z38" s="254"/>
      <c r="AA38" s="254"/>
      <c r="AB38" s="254"/>
      <c r="AC38" s="254"/>
      <c r="AD38" s="254"/>
      <c r="AE38" s="254"/>
      <c r="AF38" s="254"/>
      <c r="AG38" s="254"/>
      <c r="AH38" s="254"/>
      <c r="AI38" s="254"/>
      <c r="AJ38" s="254"/>
      <c r="AK38" s="254"/>
      <c r="AL38" s="254"/>
      <c r="AM38" s="254"/>
      <c r="AN38" s="254"/>
      <c r="AO38" s="254"/>
      <c r="AP38" s="254"/>
      <c r="AQ38" s="254"/>
      <c r="AR38" s="254"/>
      <c r="AS38" s="254"/>
      <c r="AT38" s="254"/>
      <c r="AU38" s="254"/>
      <c r="AV38" s="254"/>
      <c r="AW38" s="254"/>
      <c r="AX38" s="254"/>
      <c r="AY38" s="254"/>
      <c r="AZ38" s="254"/>
      <c r="BA38" s="254"/>
      <c r="BB38" s="254"/>
      <c r="BC38" s="254"/>
      <c r="BD38" s="254"/>
      <c r="BE38" s="254"/>
      <c r="BF38" s="254"/>
      <c r="BG38" s="254"/>
      <c r="BH38" s="254"/>
      <c r="BI38" s="254"/>
      <c r="BJ38" s="254"/>
      <c r="BK38" s="254"/>
      <c r="BL38" s="254"/>
      <c r="BM38" s="254"/>
      <c r="BN38" s="254"/>
      <c r="BO38" s="254"/>
      <c r="BP38" s="254"/>
      <c r="BQ38" s="254"/>
      <c r="BR38" s="254"/>
      <c r="BS38" s="254"/>
      <c r="BT38" s="254"/>
      <c r="BU38" s="254"/>
      <c r="BV38" s="254"/>
    </row>
    <row r="39" spans="1:106" s="836" customFormat="1" x14ac:dyDescent="0.25">
      <c r="A39" s="832" t="s">
        <v>1088</v>
      </c>
      <c r="B39" s="833"/>
      <c r="C39" s="834"/>
      <c r="D39" s="1022"/>
      <c r="E39" s="834"/>
      <c r="F39" s="833"/>
      <c r="G39" s="833"/>
      <c r="H39" s="833"/>
      <c r="I39" s="833"/>
      <c r="J39" s="833"/>
      <c r="K39" s="833"/>
      <c r="L39" s="833"/>
      <c r="M39" s="833"/>
      <c r="N39" s="833"/>
      <c r="O39" s="833"/>
      <c r="P39" s="833"/>
      <c r="Q39" s="833"/>
      <c r="R39" s="833"/>
      <c r="S39" s="833"/>
      <c r="T39" s="833"/>
      <c r="U39" s="833"/>
      <c r="V39" s="833"/>
      <c r="W39" s="833"/>
      <c r="X39" s="833"/>
      <c r="Y39" s="833"/>
      <c r="Z39" s="833"/>
      <c r="AA39" s="833"/>
      <c r="AB39" s="833"/>
      <c r="AC39" s="833"/>
      <c r="AD39" s="833"/>
      <c r="AE39" s="833"/>
      <c r="AF39" s="833"/>
      <c r="AG39" s="833"/>
      <c r="AH39" s="833"/>
      <c r="AI39" s="833"/>
      <c r="AJ39" s="833"/>
      <c r="AK39" s="833"/>
      <c r="AL39" s="833"/>
      <c r="AM39" s="833"/>
      <c r="AN39" s="833"/>
      <c r="AO39" s="833"/>
      <c r="AP39" s="833"/>
      <c r="AQ39" s="833"/>
      <c r="AR39" s="833"/>
      <c r="AS39" s="833"/>
      <c r="AT39" s="833"/>
      <c r="AU39" s="833"/>
      <c r="AV39" s="833"/>
      <c r="AW39" s="833"/>
      <c r="AX39" s="833"/>
      <c r="AY39" s="833"/>
      <c r="AZ39" s="833"/>
      <c r="BA39" s="833"/>
      <c r="BB39" s="833"/>
      <c r="BC39" s="833"/>
      <c r="BD39" s="833"/>
      <c r="BE39" s="833"/>
      <c r="BF39" s="833"/>
      <c r="BG39" s="833"/>
      <c r="BH39" s="833"/>
      <c r="BI39" s="833"/>
      <c r="BJ39" s="833"/>
      <c r="BK39" s="833"/>
      <c r="BL39" s="833"/>
      <c r="BM39" s="833"/>
      <c r="BN39" s="833"/>
      <c r="BO39" s="833"/>
      <c r="BP39" s="833"/>
      <c r="BQ39" s="833"/>
      <c r="BR39" s="833"/>
      <c r="BS39" s="833"/>
      <c r="BT39" s="833"/>
      <c r="BU39" s="833"/>
      <c r="BV39" s="835"/>
    </row>
    <row r="40" spans="1:106" s="836" customFormat="1" x14ac:dyDescent="0.25">
      <c r="A40" s="837" t="s">
        <v>1089</v>
      </c>
      <c r="B40" s="838"/>
      <c r="C40" s="839"/>
      <c r="D40" s="1023"/>
      <c r="E40" s="839"/>
      <c r="F40" s="838"/>
      <c r="G40" s="838"/>
      <c r="H40" s="838"/>
      <c r="I40" s="838"/>
      <c r="J40" s="838"/>
      <c r="K40" s="838"/>
      <c r="L40" s="838"/>
      <c r="M40" s="838"/>
      <c r="N40" s="838"/>
      <c r="O40" s="838"/>
      <c r="P40" s="838"/>
      <c r="Q40" s="838"/>
      <c r="R40" s="838"/>
      <c r="S40" s="838"/>
      <c r="T40" s="838"/>
      <c r="U40" s="838"/>
      <c r="V40" s="838"/>
      <c r="W40" s="838"/>
      <c r="X40" s="838"/>
      <c r="Y40" s="838"/>
      <c r="Z40" s="838"/>
      <c r="AA40" s="838"/>
      <c r="AB40" s="838"/>
      <c r="AC40" s="838"/>
      <c r="AD40" s="838"/>
      <c r="AE40" s="838"/>
      <c r="AF40" s="838"/>
      <c r="AG40" s="838"/>
      <c r="AH40" s="838"/>
      <c r="AI40" s="838"/>
      <c r="AJ40" s="838"/>
      <c r="AK40" s="838"/>
      <c r="AL40" s="838"/>
      <c r="AM40" s="838"/>
      <c r="AN40" s="838"/>
      <c r="AO40" s="838"/>
      <c r="AP40" s="838"/>
      <c r="AQ40" s="838"/>
      <c r="AR40" s="838"/>
      <c r="AS40" s="838"/>
      <c r="AT40" s="838"/>
      <c r="AU40" s="838"/>
      <c r="AV40" s="838"/>
      <c r="AW40" s="838"/>
      <c r="AX40" s="838"/>
      <c r="AY40" s="838"/>
      <c r="AZ40" s="838"/>
      <c r="BA40" s="838"/>
      <c r="BB40" s="838"/>
      <c r="BC40" s="838"/>
      <c r="BD40" s="838"/>
      <c r="BE40" s="838"/>
      <c r="BF40" s="838"/>
      <c r="BG40" s="838"/>
      <c r="BH40" s="838"/>
      <c r="BI40" s="838"/>
      <c r="BJ40" s="838"/>
      <c r="BK40" s="838"/>
      <c r="BL40" s="838"/>
      <c r="BM40" s="838"/>
      <c r="BN40" s="838"/>
      <c r="BO40" s="838"/>
      <c r="BP40" s="838"/>
      <c r="BQ40" s="838"/>
      <c r="BR40" s="838"/>
      <c r="BS40" s="838"/>
      <c r="BT40" s="838"/>
      <c r="BU40" s="838"/>
      <c r="BV40" s="840"/>
    </row>
    <row r="41" spans="1:106" s="836" customFormat="1" x14ac:dyDescent="0.25">
      <c r="A41" s="841"/>
      <c r="B41" s="838"/>
      <c r="C41" s="839"/>
      <c r="D41" s="1023"/>
      <c r="E41" s="839"/>
      <c r="F41" s="838"/>
      <c r="G41" s="838"/>
      <c r="H41" s="838"/>
      <c r="I41" s="838"/>
      <c r="J41" s="838"/>
      <c r="K41" s="838"/>
      <c r="L41" s="838"/>
      <c r="M41" s="838"/>
      <c r="N41" s="838"/>
      <c r="O41" s="838"/>
      <c r="P41" s="838"/>
      <c r="Q41" s="838"/>
      <c r="R41" s="838"/>
      <c r="S41" s="838"/>
      <c r="T41" s="838"/>
      <c r="U41" s="838"/>
      <c r="V41" s="838"/>
      <c r="W41" s="838"/>
      <c r="X41" s="838"/>
      <c r="Y41" s="838"/>
      <c r="Z41" s="838"/>
      <c r="AA41" s="838"/>
      <c r="AB41" s="838"/>
      <c r="AC41" s="838"/>
      <c r="AD41" s="838"/>
      <c r="AE41" s="838"/>
      <c r="AF41" s="838"/>
      <c r="AG41" s="838"/>
      <c r="AH41" s="838"/>
      <c r="AI41" s="838"/>
      <c r="AJ41" s="838"/>
      <c r="AK41" s="838"/>
      <c r="AL41" s="838"/>
      <c r="AM41" s="838"/>
      <c r="AN41" s="838"/>
      <c r="AO41" s="838"/>
      <c r="AP41" s="838"/>
      <c r="AQ41" s="838"/>
      <c r="AR41" s="838"/>
      <c r="AS41" s="838"/>
      <c r="AT41" s="838"/>
      <c r="AU41" s="838"/>
      <c r="AV41" s="838"/>
      <c r="AW41" s="838"/>
      <c r="AX41" s="838"/>
      <c r="AY41" s="838"/>
      <c r="AZ41" s="838"/>
      <c r="BA41" s="838"/>
      <c r="BB41" s="838"/>
      <c r="BC41" s="838"/>
      <c r="BD41" s="838"/>
      <c r="BE41" s="838"/>
      <c r="BF41" s="838"/>
      <c r="BG41" s="838"/>
      <c r="BH41" s="838"/>
      <c r="BI41" s="838"/>
      <c r="BJ41" s="838"/>
      <c r="BK41" s="838"/>
      <c r="BL41" s="838"/>
      <c r="BM41" s="838"/>
      <c r="BN41" s="838"/>
      <c r="BO41" s="838"/>
      <c r="BP41" s="838"/>
      <c r="BQ41" s="838"/>
      <c r="BR41" s="838"/>
      <c r="BS41" s="838"/>
      <c r="BT41" s="838"/>
      <c r="BU41" s="838"/>
      <c r="BV41" s="840"/>
    </row>
    <row r="42" spans="1:106" s="836" customFormat="1" x14ac:dyDescent="0.25">
      <c r="A42" s="841" t="s">
        <v>670</v>
      </c>
      <c r="B42" s="838"/>
      <c r="C42" s="839"/>
      <c r="D42" s="1023"/>
      <c r="E42" s="839"/>
      <c r="F42" s="838"/>
      <c r="G42" s="838"/>
      <c r="H42" s="838"/>
      <c r="I42" s="838"/>
      <c r="J42" s="838"/>
      <c r="K42" s="838"/>
      <c r="L42" s="838"/>
      <c r="M42" s="838"/>
      <c r="N42" s="842">
        <v>11.359373</v>
      </c>
      <c r="O42" s="842">
        <v>10.802343</v>
      </c>
      <c r="P42" s="842">
        <v>10.464380999999999</v>
      </c>
      <c r="Q42" s="842">
        <v>10.477905</v>
      </c>
      <c r="R42" s="842">
        <v>10.253485</v>
      </c>
      <c r="S42" s="842">
        <v>10.156079999999999</v>
      </c>
      <c r="T42" s="842">
        <v>10.662777999999999</v>
      </c>
      <c r="U42" s="842">
        <v>10.990506</v>
      </c>
      <c r="V42" s="842">
        <v>11.397518</v>
      </c>
      <c r="W42" s="842">
        <v>11.624905</v>
      </c>
      <c r="X42" s="842">
        <v>11.776242999999999</v>
      </c>
      <c r="Y42" s="842">
        <v>11.960003</v>
      </c>
      <c r="Z42" s="842">
        <v>12.203179</v>
      </c>
      <c r="AA42" s="842">
        <v>12.432268000000001</v>
      </c>
      <c r="AB42" s="842">
        <v>12.584531</v>
      </c>
      <c r="AC42" s="842">
        <v>12.674325</v>
      </c>
      <c r="AD42" s="842">
        <v>12.841908</v>
      </c>
      <c r="AE42" s="842">
        <v>12.933384999999999</v>
      </c>
      <c r="AF42" s="842">
        <v>13.085578999999999</v>
      </c>
      <c r="AG42" s="842">
        <v>13.234385</v>
      </c>
      <c r="AH42" s="842">
        <v>13.368997999999999</v>
      </c>
      <c r="AI42" s="842">
        <v>13.547089</v>
      </c>
      <c r="AJ42" s="842">
        <v>13.721807</v>
      </c>
      <c r="AK42" s="842">
        <v>13.935895</v>
      </c>
      <c r="AL42" s="842">
        <v>14.248931000000001</v>
      </c>
      <c r="AM42" s="842">
        <v>14.598827</v>
      </c>
      <c r="AN42" s="842">
        <v>15.023702999999999</v>
      </c>
      <c r="AO42" s="842">
        <v>15.415895000000001</v>
      </c>
      <c r="AP42" s="842">
        <v>15.842275000000001</v>
      </c>
      <c r="AQ42" s="842">
        <v>16.055761</v>
      </c>
      <c r="AR42" s="842">
        <v>16.363073</v>
      </c>
      <c r="AS42" s="838"/>
      <c r="AT42" s="838"/>
      <c r="AU42" s="838"/>
      <c r="AV42" s="838"/>
      <c r="AW42" s="838"/>
      <c r="AX42" s="838"/>
      <c r="AY42" s="838"/>
      <c r="AZ42" s="838"/>
      <c r="BA42" s="838"/>
      <c r="BB42" s="838"/>
      <c r="BC42" s="838"/>
      <c r="BD42" s="838"/>
      <c r="BE42" s="838"/>
      <c r="BF42" s="838"/>
      <c r="BG42" s="838"/>
      <c r="BH42" s="838"/>
      <c r="BI42" s="838"/>
      <c r="BJ42" s="838"/>
      <c r="BK42" s="838"/>
      <c r="BL42" s="838"/>
      <c r="BM42" s="838"/>
      <c r="BN42" s="838"/>
      <c r="BO42" s="838"/>
      <c r="BP42" s="838"/>
      <c r="BQ42" s="838"/>
      <c r="BR42" s="838"/>
      <c r="BS42" s="838"/>
      <c r="BT42" s="838"/>
      <c r="BU42" s="838"/>
      <c r="BV42" s="840"/>
    </row>
    <row r="43" spans="1:106" s="836" customFormat="1" x14ac:dyDescent="0.25">
      <c r="A43" s="841" t="s">
        <v>1067</v>
      </c>
      <c r="B43" s="838"/>
      <c r="C43" s="839"/>
      <c r="D43" s="1023"/>
      <c r="E43" s="839"/>
      <c r="F43" s="838"/>
      <c r="G43" s="838"/>
      <c r="H43" s="838"/>
      <c r="I43" s="838"/>
      <c r="J43" s="838"/>
      <c r="K43" s="838"/>
      <c r="L43" s="838"/>
      <c r="M43" s="838"/>
      <c r="N43" s="842">
        <v>9.3969749999999994</v>
      </c>
      <c r="O43" s="842">
        <v>8.8368610000000007</v>
      </c>
      <c r="P43" s="842">
        <v>8.0727960000000003</v>
      </c>
      <c r="Q43" s="842">
        <v>8.4627339999999993</v>
      </c>
      <c r="R43" s="842">
        <v>8.2352620000000005</v>
      </c>
      <c r="S43" s="842">
        <v>8.1043620000000001</v>
      </c>
      <c r="T43" s="842">
        <v>8.5610389999999992</v>
      </c>
      <c r="U43" s="842">
        <v>8.8247909999999994</v>
      </c>
      <c r="V43" s="842">
        <v>9.1722800000000007</v>
      </c>
      <c r="W43" s="842">
        <v>9.3508150000000008</v>
      </c>
      <c r="X43" s="842">
        <v>9.4680210000000002</v>
      </c>
      <c r="Y43" s="842">
        <v>9.6109419999999997</v>
      </c>
      <c r="Z43" s="842">
        <v>9.8191819999999996</v>
      </c>
      <c r="AA43" s="842">
        <v>10.011597999999999</v>
      </c>
      <c r="AB43" s="842">
        <v>10.133018</v>
      </c>
      <c r="AC43" s="842">
        <v>10.193654</v>
      </c>
      <c r="AD43" s="842">
        <v>10.33554</v>
      </c>
      <c r="AE43" s="842">
        <v>10.388019</v>
      </c>
      <c r="AF43" s="842">
        <v>10.500005</v>
      </c>
      <c r="AG43" s="842">
        <v>10.605323</v>
      </c>
      <c r="AH43" s="842">
        <v>10.697221000000001</v>
      </c>
      <c r="AI43" s="842">
        <v>10.832411</v>
      </c>
      <c r="AJ43" s="842">
        <v>10.954602</v>
      </c>
      <c r="AK43" s="842">
        <v>11.11848</v>
      </c>
      <c r="AL43" s="842">
        <v>11.383407</v>
      </c>
      <c r="AM43" s="842">
        <v>11.681657</v>
      </c>
      <c r="AN43" s="842">
        <v>12.061093</v>
      </c>
      <c r="AO43" s="842">
        <v>12.401303</v>
      </c>
      <c r="AP43" s="842">
        <v>12.781521</v>
      </c>
      <c r="AQ43" s="842">
        <v>12.948893999999999</v>
      </c>
      <c r="AR43" s="842">
        <v>13.212922000000001</v>
      </c>
      <c r="AS43" s="838"/>
      <c r="AT43" s="838"/>
      <c r="AU43" s="838"/>
      <c r="AV43" s="838"/>
      <c r="AW43" s="838"/>
      <c r="AX43" s="838"/>
      <c r="AY43" s="838"/>
      <c r="AZ43" s="838"/>
      <c r="BA43" s="838"/>
      <c r="BB43" s="838"/>
      <c r="BC43" s="838"/>
      <c r="BD43" s="838"/>
      <c r="BE43" s="838"/>
      <c r="BF43" s="838"/>
      <c r="BG43" s="838"/>
      <c r="BH43" s="838"/>
      <c r="BI43" s="838"/>
      <c r="BJ43" s="838"/>
      <c r="BK43" s="838"/>
      <c r="BL43" s="838"/>
      <c r="BM43" s="838"/>
      <c r="BN43" s="838"/>
      <c r="BO43" s="838"/>
      <c r="BP43" s="838"/>
      <c r="BQ43" s="838"/>
      <c r="BR43" s="838"/>
      <c r="BS43" s="838"/>
      <c r="BT43" s="838"/>
      <c r="BU43" s="838"/>
      <c r="BV43" s="840"/>
    </row>
    <row r="44" spans="1:106" s="836" customFormat="1" x14ac:dyDescent="0.25">
      <c r="A44" s="841" t="s">
        <v>282</v>
      </c>
      <c r="B44" s="838"/>
      <c r="C44" s="839"/>
      <c r="D44" s="1023"/>
      <c r="E44" s="839"/>
      <c r="F44" s="838"/>
      <c r="G44" s="838"/>
      <c r="H44" s="838"/>
      <c r="I44" s="838"/>
      <c r="J44" s="838"/>
      <c r="K44" s="838"/>
      <c r="L44" s="838"/>
      <c r="M44" s="838"/>
      <c r="N44" s="842">
        <v>5.4839599999999997</v>
      </c>
      <c r="O44" s="842">
        <v>4.8898130000000002</v>
      </c>
      <c r="P44" s="842">
        <v>3.7596859999999999</v>
      </c>
      <c r="Q44" s="842">
        <v>4.3339879999999997</v>
      </c>
      <c r="R44" s="842">
        <v>4.3750520000000002</v>
      </c>
      <c r="S44" s="842">
        <v>4.4225349999999999</v>
      </c>
      <c r="T44" s="842">
        <v>4.8660360000000003</v>
      </c>
      <c r="U44" s="842">
        <v>5.0679410000000003</v>
      </c>
      <c r="V44" s="842">
        <v>5.3212570000000001</v>
      </c>
      <c r="W44" s="842">
        <v>5.4497980000000004</v>
      </c>
      <c r="X44" s="842">
        <v>5.5294119999999998</v>
      </c>
      <c r="Y44" s="842">
        <v>5.6406840000000003</v>
      </c>
      <c r="Z44" s="842">
        <v>5.8277749999999999</v>
      </c>
      <c r="AA44" s="842">
        <v>6.0107049999999997</v>
      </c>
      <c r="AB44" s="842">
        <v>6.1100089999999998</v>
      </c>
      <c r="AC44" s="842">
        <v>6.1511990000000001</v>
      </c>
      <c r="AD44" s="842">
        <v>6.2557600000000004</v>
      </c>
      <c r="AE44" s="842">
        <v>6.2949159999999997</v>
      </c>
      <c r="AF44" s="842">
        <v>6.396782</v>
      </c>
      <c r="AG44" s="842">
        <v>6.4862520000000004</v>
      </c>
      <c r="AH44" s="842">
        <v>6.561483</v>
      </c>
      <c r="AI44" s="842">
        <v>6.6766310000000004</v>
      </c>
      <c r="AJ44" s="842">
        <v>6.771134</v>
      </c>
      <c r="AK44" s="842">
        <v>6.9159920000000001</v>
      </c>
      <c r="AL44" s="842">
        <v>7.1687539999999998</v>
      </c>
      <c r="AM44" s="842">
        <v>7.4454149999999997</v>
      </c>
      <c r="AN44" s="842">
        <v>7.813205</v>
      </c>
      <c r="AO44" s="842">
        <v>8.1536600000000004</v>
      </c>
      <c r="AP44" s="842">
        <v>8.4989190000000008</v>
      </c>
      <c r="AQ44" s="842">
        <v>8.6393810000000002</v>
      </c>
      <c r="AR44" s="842">
        <v>8.8810929999999999</v>
      </c>
      <c r="AS44" s="838"/>
      <c r="AT44" s="838"/>
      <c r="AU44" s="838"/>
      <c r="AV44" s="838"/>
      <c r="AW44" s="838"/>
      <c r="AX44" s="838"/>
      <c r="AY44" s="838"/>
      <c r="AZ44" s="838"/>
      <c r="BA44" s="838"/>
      <c r="BB44" s="838"/>
      <c r="BC44" s="838"/>
      <c r="BD44" s="838"/>
      <c r="BE44" s="838"/>
      <c r="BF44" s="838"/>
      <c r="BG44" s="838"/>
      <c r="BH44" s="838"/>
      <c r="BI44" s="838"/>
      <c r="BJ44" s="838"/>
      <c r="BK44" s="838"/>
      <c r="BL44" s="838"/>
      <c r="BM44" s="838"/>
      <c r="BN44" s="838"/>
      <c r="BO44" s="838"/>
      <c r="BP44" s="838"/>
      <c r="BQ44" s="838"/>
      <c r="BR44" s="838"/>
      <c r="BS44" s="838"/>
      <c r="BT44" s="838"/>
      <c r="BU44" s="838"/>
      <c r="BV44" s="840"/>
    </row>
    <row r="45" spans="1:106" s="836" customFormat="1" x14ac:dyDescent="0.25">
      <c r="A45" s="843" t="str">
        <f>'HyARC Physical Property Data'!$A$74</f>
        <v>Electric Utility Natural Gas</v>
      </c>
      <c r="B45" s="838"/>
      <c r="C45" s="839"/>
      <c r="D45" s="1023"/>
      <c r="E45" s="839"/>
      <c r="F45" s="838"/>
      <c r="G45" s="838"/>
      <c r="H45" s="838"/>
      <c r="I45" s="838"/>
      <c r="J45" s="838"/>
      <c r="K45" s="838"/>
      <c r="L45" s="838"/>
      <c r="M45" s="838"/>
      <c r="N45" s="842">
        <v>5.258165</v>
      </c>
      <c r="O45" s="842">
        <v>4.7747140000000003</v>
      </c>
      <c r="P45" s="842">
        <v>3.3217560000000002</v>
      </c>
      <c r="Q45" s="842">
        <v>3.7155300000000002</v>
      </c>
      <c r="R45" s="842">
        <v>3.758219</v>
      </c>
      <c r="S45" s="842">
        <v>3.8420709999999998</v>
      </c>
      <c r="T45" s="842">
        <v>4.2826180000000003</v>
      </c>
      <c r="U45" s="842">
        <v>4.4486730000000003</v>
      </c>
      <c r="V45" s="842">
        <v>4.7026110000000001</v>
      </c>
      <c r="W45" s="842">
        <v>4.8222319999999996</v>
      </c>
      <c r="X45" s="842">
        <v>4.8967590000000003</v>
      </c>
      <c r="Y45" s="842">
        <v>5.0074189999999996</v>
      </c>
      <c r="Z45" s="842">
        <v>5.20235</v>
      </c>
      <c r="AA45" s="842">
        <v>5.388776</v>
      </c>
      <c r="AB45" s="842">
        <v>5.5179349999999996</v>
      </c>
      <c r="AC45" s="842">
        <v>5.5779610000000002</v>
      </c>
      <c r="AD45" s="842">
        <v>5.7088080000000003</v>
      </c>
      <c r="AE45" s="842">
        <v>5.7607720000000002</v>
      </c>
      <c r="AF45" s="842">
        <v>5.8668440000000004</v>
      </c>
      <c r="AG45" s="842">
        <v>5.9650189999999998</v>
      </c>
      <c r="AH45" s="842">
        <v>6.0528500000000003</v>
      </c>
      <c r="AI45" s="842">
        <v>6.1836820000000001</v>
      </c>
      <c r="AJ45" s="842">
        <v>6.2931780000000002</v>
      </c>
      <c r="AK45" s="842">
        <v>6.4458729999999997</v>
      </c>
      <c r="AL45" s="842">
        <v>6.6983480000000002</v>
      </c>
      <c r="AM45" s="842">
        <v>6.9804459999999997</v>
      </c>
      <c r="AN45" s="842">
        <v>7.345173</v>
      </c>
      <c r="AO45" s="842">
        <v>7.6749489999999998</v>
      </c>
      <c r="AP45" s="842">
        <v>8.0219799999999992</v>
      </c>
      <c r="AQ45" s="842">
        <v>8.1549879999999995</v>
      </c>
      <c r="AR45" s="842">
        <v>8.3777830000000009</v>
      </c>
      <c r="AS45" s="838"/>
      <c r="AT45" s="838"/>
      <c r="AU45" s="838"/>
      <c r="AV45" s="838"/>
      <c r="AW45" s="838"/>
      <c r="AX45" s="838"/>
      <c r="AY45" s="838"/>
      <c r="AZ45" s="838"/>
      <c r="BA45" s="838"/>
      <c r="BB45" s="838"/>
      <c r="BC45" s="838"/>
      <c r="BD45" s="838"/>
      <c r="BE45" s="838"/>
      <c r="BF45" s="838"/>
      <c r="BG45" s="838"/>
      <c r="BH45" s="838"/>
      <c r="BI45" s="838"/>
      <c r="BJ45" s="838"/>
      <c r="BK45" s="838"/>
      <c r="BL45" s="838"/>
      <c r="BM45" s="838"/>
      <c r="BN45" s="838"/>
      <c r="BO45" s="838"/>
      <c r="BP45" s="838"/>
      <c r="BQ45" s="838"/>
      <c r="BR45" s="838"/>
      <c r="BS45" s="838"/>
      <c r="BT45" s="838"/>
      <c r="BU45" s="838"/>
      <c r="BV45" s="840"/>
    </row>
    <row r="46" spans="1:106" s="836" customFormat="1" x14ac:dyDescent="0.25">
      <c r="A46" s="841" t="str">
        <f>'HyARC Physical Property Data'!$A$85</f>
        <v>Woody Biomass</v>
      </c>
      <c r="B46" s="838"/>
      <c r="C46" s="839"/>
      <c r="D46" s="1023"/>
      <c r="E46" s="839"/>
      <c r="F46" s="838"/>
      <c r="G46" s="838"/>
      <c r="H46" s="838"/>
      <c r="I46" s="838"/>
      <c r="J46" s="838"/>
      <c r="K46" s="838"/>
      <c r="L46" s="838"/>
      <c r="M46" s="838"/>
      <c r="N46" s="842"/>
      <c r="O46" s="842"/>
      <c r="P46" s="842"/>
      <c r="Q46" s="842"/>
      <c r="R46" s="842"/>
      <c r="S46" s="842"/>
      <c r="T46" s="842"/>
      <c r="U46" s="842"/>
      <c r="V46" s="842"/>
      <c r="W46" s="842"/>
      <c r="X46" s="842"/>
      <c r="Y46" s="842"/>
      <c r="Z46" s="842"/>
      <c r="AA46" s="842"/>
      <c r="AB46" s="842"/>
      <c r="AC46" s="842"/>
      <c r="AD46" s="842"/>
      <c r="AE46" s="842"/>
      <c r="AF46" s="842"/>
      <c r="AG46" s="842"/>
      <c r="AH46" s="842"/>
      <c r="AI46" s="842"/>
      <c r="AJ46" s="842"/>
      <c r="AK46" s="842"/>
      <c r="AL46" s="842"/>
      <c r="AM46" s="842"/>
      <c r="AN46" s="842"/>
      <c r="AO46" s="842"/>
      <c r="AP46" s="842"/>
      <c r="AQ46" s="842"/>
      <c r="AR46" s="842"/>
      <c r="AS46" s="838"/>
      <c r="AT46" s="838"/>
      <c r="AU46" s="838"/>
      <c r="AV46" s="838"/>
      <c r="AW46" s="838"/>
      <c r="AX46" s="838"/>
      <c r="AY46" s="838"/>
      <c r="AZ46" s="838"/>
      <c r="BA46" s="838"/>
      <c r="BB46" s="838"/>
      <c r="BC46" s="838"/>
      <c r="BD46" s="838"/>
      <c r="BE46" s="838"/>
      <c r="BF46" s="838"/>
      <c r="BG46" s="838"/>
      <c r="BH46" s="838"/>
      <c r="BI46" s="838"/>
      <c r="BJ46" s="838"/>
      <c r="BK46" s="838"/>
      <c r="BL46" s="838"/>
      <c r="BM46" s="838"/>
      <c r="BN46" s="838"/>
      <c r="BO46" s="838"/>
      <c r="BP46" s="838"/>
      <c r="BQ46" s="838"/>
      <c r="BR46" s="838"/>
      <c r="BS46" s="838"/>
      <c r="BT46" s="838"/>
      <c r="BU46" s="838"/>
      <c r="BV46" s="840"/>
    </row>
    <row r="47" spans="1:106" s="836" customFormat="1" x14ac:dyDescent="0.25">
      <c r="A47" s="841" t="s">
        <v>1090</v>
      </c>
      <c r="B47" s="838"/>
      <c r="C47" s="839"/>
      <c r="D47" s="1023"/>
      <c r="E47" s="839"/>
      <c r="F47" s="838"/>
      <c r="G47" s="838"/>
      <c r="H47" s="838"/>
      <c r="I47" s="838"/>
      <c r="J47" s="838"/>
      <c r="K47" s="838"/>
      <c r="L47" s="838"/>
      <c r="M47" s="838"/>
      <c r="N47" s="842">
        <v>13.6</v>
      </c>
      <c r="O47" s="842">
        <v>13.6</v>
      </c>
      <c r="P47" s="842">
        <v>13.6</v>
      </c>
      <c r="Q47" s="842">
        <v>13.6</v>
      </c>
      <c r="R47" s="842">
        <v>13.6</v>
      </c>
      <c r="S47" s="842">
        <v>13.6</v>
      </c>
      <c r="T47" s="842">
        <v>13.6</v>
      </c>
      <c r="U47" s="842">
        <v>14.11</v>
      </c>
      <c r="V47" s="842">
        <v>14.11</v>
      </c>
      <c r="W47" s="842">
        <v>14.11</v>
      </c>
      <c r="X47" s="842">
        <v>14.11</v>
      </c>
      <c r="Y47" s="842">
        <v>14.11</v>
      </c>
      <c r="Z47" s="842">
        <v>14.11</v>
      </c>
      <c r="AA47" s="842">
        <v>14.11</v>
      </c>
      <c r="AB47" s="842">
        <v>14.11</v>
      </c>
      <c r="AC47" s="842">
        <v>14.11</v>
      </c>
      <c r="AD47" s="842">
        <v>14.11</v>
      </c>
      <c r="AE47" s="842">
        <v>14.11</v>
      </c>
      <c r="AF47" s="842">
        <v>14.11</v>
      </c>
      <c r="AG47" s="842">
        <v>14.11</v>
      </c>
      <c r="AH47" s="842">
        <v>14.11</v>
      </c>
      <c r="AI47" s="842">
        <v>14.11</v>
      </c>
      <c r="AJ47" s="842">
        <v>14.11</v>
      </c>
      <c r="AK47" s="842">
        <v>14.11</v>
      </c>
      <c r="AL47" s="842">
        <v>14.11</v>
      </c>
      <c r="AM47" s="842">
        <v>14.11</v>
      </c>
      <c r="AN47" s="842">
        <v>14.11</v>
      </c>
      <c r="AO47" s="842">
        <v>14.11</v>
      </c>
      <c r="AP47" s="842">
        <v>14.11</v>
      </c>
      <c r="AQ47" s="842">
        <v>14.11</v>
      </c>
      <c r="AR47" s="842">
        <v>14.11</v>
      </c>
      <c r="AS47" s="842">
        <v>14.11</v>
      </c>
      <c r="AT47" s="842">
        <v>14.11</v>
      </c>
      <c r="AU47" s="842">
        <v>14.11</v>
      </c>
      <c r="AV47" s="842">
        <v>14.11</v>
      </c>
      <c r="AW47" s="842">
        <v>14.11</v>
      </c>
      <c r="AX47" s="842">
        <v>14.11</v>
      </c>
      <c r="AY47" s="842">
        <v>14.11</v>
      </c>
      <c r="AZ47" s="842">
        <v>14.11</v>
      </c>
      <c r="BA47" s="842">
        <v>14.11</v>
      </c>
      <c r="BB47" s="842">
        <v>14.11</v>
      </c>
      <c r="BC47" s="842">
        <v>14.11</v>
      </c>
      <c r="BD47" s="842">
        <v>14.11</v>
      </c>
      <c r="BE47" s="842">
        <v>14.11</v>
      </c>
      <c r="BF47" s="842">
        <v>14.11</v>
      </c>
      <c r="BG47" s="842">
        <v>14.11</v>
      </c>
      <c r="BH47" s="842">
        <v>14.11</v>
      </c>
      <c r="BI47" s="842">
        <v>14.11</v>
      </c>
      <c r="BJ47" s="842">
        <v>14.11</v>
      </c>
      <c r="BK47" s="842">
        <v>14.11</v>
      </c>
      <c r="BL47" s="842">
        <v>14.11</v>
      </c>
      <c r="BM47" s="842">
        <v>14.11</v>
      </c>
      <c r="BN47" s="842">
        <v>14.11</v>
      </c>
      <c r="BO47" s="842">
        <v>14.11</v>
      </c>
      <c r="BP47" s="842">
        <v>14.11</v>
      </c>
      <c r="BQ47" s="842">
        <v>14.11</v>
      </c>
      <c r="BR47" s="842">
        <v>14.11</v>
      </c>
      <c r="BS47" s="842">
        <v>14.11</v>
      </c>
      <c r="BT47" s="842">
        <v>14.11</v>
      </c>
      <c r="BU47" s="842">
        <v>14.11</v>
      </c>
      <c r="BV47" s="844">
        <v>14.11</v>
      </c>
    </row>
    <row r="48" spans="1:106" s="836" customFormat="1" x14ac:dyDescent="0.25">
      <c r="A48" s="841" t="s">
        <v>310</v>
      </c>
      <c r="B48" s="838"/>
      <c r="C48" s="839"/>
      <c r="D48" s="1023"/>
      <c r="E48" s="839"/>
      <c r="F48" s="838"/>
      <c r="G48" s="838"/>
      <c r="H48" s="838"/>
      <c r="I48" s="838"/>
      <c r="J48" s="838"/>
      <c r="K48" s="838"/>
      <c r="L48" s="838"/>
      <c r="M48" s="838"/>
      <c r="N48" s="842">
        <v>23.6</v>
      </c>
      <c r="O48" s="842">
        <v>23.6</v>
      </c>
      <c r="P48" s="842">
        <v>23.6</v>
      </c>
      <c r="Q48" s="842">
        <v>23.6</v>
      </c>
      <c r="R48" s="842">
        <v>23.6</v>
      </c>
      <c r="S48" s="842">
        <v>23.6</v>
      </c>
      <c r="T48" s="842">
        <v>23.6</v>
      </c>
      <c r="U48" s="842">
        <v>23.6</v>
      </c>
      <c r="V48" s="842">
        <v>23.6</v>
      </c>
      <c r="W48" s="842">
        <v>23.6</v>
      </c>
      <c r="X48" s="842">
        <v>23.6</v>
      </c>
      <c r="Y48" s="842">
        <v>23.6</v>
      </c>
      <c r="Z48" s="842">
        <v>23.6</v>
      </c>
      <c r="AA48" s="842">
        <v>23.6</v>
      </c>
      <c r="AB48" s="842">
        <v>23.6</v>
      </c>
      <c r="AC48" s="842">
        <v>23.6</v>
      </c>
      <c r="AD48" s="842">
        <v>23.6</v>
      </c>
      <c r="AE48" s="842">
        <v>23.6</v>
      </c>
      <c r="AF48" s="842">
        <v>23.6</v>
      </c>
      <c r="AG48" s="842">
        <v>23.6</v>
      </c>
      <c r="AH48" s="842">
        <v>23.6</v>
      </c>
      <c r="AI48" s="842">
        <v>23.6</v>
      </c>
      <c r="AJ48" s="842">
        <v>23.6</v>
      </c>
      <c r="AK48" s="842">
        <v>23.6</v>
      </c>
      <c r="AL48" s="842">
        <v>23.6</v>
      </c>
      <c r="AM48" s="842">
        <v>23.6</v>
      </c>
      <c r="AN48" s="842">
        <v>23.6</v>
      </c>
      <c r="AO48" s="842">
        <v>23.6</v>
      </c>
      <c r="AP48" s="842">
        <v>23.6</v>
      </c>
      <c r="AQ48" s="842">
        <v>23.6</v>
      </c>
      <c r="AR48" s="842">
        <v>23.6</v>
      </c>
      <c r="AS48" s="842">
        <v>23.6</v>
      </c>
      <c r="AT48" s="842">
        <v>23.6</v>
      </c>
      <c r="AU48" s="842">
        <v>23.6</v>
      </c>
      <c r="AV48" s="842">
        <v>23.6</v>
      </c>
      <c r="AW48" s="842">
        <v>23.6</v>
      </c>
      <c r="AX48" s="842">
        <v>23.6</v>
      </c>
      <c r="AY48" s="842">
        <v>23.6</v>
      </c>
      <c r="AZ48" s="842">
        <v>23.6</v>
      </c>
      <c r="BA48" s="842">
        <v>23.6</v>
      </c>
      <c r="BB48" s="842">
        <v>23.6</v>
      </c>
      <c r="BC48" s="842">
        <v>23.6</v>
      </c>
      <c r="BD48" s="842">
        <v>23.6</v>
      </c>
      <c r="BE48" s="842">
        <v>23.6</v>
      </c>
      <c r="BF48" s="842">
        <v>23.6</v>
      </c>
      <c r="BG48" s="842">
        <v>23.6</v>
      </c>
      <c r="BH48" s="842">
        <v>23.6</v>
      </c>
      <c r="BI48" s="842">
        <v>23.6</v>
      </c>
      <c r="BJ48" s="842">
        <v>23.6</v>
      </c>
      <c r="BK48" s="842">
        <v>23.6</v>
      </c>
      <c r="BL48" s="842">
        <v>23.6</v>
      </c>
      <c r="BM48" s="842">
        <v>23.6</v>
      </c>
      <c r="BN48" s="842">
        <v>23.6</v>
      </c>
      <c r="BO48" s="842">
        <v>23.6</v>
      </c>
      <c r="BP48" s="842">
        <v>23.6</v>
      </c>
      <c r="BQ48" s="842">
        <v>23.6</v>
      </c>
      <c r="BR48" s="842">
        <v>23.6</v>
      </c>
      <c r="BS48" s="842">
        <v>23.6</v>
      </c>
      <c r="BT48" s="842">
        <v>23.6</v>
      </c>
      <c r="BU48" s="842">
        <v>23.6</v>
      </c>
      <c r="BV48" s="844">
        <v>23.6</v>
      </c>
    </row>
    <row r="49" spans="1:104" s="836" customFormat="1" x14ac:dyDescent="0.25">
      <c r="A49" s="843" t="s">
        <v>1091</v>
      </c>
      <c r="B49" s="838"/>
      <c r="C49" s="839"/>
      <c r="D49" s="1023"/>
      <c r="E49" s="839"/>
      <c r="F49" s="838"/>
      <c r="G49" s="838"/>
      <c r="H49" s="838"/>
      <c r="I49" s="838"/>
      <c r="J49" s="838"/>
      <c r="K49" s="838"/>
      <c r="L49" s="838"/>
      <c r="M49" s="838"/>
      <c r="N49" s="842">
        <v>25.561684</v>
      </c>
      <c r="O49" s="842">
        <v>25.303816000000001</v>
      </c>
      <c r="P49" s="842">
        <v>33.642014000000003</v>
      </c>
      <c r="Q49" s="842">
        <v>31.120284999999999</v>
      </c>
      <c r="R49" s="842">
        <v>24.805427999999999</v>
      </c>
      <c r="S49" s="842">
        <v>24.941547</v>
      </c>
      <c r="T49" s="842">
        <v>24.510408000000002</v>
      </c>
      <c r="U49" s="842">
        <v>24.773121</v>
      </c>
      <c r="V49" s="842">
        <v>25.840997999999999</v>
      </c>
      <c r="W49" s="842">
        <v>26.808551999999999</v>
      </c>
      <c r="X49" s="842">
        <v>29.644617</v>
      </c>
      <c r="Y49" s="842">
        <v>29.383793000000001</v>
      </c>
      <c r="Z49" s="842">
        <v>28.224442</v>
      </c>
      <c r="AA49" s="842">
        <v>28.253482999999999</v>
      </c>
      <c r="AB49" s="842">
        <v>27.145426</v>
      </c>
      <c r="AC49" s="842">
        <v>27.272445999999999</v>
      </c>
      <c r="AD49" s="842">
        <v>27.519344</v>
      </c>
      <c r="AE49" s="842">
        <v>26.363682000000001</v>
      </c>
      <c r="AF49" s="842">
        <v>26.241467</v>
      </c>
      <c r="AG49" s="842">
        <v>26.599018000000001</v>
      </c>
      <c r="AH49" s="842">
        <v>26.941008</v>
      </c>
      <c r="AI49" s="842">
        <v>27.294556</v>
      </c>
      <c r="AJ49" s="842">
        <v>27.667862</v>
      </c>
      <c r="AK49" s="842">
        <v>28.194492</v>
      </c>
      <c r="AL49" s="842">
        <v>28.632065000000001</v>
      </c>
      <c r="AM49" s="842">
        <v>29.186733</v>
      </c>
      <c r="AN49" s="842">
        <v>29.790071000000001</v>
      </c>
      <c r="AO49" s="842">
        <v>30.397635000000001</v>
      </c>
      <c r="AP49" s="842">
        <v>30.990224999999999</v>
      </c>
      <c r="AQ49" s="842">
        <v>31.671036000000001</v>
      </c>
      <c r="AR49" s="842">
        <v>30.576360999999999</v>
      </c>
      <c r="AS49" s="838"/>
      <c r="AT49" s="838"/>
      <c r="AU49" s="838"/>
      <c r="AV49" s="838"/>
      <c r="AW49" s="838"/>
      <c r="AX49" s="838"/>
      <c r="AY49" s="838"/>
      <c r="AZ49" s="838"/>
      <c r="BA49" s="838"/>
      <c r="BB49" s="838"/>
      <c r="BC49" s="838"/>
      <c r="BD49" s="838"/>
      <c r="BE49" s="838"/>
      <c r="BF49" s="838"/>
      <c r="BG49" s="838"/>
      <c r="BH49" s="838"/>
      <c r="BI49" s="838"/>
      <c r="BJ49" s="838"/>
      <c r="BK49" s="838"/>
      <c r="BL49" s="838"/>
      <c r="BM49" s="838"/>
      <c r="BN49" s="838"/>
      <c r="BO49" s="838"/>
      <c r="BP49" s="838"/>
      <c r="BQ49" s="838"/>
      <c r="BR49" s="838"/>
      <c r="BS49" s="838"/>
      <c r="BT49" s="838"/>
      <c r="BU49" s="838"/>
      <c r="BV49" s="840"/>
    </row>
    <row r="50" spans="1:104" s="836" customFormat="1" x14ac:dyDescent="0.25">
      <c r="A50" s="841" t="s">
        <v>1069</v>
      </c>
      <c r="B50" s="838"/>
      <c r="C50" s="839"/>
      <c r="D50" s="1023"/>
      <c r="E50" s="839"/>
      <c r="F50" s="838"/>
      <c r="G50" s="838"/>
      <c r="H50" s="838"/>
      <c r="I50" s="838"/>
      <c r="J50" s="838"/>
      <c r="K50" s="838"/>
      <c r="L50" s="838"/>
      <c r="M50" s="838"/>
      <c r="N50" s="842">
        <v>2.2979889999999998</v>
      </c>
      <c r="O50" s="842">
        <v>2.38</v>
      </c>
      <c r="P50" s="842">
        <v>2.4052739999999999</v>
      </c>
      <c r="Q50" s="842">
        <v>2.3369110000000002</v>
      </c>
      <c r="R50" s="842">
        <v>2.3950149999999999</v>
      </c>
      <c r="S50" s="842">
        <v>2.3961070000000002</v>
      </c>
      <c r="T50" s="842">
        <v>2.4583050000000002</v>
      </c>
      <c r="U50" s="842">
        <v>2.472283</v>
      </c>
      <c r="V50" s="842">
        <v>2.4802620000000002</v>
      </c>
      <c r="W50" s="842">
        <v>2.4838239999999998</v>
      </c>
      <c r="X50" s="842">
        <v>2.516057</v>
      </c>
      <c r="Y50" s="842">
        <v>2.5464560000000001</v>
      </c>
      <c r="Z50" s="842">
        <v>2.591459</v>
      </c>
      <c r="AA50" s="842">
        <v>2.6280779999999999</v>
      </c>
      <c r="AB50" s="842">
        <v>2.6593969999999998</v>
      </c>
      <c r="AC50" s="842">
        <v>2.691643</v>
      </c>
      <c r="AD50" s="842">
        <v>2.7285810000000001</v>
      </c>
      <c r="AE50" s="842">
        <v>2.7618779999999998</v>
      </c>
      <c r="AF50" s="842">
        <v>2.7919909999999999</v>
      </c>
      <c r="AG50" s="842">
        <v>2.8282630000000002</v>
      </c>
      <c r="AH50" s="842">
        <v>2.8670900000000001</v>
      </c>
      <c r="AI50" s="842">
        <v>2.8969999999999998</v>
      </c>
      <c r="AJ50" s="842">
        <v>2.9238430000000002</v>
      </c>
      <c r="AK50" s="842">
        <v>2.954224</v>
      </c>
      <c r="AL50" s="842">
        <v>2.98759</v>
      </c>
      <c r="AM50" s="842">
        <v>3.030205</v>
      </c>
      <c r="AN50" s="842">
        <v>3.0670109999999999</v>
      </c>
      <c r="AO50" s="842">
        <v>3.1012659999999999</v>
      </c>
      <c r="AP50" s="842">
        <v>3.134995</v>
      </c>
      <c r="AQ50" s="842">
        <v>3.169994</v>
      </c>
      <c r="AR50" s="842">
        <v>3.2015440000000002</v>
      </c>
      <c r="AS50" s="838"/>
      <c r="AT50" s="838"/>
      <c r="AU50" s="838"/>
      <c r="AV50" s="838"/>
      <c r="AW50" s="838"/>
      <c r="AX50" s="838"/>
      <c r="AY50" s="838"/>
      <c r="AZ50" s="838"/>
      <c r="BA50" s="838"/>
      <c r="BB50" s="838"/>
      <c r="BC50" s="838"/>
      <c r="BD50" s="838"/>
      <c r="BE50" s="838"/>
      <c r="BF50" s="838"/>
      <c r="BG50" s="838"/>
      <c r="BH50" s="838"/>
      <c r="BI50" s="838"/>
      <c r="BJ50" s="838"/>
      <c r="BK50" s="838"/>
      <c r="BL50" s="838"/>
      <c r="BM50" s="838"/>
      <c r="BN50" s="838"/>
      <c r="BO50" s="838"/>
      <c r="BP50" s="838"/>
      <c r="BQ50" s="838"/>
      <c r="BR50" s="838"/>
      <c r="BS50" s="838"/>
      <c r="BT50" s="838"/>
      <c r="BU50" s="838"/>
      <c r="BV50" s="840"/>
    </row>
    <row r="51" spans="1:104" s="836" customFormat="1" x14ac:dyDescent="0.25">
      <c r="A51" s="841" t="s">
        <v>672</v>
      </c>
      <c r="B51" s="838"/>
      <c r="C51" s="839"/>
      <c r="D51" s="1023"/>
      <c r="E51" s="839"/>
      <c r="F51" s="838"/>
      <c r="G51" s="838"/>
      <c r="H51" s="838"/>
      <c r="I51" s="838"/>
      <c r="J51" s="838"/>
      <c r="K51" s="838"/>
      <c r="L51" s="838"/>
      <c r="M51" s="838"/>
      <c r="N51" s="842">
        <v>30.492578999999999</v>
      </c>
      <c r="O51" s="842">
        <v>29.980651999999999</v>
      </c>
      <c r="P51" s="842">
        <v>28.463469</v>
      </c>
      <c r="Q51" s="842">
        <v>27.770492999999998</v>
      </c>
      <c r="R51" s="842">
        <v>27.844252000000001</v>
      </c>
      <c r="S51" s="842">
        <v>27.733993999999999</v>
      </c>
      <c r="T51" s="842">
        <v>28.230274000000001</v>
      </c>
      <c r="U51" s="842">
        <v>28.517765000000001</v>
      </c>
      <c r="V51" s="842">
        <v>28.644997</v>
      </c>
      <c r="W51" s="842">
        <v>28.576813000000001</v>
      </c>
      <c r="X51" s="842">
        <v>28.566559000000002</v>
      </c>
      <c r="Y51" s="842">
        <v>28.675744999999999</v>
      </c>
      <c r="Z51" s="842">
        <v>28.66461</v>
      </c>
      <c r="AA51" s="842">
        <v>28.628443000000001</v>
      </c>
      <c r="AB51" s="842">
        <v>28.632759</v>
      </c>
      <c r="AC51" s="842">
        <v>28.485842000000002</v>
      </c>
      <c r="AD51" s="842">
        <v>28.378672000000002</v>
      </c>
      <c r="AE51" s="842">
        <v>28.369689999999999</v>
      </c>
      <c r="AF51" s="842">
        <v>28.482963999999999</v>
      </c>
      <c r="AG51" s="842">
        <v>28.577332999999999</v>
      </c>
      <c r="AH51" s="842">
        <v>28.652301999999999</v>
      </c>
      <c r="AI51" s="842">
        <v>28.781072999999999</v>
      </c>
      <c r="AJ51" s="842">
        <v>28.912566999999999</v>
      </c>
      <c r="AK51" s="842">
        <v>29.081726</v>
      </c>
      <c r="AL51" s="842">
        <v>29.271111999999999</v>
      </c>
      <c r="AM51" s="842">
        <v>29.658476</v>
      </c>
      <c r="AN51" s="842">
        <v>30.101704000000002</v>
      </c>
      <c r="AO51" s="842">
        <v>30.503069</v>
      </c>
      <c r="AP51" s="842">
        <v>30.944068999999999</v>
      </c>
      <c r="AQ51" s="842">
        <v>31.476562000000001</v>
      </c>
      <c r="AR51" s="842">
        <v>31.747146999999998</v>
      </c>
      <c r="AS51" s="838"/>
      <c r="AT51" s="838"/>
      <c r="AU51" s="838"/>
      <c r="AV51" s="838"/>
      <c r="AW51" s="838"/>
      <c r="AX51" s="838"/>
      <c r="AY51" s="838"/>
      <c r="AZ51" s="838"/>
      <c r="BA51" s="838"/>
      <c r="BB51" s="838"/>
      <c r="BC51" s="838"/>
      <c r="BD51" s="838"/>
      <c r="BE51" s="838"/>
      <c r="BF51" s="838"/>
      <c r="BG51" s="838"/>
      <c r="BH51" s="838"/>
      <c r="BI51" s="838"/>
      <c r="BJ51" s="838"/>
      <c r="BK51" s="838"/>
      <c r="BL51" s="838"/>
      <c r="BM51" s="838"/>
      <c r="BN51" s="838"/>
      <c r="BO51" s="838"/>
      <c r="BP51" s="838"/>
      <c r="BQ51" s="838"/>
      <c r="BR51" s="838"/>
      <c r="BS51" s="838"/>
      <c r="BT51" s="838"/>
      <c r="BU51" s="838"/>
      <c r="BV51" s="840"/>
    </row>
    <row r="52" spans="1:104" s="836" customFormat="1" x14ac:dyDescent="0.25">
      <c r="A52" s="841" t="s">
        <v>687</v>
      </c>
      <c r="B52" s="838"/>
      <c r="C52" s="839"/>
      <c r="D52" s="1023"/>
      <c r="E52" s="839"/>
      <c r="F52" s="838"/>
      <c r="G52" s="838"/>
      <c r="H52" s="838"/>
      <c r="I52" s="838"/>
      <c r="J52" s="838"/>
      <c r="K52" s="838"/>
      <c r="L52" s="838"/>
      <c r="M52" s="838"/>
      <c r="N52" s="842">
        <v>20.260442999999999</v>
      </c>
      <c r="O52" s="842">
        <v>19.975739999999998</v>
      </c>
      <c r="P52" s="842">
        <v>18.436015999999999</v>
      </c>
      <c r="Q52" s="842">
        <v>18.142965</v>
      </c>
      <c r="R52" s="842">
        <v>18.046112000000001</v>
      </c>
      <c r="S52" s="842">
        <v>17.884491000000001</v>
      </c>
      <c r="T52" s="842">
        <v>18.368113000000001</v>
      </c>
      <c r="U52" s="842">
        <v>18.636278000000001</v>
      </c>
      <c r="V52" s="842">
        <v>18.783104000000002</v>
      </c>
      <c r="W52" s="842">
        <v>18.727132999999998</v>
      </c>
      <c r="X52" s="842">
        <v>18.720291</v>
      </c>
      <c r="Y52" s="842">
        <v>18.854441000000001</v>
      </c>
      <c r="Z52" s="842">
        <v>18.961594000000002</v>
      </c>
      <c r="AA52" s="842">
        <v>19.089853000000002</v>
      </c>
      <c r="AB52" s="842">
        <v>19.158766</v>
      </c>
      <c r="AC52" s="842">
        <v>19.181961000000001</v>
      </c>
      <c r="AD52" s="842">
        <v>19.274345</v>
      </c>
      <c r="AE52" s="842">
        <v>19.362473000000001</v>
      </c>
      <c r="AF52" s="842">
        <v>19.467001</v>
      </c>
      <c r="AG52" s="842">
        <v>19.610374</v>
      </c>
      <c r="AH52" s="842">
        <v>19.726358000000001</v>
      </c>
      <c r="AI52" s="842">
        <v>19.866886000000001</v>
      </c>
      <c r="AJ52" s="842">
        <v>20.029399999999999</v>
      </c>
      <c r="AK52" s="842">
        <v>20.204810999999999</v>
      </c>
      <c r="AL52" s="842">
        <v>20.42868</v>
      </c>
      <c r="AM52" s="842">
        <v>20.795019</v>
      </c>
      <c r="AN52" s="842">
        <v>21.263971000000002</v>
      </c>
      <c r="AO52" s="842">
        <v>21.670811</v>
      </c>
      <c r="AP52" s="842">
        <v>22.067454999999999</v>
      </c>
      <c r="AQ52" s="842">
        <v>22.488647</v>
      </c>
      <c r="AR52" s="842">
        <v>22.744430999999999</v>
      </c>
      <c r="AS52" s="838"/>
      <c r="AT52" s="838"/>
      <c r="AU52" s="838"/>
      <c r="AV52" s="838"/>
      <c r="AW52" s="838"/>
      <c r="AX52" s="838"/>
      <c r="AY52" s="838"/>
      <c r="AZ52" s="838"/>
      <c r="BA52" s="838"/>
      <c r="BB52" s="838"/>
      <c r="BC52" s="838"/>
      <c r="BD52" s="838"/>
      <c r="BE52" s="838"/>
      <c r="BF52" s="838"/>
      <c r="BG52" s="838"/>
      <c r="BH52" s="838"/>
      <c r="BI52" s="838"/>
      <c r="BJ52" s="838"/>
      <c r="BK52" s="838"/>
      <c r="BL52" s="838"/>
      <c r="BM52" s="838"/>
      <c r="BN52" s="838"/>
      <c r="BO52" s="838"/>
      <c r="BP52" s="838"/>
      <c r="BQ52" s="838"/>
      <c r="BR52" s="838"/>
      <c r="BS52" s="838"/>
      <c r="BT52" s="838"/>
      <c r="BU52" s="838"/>
      <c r="BV52" s="840"/>
    </row>
    <row r="53" spans="1:104" s="836" customFormat="1" ht="13.8" thickBot="1" x14ac:dyDescent="0.3">
      <c r="A53" s="845" t="s">
        <v>673</v>
      </c>
      <c r="B53" s="846"/>
      <c r="C53" s="847"/>
      <c r="D53" s="1024"/>
      <c r="E53" s="847"/>
      <c r="F53" s="846"/>
      <c r="G53" s="846"/>
      <c r="H53" s="846"/>
      <c r="I53" s="846"/>
      <c r="J53" s="846"/>
      <c r="K53" s="846"/>
      <c r="L53" s="846"/>
      <c r="M53" s="846"/>
      <c r="N53" s="848">
        <v>34.522823000000002</v>
      </c>
      <c r="O53" s="848">
        <v>34.335875999999999</v>
      </c>
      <c r="P53" s="848">
        <v>33.266716000000002</v>
      </c>
      <c r="Q53" s="848">
        <v>32.549408</v>
      </c>
      <c r="R53" s="848">
        <v>33.007488000000002</v>
      </c>
      <c r="S53" s="848">
        <v>33.062362999999998</v>
      </c>
      <c r="T53" s="848">
        <v>33.578304000000003</v>
      </c>
      <c r="U53" s="848">
        <v>33.826259999999998</v>
      </c>
      <c r="V53" s="848">
        <v>33.834632999999997</v>
      </c>
      <c r="W53" s="848">
        <v>33.642589999999998</v>
      </c>
      <c r="X53" s="848">
        <v>33.615443999999997</v>
      </c>
      <c r="Y53" s="848">
        <v>33.658813000000002</v>
      </c>
      <c r="Z53" s="848">
        <v>33.691249999999997</v>
      </c>
      <c r="AA53" s="848">
        <v>33.703487000000003</v>
      </c>
      <c r="AB53" s="848">
        <v>33.839970000000001</v>
      </c>
      <c r="AC53" s="848">
        <v>33.959377000000003</v>
      </c>
      <c r="AD53" s="848">
        <v>34.126075999999998</v>
      </c>
      <c r="AE53" s="848">
        <v>34.265704999999997</v>
      </c>
      <c r="AF53" s="848">
        <v>34.413651000000002</v>
      </c>
      <c r="AG53" s="848">
        <v>34.510967000000001</v>
      </c>
      <c r="AH53" s="848">
        <v>34.561591999999997</v>
      </c>
      <c r="AI53" s="848">
        <v>34.686400999999996</v>
      </c>
      <c r="AJ53" s="848">
        <v>34.807406999999998</v>
      </c>
      <c r="AK53" s="848">
        <v>34.923721</v>
      </c>
      <c r="AL53" s="848">
        <v>35.082526999999999</v>
      </c>
      <c r="AM53" s="848">
        <v>35.421287999999997</v>
      </c>
      <c r="AN53" s="848">
        <v>35.835976000000002</v>
      </c>
      <c r="AO53" s="848">
        <v>36.175975999999999</v>
      </c>
      <c r="AP53" s="848">
        <v>36.502800000000001</v>
      </c>
      <c r="AQ53" s="848">
        <v>36.906086000000002</v>
      </c>
      <c r="AR53" s="848">
        <v>37.098595000000003</v>
      </c>
      <c r="AS53" s="846"/>
      <c r="AT53" s="846"/>
      <c r="AU53" s="846"/>
      <c r="AV53" s="846"/>
      <c r="AW53" s="846"/>
      <c r="AX53" s="846"/>
      <c r="AY53" s="846"/>
      <c r="AZ53" s="846"/>
      <c r="BA53" s="846"/>
      <c r="BB53" s="846"/>
      <c r="BC53" s="846"/>
      <c r="BD53" s="846"/>
      <c r="BE53" s="846"/>
      <c r="BF53" s="846"/>
      <c r="BG53" s="846"/>
      <c r="BH53" s="846"/>
      <c r="BI53" s="846"/>
      <c r="BJ53" s="846"/>
      <c r="BK53" s="846"/>
      <c r="BL53" s="846"/>
      <c r="BM53" s="846"/>
      <c r="BN53" s="846"/>
      <c r="BO53" s="846"/>
      <c r="BP53" s="846"/>
      <c r="BQ53" s="846"/>
      <c r="BR53" s="846"/>
      <c r="BS53" s="846"/>
      <c r="BT53" s="846"/>
      <c r="BU53" s="846"/>
      <c r="BV53" s="849"/>
    </row>
    <row r="54" spans="1:104" x14ac:dyDescent="0.25">
      <c r="A54" s="729"/>
      <c r="B54" s="254"/>
      <c r="C54" s="726"/>
      <c r="D54" s="1021"/>
      <c r="E54" s="726"/>
      <c r="F54" s="254"/>
      <c r="G54" s="254"/>
      <c r="H54" s="254"/>
      <c r="I54" s="254"/>
      <c r="J54" s="254"/>
      <c r="K54" s="254"/>
      <c r="L54" s="254"/>
      <c r="M54" s="254"/>
      <c r="N54" s="254"/>
      <c r="O54" s="254"/>
      <c r="P54" s="254"/>
      <c r="Q54" s="254"/>
      <c r="R54" s="254"/>
      <c r="S54" s="254"/>
      <c r="T54" s="254"/>
      <c r="U54" s="254"/>
      <c r="V54" s="254"/>
      <c r="W54" s="254"/>
      <c r="X54" s="254"/>
      <c r="Y54" s="254"/>
      <c r="Z54" s="254"/>
      <c r="AA54" s="254"/>
      <c r="AB54" s="254"/>
      <c r="AC54" s="254"/>
      <c r="AD54" s="254"/>
      <c r="AE54" s="254"/>
      <c r="AF54" s="254"/>
      <c r="AG54" s="254"/>
      <c r="AH54" s="254"/>
      <c r="AI54" s="254"/>
      <c r="AJ54" s="254"/>
      <c r="AK54" s="254"/>
      <c r="AL54" s="254"/>
      <c r="AM54" s="254"/>
      <c r="AN54" s="254"/>
      <c r="AO54" s="254"/>
      <c r="AP54" s="254"/>
      <c r="AQ54" s="254"/>
      <c r="AR54" s="254"/>
      <c r="AS54" s="254"/>
      <c r="AT54" s="254"/>
      <c r="AU54" s="254"/>
      <c r="AV54" s="254"/>
      <c r="AW54" s="254"/>
      <c r="AX54" s="254"/>
      <c r="AY54" s="254"/>
      <c r="AZ54" s="254"/>
      <c r="BA54" s="254"/>
      <c r="BB54" s="254"/>
      <c r="BC54" s="254"/>
      <c r="BD54" s="254"/>
      <c r="BE54" s="254"/>
      <c r="BF54" s="254"/>
      <c r="BG54" s="254"/>
      <c r="BH54" s="254"/>
      <c r="BI54" s="254"/>
      <c r="BJ54" s="254"/>
      <c r="BK54" s="254"/>
      <c r="BL54" s="254"/>
      <c r="BM54" s="254"/>
      <c r="BN54" s="254"/>
      <c r="BO54" s="254"/>
      <c r="BP54" s="254"/>
      <c r="BQ54" s="254"/>
      <c r="BR54" s="254"/>
      <c r="BS54" s="254"/>
      <c r="BT54" s="254"/>
      <c r="BU54" s="254"/>
      <c r="BV54" s="728"/>
    </row>
    <row r="55" spans="1:104" ht="13.8" thickBot="1" x14ac:dyDescent="0.3">
      <c r="A55" s="729"/>
      <c r="B55" s="254"/>
      <c r="C55" s="726"/>
      <c r="D55" s="1021"/>
      <c r="E55" s="733"/>
      <c r="F55" s="732"/>
      <c r="G55" s="254"/>
      <c r="H55" s="254"/>
      <c r="I55" s="254"/>
      <c r="J55" s="254"/>
      <c r="K55" s="254"/>
      <c r="L55" s="254"/>
      <c r="M55" s="254"/>
      <c r="N55" s="254"/>
      <c r="O55" s="254"/>
      <c r="P55" s="254"/>
      <c r="Q55" s="254"/>
      <c r="R55" s="254"/>
      <c r="S55" s="254"/>
      <c r="T55" s="254"/>
      <c r="U55" s="254"/>
      <c r="V55" s="254"/>
      <c r="W55" s="254"/>
      <c r="X55" s="254"/>
      <c r="Y55" s="254"/>
      <c r="Z55" s="254"/>
      <c r="AA55" s="254"/>
      <c r="AB55" s="254"/>
      <c r="AC55" s="254"/>
      <c r="AD55" s="254"/>
      <c r="AE55" s="254"/>
      <c r="AF55" s="254"/>
      <c r="AG55" s="254"/>
      <c r="AH55" s="254"/>
      <c r="AI55" s="254"/>
      <c r="AJ55" s="254"/>
      <c r="AK55" s="254"/>
      <c r="AL55" s="254"/>
      <c r="AM55" s="254"/>
      <c r="AN55" s="254"/>
      <c r="AO55" s="254"/>
      <c r="AP55" s="254"/>
      <c r="AQ55" s="254"/>
      <c r="AR55" s="254"/>
      <c r="AS55" s="254"/>
      <c r="AT55" s="254"/>
      <c r="AU55" s="254"/>
      <c r="AV55" s="254"/>
      <c r="AW55" s="254"/>
      <c r="AX55" s="254"/>
      <c r="AY55" s="254"/>
      <c r="AZ55" s="254"/>
      <c r="BA55" s="254"/>
      <c r="BB55" s="254"/>
      <c r="BC55" s="254"/>
      <c r="BD55" s="254"/>
      <c r="BE55" s="254"/>
      <c r="BF55" s="254"/>
      <c r="BG55" s="254"/>
      <c r="BH55" s="254"/>
      <c r="BI55" s="254"/>
      <c r="BJ55" s="254"/>
      <c r="BK55" s="254"/>
      <c r="BL55" s="254"/>
      <c r="BM55" s="254"/>
      <c r="BN55" s="254"/>
      <c r="BO55" s="254"/>
      <c r="BP55" s="254"/>
      <c r="BQ55" s="254"/>
      <c r="BR55" s="254"/>
      <c r="BS55" s="254"/>
      <c r="BT55" s="254"/>
      <c r="BU55" s="254"/>
      <c r="BV55" s="728"/>
    </row>
    <row r="56" spans="1:104" ht="13.8" thickTop="1" x14ac:dyDescent="0.25">
      <c r="A56" s="719" t="s">
        <v>1086</v>
      </c>
      <c r="B56" s="720" t="str">
        <f>"Prices are in $(" &amp; ref_year&amp;")/GJ LHV"</f>
        <v>Prices are in $(2016)/GJ LHV</v>
      </c>
      <c r="C56" s="720"/>
      <c r="D56" s="1025"/>
      <c r="E56" s="720"/>
      <c r="F56" s="721"/>
      <c r="G56" s="721"/>
      <c r="H56" s="721"/>
      <c r="I56" s="721"/>
      <c r="J56" s="721"/>
      <c r="K56" s="721"/>
      <c r="L56" s="721"/>
      <c r="M56" s="721"/>
      <c r="N56" s="721"/>
      <c r="O56" s="721"/>
      <c r="P56" s="721"/>
      <c r="Q56" s="721"/>
      <c r="R56" s="721"/>
      <c r="S56" s="721"/>
      <c r="T56" s="721"/>
      <c r="U56" s="721"/>
      <c r="V56" s="721"/>
      <c r="W56" s="721"/>
      <c r="X56" s="721"/>
      <c r="Y56" s="721"/>
      <c r="Z56" s="721"/>
      <c r="AA56" s="721"/>
      <c r="AB56" s="721"/>
      <c r="AC56" s="721"/>
      <c r="AD56" s="721"/>
      <c r="AE56" s="721"/>
      <c r="AF56" s="721"/>
      <c r="AG56" s="721"/>
      <c r="AH56" s="721"/>
      <c r="AI56" s="721"/>
      <c r="AJ56" s="721"/>
      <c r="AK56" s="721"/>
      <c r="AL56" s="721"/>
      <c r="AM56" s="721"/>
      <c r="AN56" s="721"/>
      <c r="AO56" s="721"/>
      <c r="AP56" s="721"/>
      <c r="AQ56" s="721"/>
      <c r="AR56" s="721"/>
      <c r="AS56" s="734" t="s">
        <v>761</v>
      </c>
      <c r="AT56" s="735"/>
      <c r="AU56" s="735"/>
      <c r="AV56" s="735"/>
      <c r="AW56" s="735"/>
      <c r="AX56" s="735"/>
      <c r="AY56" s="735"/>
      <c r="AZ56" s="735"/>
      <c r="BA56" s="735"/>
      <c r="BB56" s="735"/>
      <c r="BC56" s="735"/>
      <c r="BD56" s="735"/>
      <c r="BE56" s="735"/>
      <c r="BF56" s="735"/>
      <c r="BG56" s="735"/>
      <c r="BH56" s="735"/>
      <c r="BI56" s="735"/>
      <c r="BJ56" s="735"/>
      <c r="BK56" s="735"/>
      <c r="BL56" s="735"/>
      <c r="BM56" s="735"/>
      <c r="BN56" s="735"/>
      <c r="BO56" s="735"/>
      <c r="BP56" s="735"/>
      <c r="BQ56" s="735"/>
      <c r="BR56" s="735"/>
      <c r="BS56" s="735"/>
      <c r="BT56" s="735"/>
      <c r="BU56" s="735"/>
      <c r="BV56" s="736"/>
    </row>
    <row r="57" spans="1:104" ht="40.200000000000003" thickBot="1" x14ac:dyDescent="0.3">
      <c r="A57" s="905" t="s">
        <v>1066</v>
      </c>
      <c r="B57" s="906" t="s">
        <v>667</v>
      </c>
      <c r="C57" s="906" t="s">
        <v>668</v>
      </c>
      <c r="D57" s="1026" t="s">
        <v>679</v>
      </c>
      <c r="E57" s="906" t="s">
        <v>680</v>
      </c>
      <c r="F57" s="907" t="s">
        <v>669</v>
      </c>
      <c r="G57" s="907" t="s">
        <v>681</v>
      </c>
      <c r="H57" s="850">
        <v>2004</v>
      </c>
      <c r="I57" s="850">
        <v>2005</v>
      </c>
      <c r="J57" s="850">
        <v>2006</v>
      </c>
      <c r="K57" s="850">
        <v>2007</v>
      </c>
      <c r="L57" s="850">
        <v>2008</v>
      </c>
      <c r="M57" s="850">
        <v>2009</v>
      </c>
      <c r="N57" s="907">
        <v>2010</v>
      </c>
      <c r="O57" s="907">
        <v>2011</v>
      </c>
      <c r="P57" s="907">
        <v>2012</v>
      </c>
      <c r="Q57" s="907">
        <v>2013</v>
      </c>
      <c r="R57" s="907">
        <v>2014</v>
      </c>
      <c r="S57" s="907">
        <v>2015</v>
      </c>
      <c r="T57" s="907">
        <v>2016</v>
      </c>
      <c r="U57" s="907">
        <v>2017</v>
      </c>
      <c r="V57" s="907">
        <v>2018</v>
      </c>
      <c r="W57" s="907">
        <v>2019</v>
      </c>
      <c r="X57" s="907">
        <v>2020</v>
      </c>
      <c r="Y57" s="907">
        <v>2021</v>
      </c>
      <c r="Z57" s="907">
        <v>2022</v>
      </c>
      <c r="AA57" s="907">
        <v>2023</v>
      </c>
      <c r="AB57" s="907">
        <v>2024</v>
      </c>
      <c r="AC57" s="907">
        <v>2025</v>
      </c>
      <c r="AD57" s="907">
        <v>2026</v>
      </c>
      <c r="AE57" s="907">
        <v>2027</v>
      </c>
      <c r="AF57" s="907">
        <v>2028</v>
      </c>
      <c r="AG57" s="907">
        <v>2029</v>
      </c>
      <c r="AH57" s="907">
        <v>2030</v>
      </c>
      <c r="AI57" s="907">
        <v>2031</v>
      </c>
      <c r="AJ57" s="907">
        <v>2032</v>
      </c>
      <c r="AK57" s="907">
        <v>2033</v>
      </c>
      <c r="AL57" s="907">
        <v>2034</v>
      </c>
      <c r="AM57" s="907">
        <v>2035</v>
      </c>
      <c r="AN57" s="907">
        <v>2036</v>
      </c>
      <c r="AO57" s="907">
        <v>2037</v>
      </c>
      <c r="AP57" s="907">
        <v>2038</v>
      </c>
      <c r="AQ57" s="907">
        <v>2039</v>
      </c>
      <c r="AR57" s="907">
        <v>2040</v>
      </c>
      <c r="AS57" s="907">
        <v>2041</v>
      </c>
      <c r="AT57" s="907">
        <v>2042</v>
      </c>
      <c r="AU57" s="907">
        <v>2043</v>
      </c>
      <c r="AV57" s="907">
        <v>2044</v>
      </c>
      <c r="AW57" s="907">
        <v>2045</v>
      </c>
      <c r="AX57" s="907">
        <v>2046</v>
      </c>
      <c r="AY57" s="907">
        <v>2047</v>
      </c>
      <c r="AZ57" s="907">
        <v>2048</v>
      </c>
      <c r="BA57" s="907">
        <v>2049</v>
      </c>
      <c r="BB57" s="907">
        <v>2050</v>
      </c>
      <c r="BC57" s="907">
        <v>2051</v>
      </c>
      <c r="BD57" s="907">
        <v>2052</v>
      </c>
      <c r="BE57" s="907">
        <v>2053</v>
      </c>
      <c r="BF57" s="907">
        <v>2054</v>
      </c>
      <c r="BG57" s="907">
        <v>2055</v>
      </c>
      <c r="BH57" s="907">
        <v>2056</v>
      </c>
      <c r="BI57" s="907">
        <v>2057</v>
      </c>
      <c r="BJ57" s="907">
        <v>2058</v>
      </c>
      <c r="BK57" s="907">
        <v>2059</v>
      </c>
      <c r="BL57" s="907">
        <v>2060</v>
      </c>
      <c r="BM57" s="907">
        <v>2061</v>
      </c>
      <c r="BN57" s="907">
        <v>2062</v>
      </c>
      <c r="BO57" s="907">
        <v>2063</v>
      </c>
      <c r="BP57" s="907">
        <v>2064</v>
      </c>
      <c r="BQ57" s="907">
        <v>2065</v>
      </c>
      <c r="BR57" s="907">
        <v>2066</v>
      </c>
      <c r="BS57" s="907">
        <v>2067</v>
      </c>
      <c r="BT57" s="907">
        <v>2068</v>
      </c>
      <c r="BU57" s="907">
        <v>2069</v>
      </c>
      <c r="BV57" s="908">
        <v>2070</v>
      </c>
      <c r="BW57" s="1078">
        <f t="shared" ref="BW57" si="130">+BV57+1</f>
        <v>2071</v>
      </c>
      <c r="BX57" s="1078">
        <f t="shared" ref="BX57" si="131">+BW57+1</f>
        <v>2072</v>
      </c>
      <c r="BY57" s="1078">
        <f t="shared" ref="BY57" si="132">+BX57+1</f>
        <v>2073</v>
      </c>
      <c r="BZ57" s="1078">
        <f t="shared" ref="BZ57" si="133">+BY57+1</f>
        <v>2074</v>
      </c>
      <c r="CA57" s="1078">
        <f t="shared" ref="CA57" si="134">+BZ57+1</f>
        <v>2075</v>
      </c>
      <c r="CB57" s="1078">
        <f t="shared" ref="CB57" si="135">+CA57+1</f>
        <v>2076</v>
      </c>
      <c r="CC57" s="1078">
        <f t="shared" ref="CC57" si="136">+CB57+1</f>
        <v>2077</v>
      </c>
      <c r="CD57" s="1078">
        <f t="shared" ref="CD57" si="137">+CC57+1</f>
        <v>2078</v>
      </c>
      <c r="CE57" s="1078">
        <f t="shared" ref="CE57" si="138">+CD57+1</f>
        <v>2079</v>
      </c>
      <c r="CF57" s="1078">
        <f t="shared" ref="CF57" si="139">+CE57+1</f>
        <v>2080</v>
      </c>
      <c r="CG57" s="1078">
        <f t="shared" ref="CG57" si="140">+CF57+1</f>
        <v>2081</v>
      </c>
      <c r="CH57" s="1078">
        <f t="shared" ref="CH57" si="141">+CG57+1</f>
        <v>2082</v>
      </c>
      <c r="CI57" s="1078">
        <f t="shared" ref="CI57" si="142">+CH57+1</f>
        <v>2083</v>
      </c>
      <c r="CJ57" s="1078">
        <f t="shared" ref="CJ57" si="143">+CI57+1</f>
        <v>2084</v>
      </c>
      <c r="CK57" s="1078">
        <f t="shared" ref="CK57" si="144">+CJ57+1</f>
        <v>2085</v>
      </c>
      <c r="CL57" s="1078">
        <f t="shared" ref="CL57" si="145">+CK57+1</f>
        <v>2086</v>
      </c>
      <c r="CM57" s="1078">
        <f t="shared" ref="CM57" si="146">+CL57+1</f>
        <v>2087</v>
      </c>
      <c r="CN57" s="1078">
        <f t="shared" ref="CN57" si="147">+CM57+1</f>
        <v>2088</v>
      </c>
      <c r="CO57" s="1078">
        <f t="shared" ref="CO57" si="148">+CN57+1</f>
        <v>2089</v>
      </c>
      <c r="CP57" s="1078">
        <f t="shared" ref="CP57" si="149">+CO57+1</f>
        <v>2090</v>
      </c>
      <c r="CQ57" s="1078">
        <f t="shared" ref="CQ57" si="150">+CP57+1</f>
        <v>2091</v>
      </c>
      <c r="CR57" s="1078">
        <f t="shared" ref="CR57" si="151">+CQ57+1</f>
        <v>2092</v>
      </c>
      <c r="CS57" s="1078">
        <f t="shared" ref="CS57" si="152">+CR57+1</f>
        <v>2093</v>
      </c>
      <c r="CT57" s="1078">
        <f t="shared" ref="CT57" si="153">+CS57+1</f>
        <v>2094</v>
      </c>
      <c r="CU57" s="1078">
        <f t="shared" ref="CU57" si="154">+CT57+1</f>
        <v>2095</v>
      </c>
      <c r="CV57" s="1078">
        <f t="shared" ref="CV57" si="155">+CU57+1</f>
        <v>2096</v>
      </c>
      <c r="CW57" s="1078">
        <f t="shared" ref="CW57" si="156">+CV57+1</f>
        <v>2097</v>
      </c>
      <c r="CX57" s="1078">
        <f t="shared" ref="CX57" si="157">+CW57+1</f>
        <v>2098</v>
      </c>
      <c r="CY57" s="1078">
        <f t="shared" ref="CY57" si="158">+CX57+1</f>
        <v>2099</v>
      </c>
      <c r="CZ57" s="1078">
        <f t="shared" ref="CZ57" si="159">+CY57+1</f>
        <v>2100</v>
      </c>
    </row>
    <row r="58" spans="1:104" ht="13.8" thickBot="1" x14ac:dyDescent="0.3">
      <c r="A58" s="722" t="s">
        <v>1072</v>
      </c>
      <c r="B58" s="723"/>
      <c r="C58" s="723"/>
      <c r="D58" s="1027"/>
      <c r="E58" s="723"/>
      <c r="F58" s="723"/>
      <c r="G58" s="723"/>
      <c r="H58" s="723"/>
      <c r="I58" s="723"/>
      <c r="J58" s="723"/>
      <c r="K58" s="723"/>
      <c r="L58" s="723"/>
      <c r="M58" s="723"/>
      <c r="N58" s="723"/>
      <c r="O58" s="723"/>
      <c r="P58" s="723"/>
      <c r="Q58" s="723"/>
      <c r="R58" s="723"/>
      <c r="S58" s="723"/>
      <c r="T58" s="723"/>
      <c r="U58" s="723"/>
      <c r="V58" s="723"/>
      <c r="W58" s="723"/>
      <c r="X58" s="723"/>
      <c r="Y58" s="723"/>
      <c r="Z58" s="723"/>
      <c r="AA58" s="723"/>
      <c r="AB58" s="723"/>
      <c r="AC58" s="723"/>
      <c r="AD58" s="723"/>
      <c r="AE58" s="723"/>
      <c r="AF58" s="723"/>
      <c r="AG58" s="723"/>
      <c r="AH58" s="723"/>
      <c r="AI58" s="723"/>
      <c r="AJ58" s="723"/>
      <c r="AK58" s="723"/>
      <c r="AL58" s="723"/>
      <c r="AM58" s="723"/>
      <c r="AN58" s="723"/>
      <c r="AO58" s="723"/>
      <c r="AP58" s="723"/>
      <c r="AQ58" s="723"/>
      <c r="AR58" s="723"/>
      <c r="AS58" s="723"/>
      <c r="AT58" s="723"/>
      <c r="AU58" s="723"/>
      <c r="AV58" s="723"/>
      <c r="AW58" s="723"/>
      <c r="AX58" s="723"/>
      <c r="AY58" s="723"/>
      <c r="AZ58" s="723"/>
      <c r="BA58" s="723"/>
      <c r="BB58" s="723"/>
      <c r="BC58" s="723"/>
      <c r="BD58" s="723"/>
      <c r="BE58" s="723"/>
      <c r="BF58" s="723"/>
      <c r="BG58" s="723"/>
      <c r="BH58" s="723"/>
      <c r="BI58" s="723"/>
      <c r="BJ58" s="723"/>
      <c r="BK58" s="723"/>
      <c r="BL58" s="723"/>
      <c r="BM58" s="723"/>
      <c r="BN58" s="723"/>
      <c r="BO58" s="723"/>
      <c r="BP58" s="723"/>
      <c r="BQ58" s="723"/>
      <c r="BR58" s="723"/>
      <c r="BS58" s="723"/>
      <c r="BT58" s="723"/>
      <c r="BU58" s="723"/>
      <c r="BV58" s="724"/>
    </row>
    <row r="59" spans="1:104" x14ac:dyDescent="0.25">
      <c r="A59" s="725" t="str">
        <f>'HyARC Physical Property Data'!A73</f>
        <v>Residential Natural Gas</v>
      </c>
      <c r="B59" s="254">
        <v>2011</v>
      </c>
      <c r="C59" s="726">
        <f>VLOOKUP(ref_year,DeflatorTable,2,FALSE)/VLOOKUP(B59,DeflatorTable,2,FALSE)</f>
        <v>1.0771767810026385</v>
      </c>
      <c r="D59" s="1028" t="str">
        <f>'HyARC Physical Property Data'!H73</f>
        <v>mmBtu</v>
      </c>
      <c r="E59" s="726" t="s">
        <v>1040</v>
      </c>
      <c r="F59" s="254">
        <f>'HyARC Physical Property Data'!$E$6</f>
        <v>47.141269049911173</v>
      </c>
      <c r="G59" s="254">
        <f>'HyARC Physical Property Data'!$I$6</f>
        <v>52.224661236371581</v>
      </c>
      <c r="H59" s="852">
        <v>13.568796522291001</v>
      </c>
      <c r="I59" s="852">
        <v>13.568796522291001</v>
      </c>
      <c r="J59" s="852">
        <v>13.568796522291001</v>
      </c>
      <c r="K59" s="852">
        <v>12.569562315288914</v>
      </c>
      <c r="L59" s="852">
        <v>12.891154499364562</v>
      </c>
      <c r="M59" s="852">
        <v>11.574514296329017</v>
      </c>
      <c r="N59" s="254">
        <f t="shared" ref="N59:AR59" si="160">N74*(1/mmBTU_to_GJ*$C59*$G59/$F59)</f>
        <v>12.848820030872973</v>
      </c>
      <c r="O59" s="254">
        <f t="shared" si="160"/>
        <v>12.218751960936617</v>
      </c>
      <c r="P59" s="254">
        <f t="shared" si="160"/>
        <v>11.847089507654712</v>
      </c>
      <c r="Q59" s="254">
        <f t="shared" si="160"/>
        <v>11.878954304161503</v>
      </c>
      <c r="R59" s="254">
        <f t="shared" si="160"/>
        <v>11.689024462272872</v>
      </c>
      <c r="S59" s="254">
        <f t="shared" si="160"/>
        <v>11.571127769223187</v>
      </c>
      <c r="T59" s="254">
        <f t="shared" si="160"/>
        <v>12.158272077211455</v>
      </c>
      <c r="U59" s="254">
        <f t="shared" si="160"/>
        <v>12.546766735129951</v>
      </c>
      <c r="V59" s="254">
        <f t="shared" si="160"/>
        <v>13.025386814796633</v>
      </c>
      <c r="W59" s="254">
        <f t="shared" si="160"/>
        <v>13.318825496567992</v>
      </c>
      <c r="X59" s="254">
        <f t="shared" si="160"/>
        <v>13.569389054574135</v>
      </c>
      <c r="Y59" s="254">
        <f t="shared" si="160"/>
        <v>13.810438757785679</v>
      </c>
      <c r="Z59" s="254">
        <f t="shared" si="160"/>
        <v>14.116363879109715</v>
      </c>
      <c r="AA59" s="254">
        <f t="shared" si="160"/>
        <v>14.398431406172943</v>
      </c>
      <c r="AB59" s="254">
        <f t="shared" si="160"/>
        <v>14.538561404399491</v>
      </c>
      <c r="AC59" s="254">
        <f t="shared" si="160"/>
        <v>14.725122769343848</v>
      </c>
      <c r="AD59" s="254">
        <f t="shared" si="160"/>
        <v>14.945168695396804</v>
      </c>
      <c r="AE59" s="254">
        <f t="shared" si="160"/>
        <v>15.119136164337942</v>
      </c>
      <c r="AF59" s="254">
        <f t="shared" si="160"/>
        <v>15.386893885550919</v>
      </c>
      <c r="AG59" s="254">
        <f t="shared" si="160"/>
        <v>15.591935497746983</v>
      </c>
      <c r="AH59" s="254">
        <f t="shared" si="160"/>
        <v>15.825560525786523</v>
      </c>
      <c r="AI59" s="801">
        <f t="shared" si="160"/>
        <v>16.097797484306195</v>
      </c>
      <c r="AJ59" s="801">
        <f t="shared" si="160"/>
        <v>16.489221744402556</v>
      </c>
      <c r="AK59" s="801">
        <f t="shared" si="160"/>
        <v>16.917726397778729</v>
      </c>
      <c r="AL59" s="801">
        <f t="shared" si="160"/>
        <v>17.360396073577061</v>
      </c>
      <c r="AM59" s="801">
        <f t="shared" si="160"/>
        <v>17.767820033598468</v>
      </c>
      <c r="AN59" s="801">
        <f t="shared" si="160"/>
        <v>18.289975811421051</v>
      </c>
      <c r="AO59" s="801">
        <f t="shared" si="160"/>
        <v>18.631226958079775</v>
      </c>
      <c r="AP59" s="801">
        <f t="shared" si="160"/>
        <v>19.172403658768356</v>
      </c>
      <c r="AQ59" s="801">
        <f t="shared" si="160"/>
        <v>19.659398554853915</v>
      </c>
      <c r="AR59" s="801">
        <f t="shared" si="160"/>
        <v>19.991300990315715</v>
      </c>
      <c r="AS59" s="801">
        <f>($BB59-$AR59)/10+AR59</f>
        <v>19.99145536068955</v>
      </c>
      <c r="AT59" s="801">
        <f t="shared" ref="AT59:BA59" si="161">($BB59-$AR59)/10+AS59</f>
        <v>19.991609731063384</v>
      </c>
      <c r="AU59" s="801">
        <f t="shared" si="161"/>
        <v>19.991764101437219</v>
      </c>
      <c r="AV59" s="801">
        <f t="shared" si="161"/>
        <v>19.991918471811054</v>
      </c>
      <c r="AW59" s="801">
        <f t="shared" si="161"/>
        <v>19.992072842184889</v>
      </c>
      <c r="AX59" s="801">
        <f t="shared" si="161"/>
        <v>19.992227212558724</v>
      </c>
      <c r="AY59" s="801">
        <f t="shared" si="161"/>
        <v>19.992381582932559</v>
      </c>
      <c r="AZ59" s="801">
        <f t="shared" si="161"/>
        <v>19.992535953306394</v>
      </c>
      <c r="BA59" s="801">
        <f t="shared" si="161"/>
        <v>19.992690323680229</v>
      </c>
      <c r="BB59" s="803">
        <f>'AEO Data'!$B$30*AM59</f>
        <v>19.992844694054046</v>
      </c>
      <c r="BC59" s="801">
        <f>($BQ59-$BB59)/15+BB59</f>
        <v>20.155753007586423</v>
      </c>
      <c r="BD59" s="801">
        <f t="shared" ref="BD59:BP62" si="162">($BQ59-$BB59)/15+BC59</f>
        <v>20.3186613211188</v>
      </c>
      <c r="BE59" s="801">
        <f t="shared" si="162"/>
        <v>20.481569634651176</v>
      </c>
      <c r="BF59" s="801">
        <f t="shared" si="162"/>
        <v>20.644477948183553</v>
      </c>
      <c r="BG59" s="801">
        <f t="shared" si="162"/>
        <v>20.80738626171593</v>
      </c>
      <c r="BH59" s="801">
        <f t="shared" si="162"/>
        <v>20.970294575248307</v>
      </c>
      <c r="BI59" s="801">
        <f t="shared" si="162"/>
        <v>21.133202888780684</v>
      </c>
      <c r="BJ59" s="801">
        <f t="shared" si="162"/>
        <v>21.29611120231306</v>
      </c>
      <c r="BK59" s="801">
        <f t="shared" si="162"/>
        <v>21.459019515845437</v>
      </c>
      <c r="BL59" s="801">
        <f t="shared" si="162"/>
        <v>21.621927829377814</v>
      </c>
      <c r="BM59" s="801">
        <f t="shared" si="162"/>
        <v>21.784836142910191</v>
      </c>
      <c r="BN59" s="801">
        <f t="shared" si="162"/>
        <v>21.947744456442567</v>
      </c>
      <c r="BO59" s="801">
        <f t="shared" si="162"/>
        <v>22.110652769974944</v>
      </c>
      <c r="BP59" s="801">
        <f t="shared" si="162"/>
        <v>22.273561083507321</v>
      </c>
      <c r="BQ59" s="803">
        <f>'AEO Data'!$C$30*BB59</f>
        <v>22.43646939703968</v>
      </c>
      <c r="BR59" s="800">
        <f>($BV59-$BQ59)/5+BQ59</f>
        <v>22.564713325864819</v>
      </c>
      <c r="BS59" s="801">
        <f t="shared" ref="BS59:BU62" si="163">($BV59-$BQ59)/5+BR59</f>
        <v>22.692957254689958</v>
      </c>
      <c r="BT59" s="801">
        <f t="shared" si="163"/>
        <v>22.821201183515097</v>
      </c>
      <c r="BU59" s="801">
        <f t="shared" si="163"/>
        <v>22.949445112340236</v>
      </c>
      <c r="BV59" s="804">
        <f>'AEO Data'!$D$30*BQ59</f>
        <v>23.077689041165382</v>
      </c>
      <c r="BW59" s="1077">
        <f>+BV59*BW$133/BV$133</f>
        <v>23.154313754554682</v>
      </c>
      <c r="BX59" s="1077">
        <f t="shared" ref="BX59:CZ59" si="164">+BW59*BX$133/BW$133</f>
        <v>23.231192884523196</v>
      </c>
      <c r="BY59" s="1077">
        <f t="shared" si="164"/>
        <v>23.308327275808772</v>
      </c>
      <c r="BZ59" s="1077">
        <f t="shared" si="164"/>
        <v>23.385717775954042</v>
      </c>
      <c r="CA59" s="1077">
        <f t="shared" si="164"/>
        <v>23.463365235315731</v>
      </c>
      <c r="CB59" s="1077">
        <f t="shared" si="164"/>
        <v>23.513434373015976</v>
      </c>
      <c r="CC59" s="1077">
        <f t="shared" si="164"/>
        <v>23.563610354663151</v>
      </c>
      <c r="CD59" s="1077">
        <f t="shared" si="164"/>
        <v>23.613893408254576</v>
      </c>
      <c r="CE59" s="1077">
        <f t="shared" si="164"/>
        <v>23.664283762274096</v>
      </c>
      <c r="CF59" s="1077">
        <f t="shared" si="164"/>
        <v>23.714781645693119</v>
      </c>
      <c r="CG59" s="1077">
        <f t="shared" si="164"/>
        <v>23.731177988110947</v>
      </c>
      <c r="CH59" s="1077">
        <f t="shared" si="164"/>
        <v>23.747585666920095</v>
      </c>
      <c r="CI59" s="1077">
        <f t="shared" si="164"/>
        <v>23.764004689958508</v>
      </c>
      <c r="CJ59" s="1077">
        <f t="shared" si="164"/>
        <v>23.780435065069565</v>
      </c>
      <c r="CK59" s="1077">
        <f t="shared" si="164"/>
        <v>23.796876800102055</v>
      </c>
      <c r="CL59" s="1077">
        <f t="shared" si="164"/>
        <v>23.802449818424297</v>
      </c>
      <c r="CM59" s="1077">
        <f t="shared" si="164"/>
        <v>23.808024141898198</v>
      </c>
      <c r="CN59" s="1077">
        <f t="shared" si="164"/>
        <v>23.813599770829413</v>
      </c>
      <c r="CO59" s="1077">
        <f t="shared" si="164"/>
        <v>23.819176705523667</v>
      </c>
      <c r="CP59" s="1077">
        <f t="shared" si="164"/>
        <v>23.82475494628676</v>
      </c>
      <c r="CQ59" s="1077">
        <f t="shared" si="164"/>
        <v>23.833209305741288</v>
      </c>
      <c r="CR59" s="1077">
        <f t="shared" si="164"/>
        <v>23.841666665276783</v>
      </c>
      <c r="CS59" s="1077">
        <f t="shared" si="164"/>
        <v>23.850127025957839</v>
      </c>
      <c r="CT59" s="1077">
        <f t="shared" si="164"/>
        <v>23.858590388849432</v>
      </c>
      <c r="CU59" s="1077">
        <f t="shared" si="164"/>
        <v>23.867056755016911</v>
      </c>
      <c r="CV59" s="1077">
        <f t="shared" si="164"/>
        <v>23.880086528392884</v>
      </c>
      <c r="CW59" s="1077">
        <f t="shared" si="164"/>
        <v>23.893123415130006</v>
      </c>
      <c r="CX59" s="1077">
        <f t="shared" si="164"/>
        <v>23.906167419111679</v>
      </c>
      <c r="CY59" s="1077">
        <f t="shared" si="164"/>
        <v>23.919218544223433</v>
      </c>
      <c r="CZ59" s="1077">
        <f t="shared" si="164"/>
        <v>23.932276794352919</v>
      </c>
    </row>
    <row r="60" spans="1:104" x14ac:dyDescent="0.25">
      <c r="A60" s="725" t="str">
        <f>'HyARC Physical Property Data'!A71</f>
        <v>Commercial Natural Gas</v>
      </c>
      <c r="B60" s="254">
        <v>2011</v>
      </c>
      <c r="C60" s="726">
        <f t="shared" ref="C60:C68" si="165">VLOOKUP(ref_year,DeflatorTable,2,FALSE)/VLOOKUP(B60,DeflatorTable,2,FALSE)</f>
        <v>1.0771767810026385</v>
      </c>
      <c r="D60" s="1028" t="str">
        <f>'HyARC Physical Property Data'!H71</f>
        <v>mmBtu</v>
      </c>
      <c r="E60" s="726" t="s">
        <v>1040</v>
      </c>
      <c r="F60" s="254">
        <f>'HyARC Physical Property Data'!$E$6</f>
        <v>47.141269049911173</v>
      </c>
      <c r="G60" s="254">
        <f>'HyARC Physical Property Data'!$I$6</f>
        <v>52.224661236371581</v>
      </c>
      <c r="H60" s="852">
        <v>11.78211597551449</v>
      </c>
      <c r="I60" s="852">
        <v>11.78211597551449</v>
      </c>
      <c r="J60" s="852">
        <v>11.78211597551449</v>
      </c>
      <c r="K60" s="852">
        <v>10.884547954455588</v>
      </c>
      <c r="L60" s="852">
        <v>11.412186165255939</v>
      </c>
      <c r="M60" s="852">
        <v>10.075756967258858</v>
      </c>
      <c r="N60" s="254">
        <f t="shared" ref="N60:AR60" si="166">N75*(1/mmBTU_to_GJ*$C60*$G60/$F60)</f>
        <v>10.629111361129928</v>
      </c>
      <c r="O60" s="254">
        <f t="shared" si="166"/>
        <v>9.9955492598702431</v>
      </c>
      <c r="P60" s="254">
        <f t="shared" si="166"/>
        <v>9.1410917610380729</v>
      </c>
      <c r="Q60" s="254">
        <f t="shared" si="166"/>
        <v>9.5969684001679578</v>
      </c>
      <c r="R60" s="254">
        <f t="shared" si="166"/>
        <v>9.4058916020598868</v>
      </c>
      <c r="S60" s="254">
        <f t="shared" si="166"/>
        <v>9.2495164507528447</v>
      </c>
      <c r="T60" s="254">
        <f t="shared" si="166"/>
        <v>9.7764218036892636</v>
      </c>
      <c r="U60" s="254">
        <f t="shared" si="166"/>
        <v>10.090174279094695</v>
      </c>
      <c r="V60" s="254">
        <f t="shared" si="166"/>
        <v>10.498071047498478</v>
      </c>
      <c r="W60" s="254">
        <f t="shared" si="166"/>
        <v>10.736649252347618</v>
      </c>
      <c r="X60" s="254">
        <f t="shared" si="166"/>
        <v>10.944404422699936</v>
      </c>
      <c r="Y60" s="254">
        <f t="shared" si="166"/>
        <v>11.141369834297564</v>
      </c>
      <c r="Z60" s="254">
        <f t="shared" si="166"/>
        <v>11.405591672727528</v>
      </c>
      <c r="AA60" s="254">
        <f t="shared" si="166"/>
        <v>11.642166663114509</v>
      </c>
      <c r="AB60" s="254">
        <f t="shared" si="166"/>
        <v>11.748018053618996</v>
      </c>
      <c r="AC60" s="254">
        <f t="shared" si="166"/>
        <v>11.902757604636774</v>
      </c>
      <c r="AD60" s="254">
        <f t="shared" si="166"/>
        <v>12.090527006309296</v>
      </c>
      <c r="AE60" s="254">
        <f t="shared" si="166"/>
        <v>12.220015422570853</v>
      </c>
      <c r="AF60" s="254">
        <f t="shared" si="166"/>
        <v>12.435619438294673</v>
      </c>
      <c r="AG60" s="254">
        <f t="shared" si="166"/>
        <v>12.592485495912598</v>
      </c>
      <c r="AH60" s="254">
        <f t="shared" si="166"/>
        <v>12.770738780549461</v>
      </c>
      <c r="AI60" s="254">
        <f t="shared" si="166"/>
        <v>12.989189826652307</v>
      </c>
      <c r="AJ60" s="254">
        <f t="shared" si="166"/>
        <v>13.318649041764999</v>
      </c>
      <c r="AK60" s="254">
        <f t="shared" si="166"/>
        <v>13.691788738461685</v>
      </c>
      <c r="AL60" s="254">
        <f t="shared" si="166"/>
        <v>14.075018030303756</v>
      </c>
      <c r="AM60" s="254">
        <f t="shared" si="166"/>
        <v>14.417815418729715</v>
      </c>
      <c r="AN60" s="254">
        <f t="shared" si="166"/>
        <v>14.885419515535311</v>
      </c>
      <c r="AO60" s="254">
        <f t="shared" si="166"/>
        <v>15.176266800167872</v>
      </c>
      <c r="AP60" s="254">
        <f t="shared" si="166"/>
        <v>15.67029726596243</v>
      </c>
      <c r="AQ60" s="254">
        <f t="shared" si="166"/>
        <v>16.106982183025981</v>
      </c>
      <c r="AR60" s="254">
        <f t="shared" si="166"/>
        <v>16.379635393901427</v>
      </c>
      <c r="AS60" s="254">
        <f t="shared" ref="AS60:BA60" si="167">($BB60-$AR60)/10+AR60</f>
        <v>16.364004498297199</v>
      </c>
      <c r="AT60" s="254">
        <f t="shared" si="167"/>
        <v>16.348373602692966</v>
      </c>
      <c r="AU60" s="254">
        <f t="shared" si="167"/>
        <v>16.332742707088734</v>
      </c>
      <c r="AV60" s="254">
        <f t="shared" si="167"/>
        <v>16.317111811484502</v>
      </c>
      <c r="AW60" s="254">
        <f t="shared" si="167"/>
        <v>16.301480915880269</v>
      </c>
      <c r="AX60" s="254">
        <f t="shared" si="167"/>
        <v>16.285850020276037</v>
      </c>
      <c r="AY60" s="254">
        <f t="shared" si="167"/>
        <v>16.270219124671804</v>
      </c>
      <c r="AZ60" s="254">
        <f t="shared" si="167"/>
        <v>16.254588229067572</v>
      </c>
      <c r="BA60" s="254">
        <f t="shared" si="167"/>
        <v>16.23895733346334</v>
      </c>
      <c r="BB60" s="781">
        <f>'AEO Data'!$B$30*AM60</f>
        <v>16.223326437859122</v>
      </c>
      <c r="BC60" s="254">
        <f>($BQ60-$BB60)/15+BB60</f>
        <v>16.355519469432206</v>
      </c>
      <c r="BD60" s="254">
        <f t="shared" si="162"/>
        <v>16.487712501005291</v>
      </c>
      <c r="BE60" s="254">
        <f t="shared" si="162"/>
        <v>16.619905532578375</v>
      </c>
      <c r="BF60" s="254">
        <f t="shared" si="162"/>
        <v>16.75209856415146</v>
      </c>
      <c r="BG60" s="254">
        <f t="shared" si="162"/>
        <v>16.884291595724545</v>
      </c>
      <c r="BH60" s="254">
        <f t="shared" si="162"/>
        <v>17.016484627297629</v>
      </c>
      <c r="BI60" s="254">
        <f t="shared" si="162"/>
        <v>17.148677658870714</v>
      </c>
      <c r="BJ60" s="254">
        <f t="shared" si="162"/>
        <v>17.280870690443798</v>
      </c>
      <c r="BK60" s="254">
        <f t="shared" si="162"/>
        <v>17.413063722016883</v>
      </c>
      <c r="BL60" s="254">
        <f t="shared" si="162"/>
        <v>17.545256753589968</v>
      </c>
      <c r="BM60" s="254">
        <f t="shared" si="162"/>
        <v>17.677449785163052</v>
      </c>
      <c r="BN60" s="254">
        <f t="shared" si="162"/>
        <v>17.809642816736137</v>
      </c>
      <c r="BO60" s="254">
        <f t="shared" si="162"/>
        <v>17.941835848309221</v>
      </c>
      <c r="BP60" s="254">
        <f t="shared" si="162"/>
        <v>18.074028879882306</v>
      </c>
      <c r="BQ60" s="781">
        <f>'AEO Data'!$C$30*BB60</f>
        <v>18.206221911455369</v>
      </c>
      <c r="BR60" s="725">
        <f>($BV60-$BQ60)/5+BQ60</f>
        <v>18.310286298131796</v>
      </c>
      <c r="BS60" s="254">
        <f t="shared" si="163"/>
        <v>18.414350684808223</v>
      </c>
      <c r="BT60" s="254">
        <f t="shared" si="163"/>
        <v>18.51841507148465</v>
      </c>
      <c r="BU60" s="254">
        <f t="shared" si="163"/>
        <v>18.622479458161077</v>
      </c>
      <c r="BV60" s="805">
        <f>'AEO Data'!$D$30*BQ60</f>
        <v>18.726543844837511</v>
      </c>
      <c r="BW60" s="1077">
        <f>+BV60*BW$134/BV$134</f>
        <v>18.788721476762582</v>
      </c>
      <c r="BX60" s="1077">
        <f t="shared" ref="BX60:CZ60" si="168">+BW60*BX$134/BW$134</f>
        <v>18.851105556708379</v>
      </c>
      <c r="BY60" s="1077">
        <f t="shared" si="168"/>
        <v>18.913696770143034</v>
      </c>
      <c r="BZ60" s="1077">
        <f t="shared" si="168"/>
        <v>18.976495804810636</v>
      </c>
      <c r="CA60" s="1077">
        <f t="shared" si="168"/>
        <v>19.039503350738787</v>
      </c>
      <c r="CB60" s="1077">
        <f t="shared" si="168"/>
        <v>19.080132284630061</v>
      </c>
      <c r="CC60" s="1077">
        <f t="shared" si="168"/>
        <v>19.120847917750758</v>
      </c>
      <c r="CD60" s="1077">
        <f t="shared" si="168"/>
        <v>19.161650435110815</v>
      </c>
      <c r="CE60" s="1077">
        <f t="shared" si="168"/>
        <v>19.20254002211496</v>
      </c>
      <c r="CF60" s="1077">
        <f t="shared" si="168"/>
        <v>19.243516864563571</v>
      </c>
      <c r="CG60" s="1077">
        <f t="shared" si="168"/>
        <v>19.25682178537409</v>
      </c>
      <c r="CH60" s="1077">
        <f t="shared" si="168"/>
        <v>19.270135905174534</v>
      </c>
      <c r="CI60" s="1077">
        <f t="shared" si="168"/>
        <v>19.283459230325061</v>
      </c>
      <c r="CJ60" s="1077">
        <f t="shared" si="168"/>
        <v>19.296791767190232</v>
      </c>
      <c r="CK60" s="1077">
        <f t="shared" si="168"/>
        <v>19.310133522139004</v>
      </c>
      <c r="CL60" s="1077">
        <f t="shared" si="168"/>
        <v>19.314655784821952</v>
      </c>
      <c r="CM60" s="1077">
        <f t="shared" si="168"/>
        <v>19.319179106578872</v>
      </c>
      <c r="CN60" s="1077">
        <f t="shared" si="168"/>
        <v>19.323703487657788</v>
      </c>
      <c r="CO60" s="1077">
        <f t="shared" si="168"/>
        <v>19.328228928306782</v>
      </c>
      <c r="CP60" s="1077">
        <f t="shared" si="168"/>
        <v>19.332755428773996</v>
      </c>
      <c r="CQ60" s="1077">
        <f t="shared" si="168"/>
        <v>19.339615774830435</v>
      </c>
      <c r="CR60" s="1077">
        <f t="shared" si="168"/>
        <v>19.34647855532247</v>
      </c>
      <c r="CS60" s="1077">
        <f t="shared" si="168"/>
        <v>19.353343771113977</v>
      </c>
      <c r="CT60" s="1077">
        <f t="shared" si="168"/>
        <v>19.360211423069138</v>
      </c>
      <c r="CU60" s="1077">
        <f t="shared" si="168"/>
        <v>19.36708151205244</v>
      </c>
      <c r="CV60" s="1077">
        <f t="shared" si="168"/>
        <v>19.37765460808377</v>
      </c>
      <c r="CW60" s="1077">
        <f t="shared" si="168"/>
        <v>19.388233476299188</v>
      </c>
      <c r="CX60" s="1077">
        <f t="shared" si="168"/>
        <v>19.398818119849906</v>
      </c>
      <c r="CY60" s="1077">
        <f t="shared" si="168"/>
        <v>19.409408541888862</v>
      </c>
      <c r="CZ60" s="1077">
        <f t="shared" si="168"/>
        <v>19.420004745570715</v>
      </c>
    </row>
    <row r="61" spans="1:104" x14ac:dyDescent="0.25">
      <c r="A61" s="725" t="str">
        <f>'HyARC Physical Property Data'!A72</f>
        <v>Industrial Natural Gas</v>
      </c>
      <c r="B61" s="254">
        <v>2011</v>
      </c>
      <c r="C61" s="726">
        <f t="shared" si="165"/>
        <v>1.0771767810026385</v>
      </c>
      <c r="D61" s="1028" t="str">
        <f>'HyARC Physical Property Data'!H72</f>
        <v>mmBtu</v>
      </c>
      <c r="E61" s="726" t="s">
        <v>1040</v>
      </c>
      <c r="F61" s="254">
        <f>'HyARC Physical Property Data'!$E$6</f>
        <v>47.141269049911173</v>
      </c>
      <c r="G61" s="254">
        <f>'HyARC Physical Property Data'!$I$6</f>
        <v>52.224661236371581</v>
      </c>
      <c r="H61" s="852">
        <v>7.8800725307970341</v>
      </c>
      <c r="I61" s="852">
        <v>7.8800725307970341</v>
      </c>
      <c r="J61" s="852">
        <v>7.8800725307970341</v>
      </c>
      <c r="K61" s="852">
        <v>7.4431315976064605</v>
      </c>
      <c r="L61" s="852">
        <v>8.8750360136942668</v>
      </c>
      <c r="M61" s="852">
        <v>6.5580125743803235</v>
      </c>
      <c r="N61" s="254">
        <f t="shared" ref="N61:AR61" si="169">N76*(1/mmBTU_to_GJ*$C61*$G61/$F61)</f>
        <v>6.2030163592696592</v>
      </c>
      <c r="O61" s="254">
        <f t="shared" si="169"/>
        <v>5.5300347074699987</v>
      </c>
      <c r="P61" s="254">
        <f t="shared" si="169"/>
        <v>4.260790785073671</v>
      </c>
      <c r="Q61" s="254">
        <f t="shared" si="169"/>
        <v>4.9204025921851677</v>
      </c>
      <c r="R61" s="254">
        <f t="shared" si="169"/>
        <v>4.9951990684837728</v>
      </c>
      <c r="S61" s="254">
        <f t="shared" si="169"/>
        <v>5.0372880634792523</v>
      </c>
      <c r="T61" s="254">
        <f t="shared" si="169"/>
        <v>5.5611676689925886</v>
      </c>
      <c r="U61" s="254">
        <f t="shared" si="169"/>
        <v>5.805087024993802</v>
      </c>
      <c r="V61" s="254">
        <f t="shared" si="169"/>
        <v>6.0936211681384362</v>
      </c>
      <c r="W61" s="254">
        <f t="shared" si="169"/>
        <v>6.2815263042747977</v>
      </c>
      <c r="X61" s="254">
        <f t="shared" si="169"/>
        <v>6.446729851334049</v>
      </c>
      <c r="Y61" s="254">
        <f t="shared" si="169"/>
        <v>6.6107547707989633</v>
      </c>
      <c r="Z61" s="254">
        <f t="shared" si="169"/>
        <v>6.8493465490944869</v>
      </c>
      <c r="AA61" s="254">
        <f t="shared" si="169"/>
        <v>7.0700971632388772</v>
      </c>
      <c r="AB61" s="254">
        <f t="shared" si="169"/>
        <v>7.1542932511583484</v>
      </c>
      <c r="AC61" s="254">
        <f t="shared" si="169"/>
        <v>7.2893513049194398</v>
      </c>
      <c r="AD61" s="254">
        <f t="shared" si="169"/>
        <v>7.4302708252773213</v>
      </c>
      <c r="AE61" s="254">
        <f t="shared" si="169"/>
        <v>7.5360419062240371</v>
      </c>
      <c r="AF61" s="254">
        <f t="shared" si="169"/>
        <v>7.7520157983618185</v>
      </c>
      <c r="AG61" s="254">
        <f t="shared" si="169"/>
        <v>7.8975966664320465</v>
      </c>
      <c r="AH61" s="254">
        <f t="shared" si="169"/>
        <v>8.0540057513550476</v>
      </c>
      <c r="AI61" s="254">
        <f t="shared" si="169"/>
        <v>8.2613853896907425</v>
      </c>
      <c r="AJ61" s="254">
        <f t="shared" si="169"/>
        <v>8.5847569141002449</v>
      </c>
      <c r="AK61" s="254">
        <f t="shared" si="169"/>
        <v>8.9483974605692502</v>
      </c>
      <c r="AL61" s="254">
        <f t="shared" si="169"/>
        <v>9.3215688286408334</v>
      </c>
      <c r="AM61" s="254">
        <f t="shared" si="169"/>
        <v>9.648490940400265</v>
      </c>
      <c r="AN61" s="254">
        <f t="shared" si="169"/>
        <v>10.068364012996796</v>
      </c>
      <c r="AO61" s="254">
        <f t="shared" si="169"/>
        <v>10.306145908991411</v>
      </c>
      <c r="AP61" s="254">
        <f t="shared" si="169"/>
        <v>10.735979628992679</v>
      </c>
      <c r="AQ61" s="254">
        <f t="shared" si="169"/>
        <v>11.099317035159109</v>
      </c>
      <c r="AR61" s="254">
        <f t="shared" si="169"/>
        <v>11.325040055162141</v>
      </c>
      <c r="AS61" s="254">
        <f t="shared" ref="AS61:BA61" si="170">($BB61-$AR61)/10+AR61</f>
        <v>11.278211053887526</v>
      </c>
      <c r="AT61" s="254">
        <f t="shared" si="170"/>
        <v>11.231382052612911</v>
      </c>
      <c r="AU61" s="254">
        <f t="shared" si="170"/>
        <v>11.184553051338296</v>
      </c>
      <c r="AV61" s="254">
        <f t="shared" si="170"/>
        <v>11.137724050063682</v>
      </c>
      <c r="AW61" s="254">
        <f t="shared" si="170"/>
        <v>11.090895048789067</v>
      </c>
      <c r="AX61" s="254">
        <f t="shared" si="170"/>
        <v>11.044066047514452</v>
      </c>
      <c r="AY61" s="254">
        <f t="shared" si="170"/>
        <v>10.997237046239837</v>
      </c>
      <c r="AZ61" s="254">
        <f t="shared" si="170"/>
        <v>10.950408044965222</v>
      </c>
      <c r="BA61" s="254">
        <f t="shared" si="170"/>
        <v>10.903579043690607</v>
      </c>
      <c r="BB61" s="781">
        <f>'AEO Data'!$B$30*AM61</f>
        <v>10.856750042415998</v>
      </c>
      <c r="BC61" s="254">
        <f>($BQ61-$BB61)/15+BB61</f>
        <v>10.945214433897943</v>
      </c>
      <c r="BD61" s="254">
        <f t="shared" si="162"/>
        <v>11.033678825379889</v>
      </c>
      <c r="BE61" s="254">
        <f t="shared" si="162"/>
        <v>11.122143216861835</v>
      </c>
      <c r="BF61" s="254">
        <f t="shared" si="162"/>
        <v>11.21060760834378</v>
      </c>
      <c r="BG61" s="254">
        <f t="shared" si="162"/>
        <v>11.299071999825726</v>
      </c>
      <c r="BH61" s="254">
        <f t="shared" si="162"/>
        <v>11.387536391307671</v>
      </c>
      <c r="BI61" s="254">
        <f t="shared" si="162"/>
        <v>11.476000782789617</v>
      </c>
      <c r="BJ61" s="254">
        <f t="shared" si="162"/>
        <v>11.564465174271563</v>
      </c>
      <c r="BK61" s="254">
        <f t="shared" si="162"/>
        <v>11.652929565753508</v>
      </c>
      <c r="BL61" s="254">
        <f t="shared" si="162"/>
        <v>11.741393957235454</v>
      </c>
      <c r="BM61" s="254">
        <f t="shared" si="162"/>
        <v>11.8298583487174</v>
      </c>
      <c r="BN61" s="254">
        <f t="shared" si="162"/>
        <v>11.918322740199345</v>
      </c>
      <c r="BO61" s="254">
        <f t="shared" si="162"/>
        <v>12.006787131681291</v>
      </c>
      <c r="BP61" s="254">
        <f t="shared" si="162"/>
        <v>12.095251523163236</v>
      </c>
      <c r="BQ61" s="781">
        <f>'AEO Data'!$C$30*BB61</f>
        <v>12.183715914645184</v>
      </c>
      <c r="BR61" s="725">
        <f>($BV61-$BQ61)/5+BQ61</f>
        <v>12.253356443595324</v>
      </c>
      <c r="BS61" s="254">
        <f t="shared" si="163"/>
        <v>12.322996972545464</v>
      </c>
      <c r="BT61" s="254">
        <f t="shared" si="163"/>
        <v>12.392637501495605</v>
      </c>
      <c r="BU61" s="254">
        <f t="shared" si="163"/>
        <v>12.462278030445745</v>
      </c>
      <c r="BV61" s="805">
        <f>'AEO Data'!$D$30*BQ61</f>
        <v>12.531918559395887</v>
      </c>
      <c r="BW61" s="1077">
        <f>+BV61*BW$135/BV$135</f>
        <v>12.573528213903272</v>
      </c>
      <c r="BX61" s="1077">
        <f t="shared" ref="BX61:CZ61" si="171">+BW61*BX$135/BW$135</f>
        <v>12.61527602469854</v>
      </c>
      <c r="BY61" s="1077">
        <f t="shared" si="171"/>
        <v>12.657162450501191</v>
      </c>
      <c r="BZ61" s="1077">
        <f t="shared" si="171"/>
        <v>12.699187951553807</v>
      </c>
      <c r="CA61" s="1077">
        <f t="shared" si="171"/>
        <v>12.741352989627112</v>
      </c>
      <c r="CB61" s="1077">
        <f t="shared" si="171"/>
        <v>12.768542122597896</v>
      </c>
      <c r="CC61" s="1077">
        <f t="shared" si="171"/>
        <v>12.795789275227369</v>
      </c>
      <c r="CD61" s="1077">
        <f t="shared" si="171"/>
        <v>12.823094571325321</v>
      </c>
      <c r="CE61" s="1077">
        <f t="shared" si="171"/>
        <v>12.85045813496574</v>
      </c>
      <c r="CF61" s="1077">
        <f t="shared" si="171"/>
        <v>12.87788009048738</v>
      </c>
      <c r="CG61" s="1077">
        <f t="shared" si="171"/>
        <v>12.886783825496796</v>
      </c>
      <c r="CH61" s="1077">
        <f t="shared" si="171"/>
        <v>12.895693716526967</v>
      </c>
      <c r="CI61" s="1077">
        <f t="shared" si="171"/>
        <v>12.904609767834151</v>
      </c>
      <c r="CJ61" s="1077">
        <f t="shared" si="171"/>
        <v>12.913531983677547</v>
      </c>
      <c r="CK61" s="1077">
        <f t="shared" si="171"/>
        <v>12.922460368319303</v>
      </c>
      <c r="CL61" s="1077">
        <f t="shared" si="171"/>
        <v>12.925486694379064</v>
      </c>
      <c r="CM61" s="1077">
        <f t="shared" si="171"/>
        <v>12.928513729177656</v>
      </c>
      <c r="CN61" s="1077">
        <f t="shared" si="171"/>
        <v>12.931541472881056</v>
      </c>
      <c r="CO61" s="1077">
        <f t="shared" si="171"/>
        <v>12.934569925655282</v>
      </c>
      <c r="CP61" s="1077">
        <f t="shared" si="171"/>
        <v>12.937599087666396</v>
      </c>
      <c r="CQ61" s="1077">
        <f t="shared" si="171"/>
        <v>12.942190073530147</v>
      </c>
      <c r="CR61" s="1077">
        <f t="shared" si="171"/>
        <v>12.946782688533204</v>
      </c>
      <c r="CS61" s="1077">
        <f t="shared" si="171"/>
        <v>12.951376933253679</v>
      </c>
      <c r="CT61" s="1077">
        <f t="shared" si="171"/>
        <v>12.955972808269884</v>
      </c>
      <c r="CU61" s="1077">
        <f t="shared" si="171"/>
        <v>12.960570314160341</v>
      </c>
      <c r="CV61" s="1077">
        <f t="shared" si="171"/>
        <v>12.967645895190305</v>
      </c>
      <c r="CW61" s="1077">
        <f t="shared" si="171"/>
        <v>12.974725339001436</v>
      </c>
      <c r="CX61" s="1077">
        <f t="shared" si="171"/>
        <v>12.981808647702545</v>
      </c>
      <c r="CY61" s="1077">
        <f t="shared" si="171"/>
        <v>12.988895823403597</v>
      </c>
      <c r="CZ61" s="1077">
        <f t="shared" si="171"/>
        <v>12.995986868215709</v>
      </c>
    </row>
    <row r="62" spans="1:104" x14ac:dyDescent="0.25">
      <c r="A62" s="725" t="str">
        <f>'HyARC Physical Property Data'!A74</f>
        <v>Electric Utility Natural Gas</v>
      </c>
      <c r="B62" s="254">
        <v>2011</v>
      </c>
      <c r="C62" s="726">
        <f t="shared" si="165"/>
        <v>1.0771767810026385</v>
      </c>
      <c r="D62" s="1028" t="str">
        <f>'HyARC Physical Property Data'!H74</f>
        <v>mmBtu</v>
      </c>
      <c r="E62" s="726" t="s">
        <v>1040</v>
      </c>
      <c r="F62" s="254">
        <f>'HyARC Physical Property Data'!$E$6</f>
        <v>47.141269049911173</v>
      </c>
      <c r="G62" s="254">
        <f>'HyARC Physical Property Data'!$I$6</f>
        <v>52.224661236371581</v>
      </c>
      <c r="H62" s="852">
        <v>6.9870463159656619</v>
      </c>
      <c r="I62" s="852">
        <v>6.9870463159656619</v>
      </c>
      <c r="J62" s="852">
        <v>6.9870463159656619</v>
      </c>
      <c r="K62" s="852">
        <v>6.9519071777354364</v>
      </c>
      <c r="L62" s="852">
        <v>9.0904707383294223</v>
      </c>
      <c r="M62" s="852">
        <v>6.2626950486669273</v>
      </c>
      <c r="N62" s="254">
        <f t="shared" ref="N62:AR62" si="172">N77*(1/mmBTU_to_GJ*$C62*$G62/$F62)</f>
        <v>5.9476195232303075</v>
      </c>
      <c r="O62" s="254">
        <f t="shared" si="172"/>
        <v>5.4007770397969699</v>
      </c>
      <c r="P62" s="254">
        <f t="shared" si="172"/>
        <v>3.7643838350413934</v>
      </c>
      <c r="Q62" s="254">
        <f t="shared" si="172"/>
        <v>4.2147881130374945</v>
      </c>
      <c r="R62" s="254">
        <f t="shared" si="172"/>
        <v>4.337012473242587</v>
      </c>
      <c r="S62" s="254">
        <f t="shared" si="172"/>
        <v>4.4297507834196734</v>
      </c>
      <c r="T62" s="254">
        <f t="shared" si="172"/>
        <v>4.9169062986207761</v>
      </c>
      <c r="U62" s="254">
        <f t="shared" si="172"/>
        <v>5.1166395621601932</v>
      </c>
      <c r="V62" s="254">
        <f t="shared" si="172"/>
        <v>5.3977920127130385</v>
      </c>
      <c r="W62" s="254">
        <f t="shared" si="172"/>
        <v>5.5768800643025109</v>
      </c>
      <c r="X62" s="254">
        <f t="shared" si="172"/>
        <v>5.731085726429189</v>
      </c>
      <c r="Y62" s="254">
        <f t="shared" si="172"/>
        <v>5.8852472748551197</v>
      </c>
      <c r="Z62" s="254">
        <f t="shared" si="172"/>
        <v>6.1240381303642737</v>
      </c>
      <c r="AA62" s="254">
        <f t="shared" si="172"/>
        <v>6.3478846214047309</v>
      </c>
      <c r="AB62" s="254">
        <f t="shared" si="172"/>
        <v>6.46780941356828</v>
      </c>
      <c r="AC62" s="254">
        <f t="shared" si="172"/>
        <v>6.6168153146093855</v>
      </c>
      <c r="AD62" s="254">
        <f t="shared" si="172"/>
        <v>6.7826918783851724</v>
      </c>
      <c r="AE62" s="254">
        <f t="shared" si="172"/>
        <v>6.9152648603374747</v>
      </c>
      <c r="AF62" s="254">
        <f t="shared" si="172"/>
        <v>7.1044436381928611</v>
      </c>
      <c r="AG62" s="254">
        <f t="shared" si="172"/>
        <v>7.2503909893154548</v>
      </c>
      <c r="AH62" s="254">
        <f t="shared" si="172"/>
        <v>7.4075070245709522</v>
      </c>
      <c r="AI62" s="254">
        <f t="shared" si="172"/>
        <v>7.6133030941618562</v>
      </c>
      <c r="AJ62" s="254">
        <f t="shared" si="172"/>
        <v>7.9366802741740186</v>
      </c>
      <c r="AK62" s="254">
        <f t="shared" si="172"/>
        <v>8.2829207934993665</v>
      </c>
      <c r="AL62" s="254">
        <f t="shared" si="172"/>
        <v>8.6352320367199251</v>
      </c>
      <c r="AM62" s="254">
        <f t="shared" si="172"/>
        <v>8.9389684398145519</v>
      </c>
      <c r="AN62" s="254">
        <f t="shared" si="172"/>
        <v>9.3489317654302884</v>
      </c>
      <c r="AO62" s="254">
        <f t="shared" si="172"/>
        <v>9.5889623290425074</v>
      </c>
      <c r="AP62" s="254">
        <f t="shared" si="172"/>
        <v>10.016230667677213</v>
      </c>
      <c r="AQ62" s="254">
        <f t="shared" si="172"/>
        <v>10.374123990723158</v>
      </c>
      <c r="AR62" s="254">
        <f t="shared" si="172"/>
        <v>10.560031568000021</v>
      </c>
      <c r="AS62" s="254">
        <f t="shared" ref="AS62:BA62" si="173">($BB62-$AR62)/10+AR62</f>
        <v>10.509865972613389</v>
      </c>
      <c r="AT62" s="254">
        <f t="shared" si="173"/>
        <v>10.459700377226756</v>
      </c>
      <c r="AU62" s="254">
        <f t="shared" si="173"/>
        <v>10.409534781840124</v>
      </c>
      <c r="AV62" s="254">
        <f t="shared" si="173"/>
        <v>10.359369186453492</v>
      </c>
      <c r="AW62" s="254">
        <f t="shared" si="173"/>
        <v>10.30920359106686</v>
      </c>
      <c r="AX62" s="254">
        <f t="shared" si="173"/>
        <v>10.259037995680227</v>
      </c>
      <c r="AY62" s="254">
        <f t="shared" si="173"/>
        <v>10.208872400293595</v>
      </c>
      <c r="AZ62" s="254">
        <f t="shared" si="173"/>
        <v>10.158706804906963</v>
      </c>
      <c r="BA62" s="254">
        <f t="shared" si="173"/>
        <v>10.108541209520331</v>
      </c>
      <c r="BB62" s="781">
        <f>'AEO Data'!$B$30*AM62</f>
        <v>10.058375614133693</v>
      </c>
      <c r="BC62" s="254">
        <f>($BQ62-$BB62)/15+BB62</f>
        <v>10.140334586618534</v>
      </c>
      <c r="BD62" s="254">
        <f t="shared" si="162"/>
        <v>10.222293559103376</v>
      </c>
      <c r="BE62" s="254">
        <f t="shared" si="162"/>
        <v>10.304252531588217</v>
      </c>
      <c r="BF62" s="254">
        <f t="shared" si="162"/>
        <v>10.386211504073058</v>
      </c>
      <c r="BG62" s="254">
        <f t="shared" si="162"/>
        <v>10.4681704765579</v>
      </c>
      <c r="BH62" s="254">
        <f t="shared" si="162"/>
        <v>10.550129449042741</v>
      </c>
      <c r="BI62" s="254">
        <f t="shared" si="162"/>
        <v>10.632088421527582</v>
      </c>
      <c r="BJ62" s="254">
        <f t="shared" si="162"/>
        <v>10.714047394012423</v>
      </c>
      <c r="BK62" s="254">
        <f t="shared" si="162"/>
        <v>10.796006366497265</v>
      </c>
      <c r="BL62" s="254">
        <f t="shared" si="162"/>
        <v>10.877965338982106</v>
      </c>
      <c r="BM62" s="254">
        <f t="shared" si="162"/>
        <v>10.959924311466947</v>
      </c>
      <c r="BN62" s="254">
        <f t="shared" si="162"/>
        <v>11.041883283951789</v>
      </c>
      <c r="BO62" s="254">
        <f t="shared" si="162"/>
        <v>11.12384225643663</v>
      </c>
      <c r="BP62" s="254">
        <f t="shared" si="162"/>
        <v>11.205801228921471</v>
      </c>
      <c r="BQ62" s="781">
        <f>'AEO Data'!$C$30*BB62</f>
        <v>11.287760201406321</v>
      </c>
      <c r="BR62" s="725">
        <f>($BV62-$BQ62)/5+BQ62</f>
        <v>11.35227956451322</v>
      </c>
      <c r="BS62" s="254">
        <f t="shared" si="163"/>
        <v>11.416798927620118</v>
      </c>
      <c r="BT62" s="254">
        <f t="shared" si="163"/>
        <v>11.481318290727016</v>
      </c>
      <c r="BU62" s="254">
        <f t="shared" si="163"/>
        <v>11.545837653833914</v>
      </c>
      <c r="BV62" s="805">
        <f>'AEO Data'!$D$30*BQ62</f>
        <v>11.610357016940812</v>
      </c>
      <c r="BW62" s="1077">
        <f>+BV62*BW$136/BV$136</f>
        <v>11.648906816150932</v>
      </c>
      <c r="BX62" s="1077">
        <f t="shared" ref="BX62:CZ63" si="174">+BW62*BX$136/BW$136</f>
        <v>11.687584612029626</v>
      </c>
      <c r="BY62" s="1077">
        <f t="shared" si="174"/>
        <v>11.726390829563474</v>
      </c>
      <c r="BZ62" s="1077">
        <f t="shared" si="174"/>
        <v>11.765325895150129</v>
      </c>
      <c r="CA62" s="1077">
        <f t="shared" si="174"/>
        <v>11.804390236603014</v>
      </c>
      <c r="CB62" s="1077">
        <f t="shared" si="174"/>
        <v>11.829579958294525</v>
      </c>
      <c r="CC62" s="1077">
        <f t="shared" si="174"/>
        <v>11.854823433044533</v>
      </c>
      <c r="CD62" s="1077">
        <f t="shared" si="174"/>
        <v>11.880120775558206</v>
      </c>
      <c r="CE62" s="1077">
        <f t="shared" si="174"/>
        <v>11.905472100785488</v>
      </c>
      <c r="CF62" s="1077">
        <f t="shared" si="174"/>
        <v>11.930877523921614</v>
      </c>
      <c r="CG62" s="1077">
        <f t="shared" si="174"/>
        <v>11.939126503657128</v>
      </c>
      <c r="CH62" s="1077">
        <f t="shared" si="174"/>
        <v>11.947381186717189</v>
      </c>
      <c r="CI62" s="1077">
        <f t="shared" si="174"/>
        <v>11.955641577045064</v>
      </c>
      <c r="CJ62" s="1077">
        <f t="shared" si="174"/>
        <v>11.963907678586745</v>
      </c>
      <c r="CK62" s="1077">
        <f t="shared" si="174"/>
        <v>11.97217949529095</v>
      </c>
      <c r="CL62" s="1077">
        <f t="shared" si="174"/>
        <v>11.974983273965139</v>
      </c>
      <c r="CM62" s="1077">
        <f t="shared" si="174"/>
        <v>11.977787709259525</v>
      </c>
      <c r="CN62" s="1077">
        <f t="shared" si="174"/>
        <v>11.980592801327882</v>
      </c>
      <c r="CO62" s="1077">
        <f t="shared" si="174"/>
        <v>11.98339855032402</v>
      </c>
      <c r="CP62" s="1077">
        <f t="shared" si="174"/>
        <v>11.986204956401787</v>
      </c>
      <c r="CQ62" s="1077">
        <f t="shared" si="174"/>
        <v>11.990458334261309</v>
      </c>
      <c r="CR62" s="1077">
        <f t="shared" si="174"/>
        <v>11.99471322145788</v>
      </c>
      <c r="CS62" s="1077">
        <f t="shared" si="174"/>
        <v>11.9989696185271</v>
      </c>
      <c r="CT62" s="1077">
        <f t="shared" si="174"/>
        <v>12.003227526004752</v>
      </c>
      <c r="CU62" s="1077">
        <f t="shared" si="174"/>
        <v>12.007486944426816</v>
      </c>
      <c r="CV62" s="1077">
        <f t="shared" si="174"/>
        <v>12.014042207411556</v>
      </c>
      <c r="CW62" s="1077">
        <f t="shared" si="174"/>
        <v>12.020601049119556</v>
      </c>
      <c r="CX62" s="1077">
        <f t="shared" si="174"/>
        <v>12.027163471504549</v>
      </c>
      <c r="CY62" s="1077">
        <f t="shared" si="174"/>
        <v>12.033729476521339</v>
      </c>
      <c r="CZ62" s="1077">
        <f t="shared" si="174"/>
        <v>12.040299066125799</v>
      </c>
    </row>
    <row r="63" spans="1:104" x14ac:dyDescent="0.25">
      <c r="A63" s="725" t="str">
        <f>'HyARC Physical Property Data'!A75</f>
        <v>Bio Methane</v>
      </c>
      <c r="B63" s="254">
        <v>2007</v>
      </c>
      <c r="C63" s="726">
        <f t="shared" si="165"/>
        <v>1.1413971588333081</v>
      </c>
      <c r="D63" s="1031" t="str">
        <f>'HyARC Physical Property Data'!H75</f>
        <v>mmBtu</v>
      </c>
      <c r="E63" s="726" t="s">
        <v>1040</v>
      </c>
      <c r="F63" s="254">
        <f>'HyARC Physical Property Data'!$E$6</f>
        <v>47.141269049911173</v>
      </c>
      <c r="G63" s="254">
        <f>'HyARC Physical Property Data'!$I$6</f>
        <v>52.224661236371581</v>
      </c>
      <c r="H63" s="852">
        <v>12.42654028436019</v>
      </c>
      <c r="I63" s="852">
        <v>12.42654028436019</v>
      </c>
      <c r="J63" s="852">
        <v>12.42654028436019</v>
      </c>
      <c r="K63" s="852">
        <v>12.42654028436019</v>
      </c>
      <c r="L63" s="852">
        <v>12.42654028436019</v>
      </c>
      <c r="M63" s="852">
        <v>12.42654028436019</v>
      </c>
      <c r="N63" s="254">
        <f t="shared" ref="N63:AM63" si="175">13.11*($C$63/mmBTU_to_GJ)</f>
        <v>14.183617774696369</v>
      </c>
      <c r="O63" s="254">
        <f t="shared" si="175"/>
        <v>14.183617774696369</v>
      </c>
      <c r="P63" s="254">
        <f t="shared" si="175"/>
        <v>14.183617774696369</v>
      </c>
      <c r="Q63" s="254">
        <f t="shared" si="175"/>
        <v>14.183617774696369</v>
      </c>
      <c r="R63" s="254">
        <f t="shared" si="175"/>
        <v>14.183617774696369</v>
      </c>
      <c r="S63" s="254">
        <f t="shared" si="175"/>
        <v>14.183617774696369</v>
      </c>
      <c r="T63" s="254">
        <f t="shared" si="175"/>
        <v>14.183617774696369</v>
      </c>
      <c r="U63" s="254">
        <f t="shared" si="175"/>
        <v>14.183617774696369</v>
      </c>
      <c r="V63" s="254">
        <f t="shared" si="175"/>
        <v>14.183617774696369</v>
      </c>
      <c r="W63" s="254">
        <f t="shared" si="175"/>
        <v>14.183617774696369</v>
      </c>
      <c r="X63" s="254">
        <f t="shared" si="175"/>
        <v>14.183617774696369</v>
      </c>
      <c r="Y63" s="254">
        <f t="shared" si="175"/>
        <v>14.183617774696369</v>
      </c>
      <c r="Z63" s="254">
        <f t="shared" si="175"/>
        <v>14.183617774696369</v>
      </c>
      <c r="AA63" s="254">
        <f t="shared" si="175"/>
        <v>14.183617774696369</v>
      </c>
      <c r="AB63" s="254">
        <f t="shared" si="175"/>
        <v>14.183617774696369</v>
      </c>
      <c r="AC63" s="254">
        <f t="shared" si="175"/>
        <v>14.183617774696369</v>
      </c>
      <c r="AD63" s="254">
        <f t="shared" si="175"/>
        <v>14.183617774696369</v>
      </c>
      <c r="AE63" s="254">
        <f t="shared" si="175"/>
        <v>14.183617774696369</v>
      </c>
      <c r="AF63" s="254">
        <f t="shared" si="175"/>
        <v>14.183617774696369</v>
      </c>
      <c r="AG63" s="254">
        <f t="shared" si="175"/>
        <v>14.183617774696369</v>
      </c>
      <c r="AH63" s="254">
        <f t="shared" si="175"/>
        <v>14.183617774696369</v>
      </c>
      <c r="AI63" s="254">
        <f t="shared" si="175"/>
        <v>14.183617774696369</v>
      </c>
      <c r="AJ63" s="254">
        <f t="shared" si="175"/>
        <v>14.183617774696369</v>
      </c>
      <c r="AK63" s="254">
        <f t="shared" si="175"/>
        <v>14.183617774696369</v>
      </c>
      <c r="AL63" s="254">
        <f t="shared" si="175"/>
        <v>14.183617774696369</v>
      </c>
      <c r="AM63" s="254">
        <f t="shared" si="175"/>
        <v>14.183617774696369</v>
      </c>
      <c r="AN63" s="254">
        <f t="shared" ref="AN63:BV63" si="176">13.11*($C$63/mmBTU_to_GJ)</f>
        <v>14.183617774696369</v>
      </c>
      <c r="AO63" s="254">
        <f t="shared" si="176"/>
        <v>14.183617774696369</v>
      </c>
      <c r="AP63" s="254">
        <f t="shared" si="176"/>
        <v>14.183617774696369</v>
      </c>
      <c r="AQ63" s="254">
        <f t="shared" si="176"/>
        <v>14.183617774696369</v>
      </c>
      <c r="AR63" s="254">
        <f t="shared" si="176"/>
        <v>14.183617774696369</v>
      </c>
      <c r="AS63" s="254">
        <f t="shared" si="176"/>
        <v>14.183617774696369</v>
      </c>
      <c r="AT63" s="254">
        <f t="shared" si="176"/>
        <v>14.183617774696369</v>
      </c>
      <c r="AU63" s="254">
        <f t="shared" si="176"/>
        <v>14.183617774696369</v>
      </c>
      <c r="AV63" s="254">
        <f t="shared" si="176"/>
        <v>14.183617774696369</v>
      </c>
      <c r="AW63" s="254">
        <f t="shared" si="176"/>
        <v>14.183617774696369</v>
      </c>
      <c r="AX63" s="254">
        <f t="shared" si="176"/>
        <v>14.183617774696369</v>
      </c>
      <c r="AY63" s="254">
        <f t="shared" si="176"/>
        <v>14.183617774696369</v>
      </c>
      <c r="AZ63" s="254">
        <f t="shared" si="176"/>
        <v>14.183617774696369</v>
      </c>
      <c r="BA63" s="254">
        <f t="shared" si="176"/>
        <v>14.183617774696369</v>
      </c>
      <c r="BB63" s="254">
        <f t="shared" si="176"/>
        <v>14.183617774696369</v>
      </c>
      <c r="BC63" s="254">
        <f t="shared" si="176"/>
        <v>14.183617774696369</v>
      </c>
      <c r="BD63" s="254">
        <f t="shared" si="176"/>
        <v>14.183617774696369</v>
      </c>
      <c r="BE63" s="254">
        <f t="shared" si="176"/>
        <v>14.183617774696369</v>
      </c>
      <c r="BF63" s="254">
        <f t="shared" si="176"/>
        <v>14.183617774696369</v>
      </c>
      <c r="BG63" s="254">
        <f t="shared" si="176"/>
        <v>14.183617774696369</v>
      </c>
      <c r="BH63" s="254">
        <f t="shared" si="176"/>
        <v>14.183617774696369</v>
      </c>
      <c r="BI63" s="254">
        <f t="shared" si="176"/>
        <v>14.183617774696369</v>
      </c>
      <c r="BJ63" s="254">
        <f t="shared" si="176"/>
        <v>14.183617774696369</v>
      </c>
      <c r="BK63" s="254">
        <f t="shared" si="176"/>
        <v>14.183617774696369</v>
      </c>
      <c r="BL63" s="254">
        <f t="shared" si="176"/>
        <v>14.183617774696369</v>
      </c>
      <c r="BM63" s="254">
        <f t="shared" si="176"/>
        <v>14.183617774696369</v>
      </c>
      <c r="BN63" s="254">
        <f t="shared" si="176"/>
        <v>14.183617774696369</v>
      </c>
      <c r="BO63" s="254">
        <f t="shared" si="176"/>
        <v>14.183617774696369</v>
      </c>
      <c r="BP63" s="254">
        <f t="shared" si="176"/>
        <v>14.183617774696369</v>
      </c>
      <c r="BQ63" s="254">
        <f t="shared" si="176"/>
        <v>14.183617774696369</v>
      </c>
      <c r="BR63" s="725">
        <f t="shared" si="176"/>
        <v>14.183617774696369</v>
      </c>
      <c r="BS63" s="254">
        <f t="shared" si="176"/>
        <v>14.183617774696369</v>
      </c>
      <c r="BT63" s="254">
        <f t="shared" si="176"/>
        <v>14.183617774696369</v>
      </c>
      <c r="BU63" s="254">
        <f t="shared" si="176"/>
        <v>14.183617774696369</v>
      </c>
      <c r="BV63" s="728">
        <f t="shared" si="176"/>
        <v>14.183617774696369</v>
      </c>
      <c r="BW63" s="1077">
        <f>+BV63*BW$136/BV$136</f>
        <v>14.230711556264829</v>
      </c>
      <c r="BX63" s="1077">
        <f t="shared" si="174"/>
        <v>14.277961703035571</v>
      </c>
      <c r="BY63" s="1077">
        <f t="shared" si="174"/>
        <v>14.325368734187041</v>
      </c>
      <c r="BZ63" s="1077">
        <f t="shared" si="174"/>
        <v>14.372933170621517</v>
      </c>
      <c r="CA63" s="1077">
        <f t="shared" si="174"/>
        <v>14.420655534970821</v>
      </c>
      <c r="CB63" s="1077">
        <f t="shared" si="174"/>
        <v>14.451428179067991</v>
      </c>
      <c r="CC63" s="1077">
        <f t="shared" si="174"/>
        <v>14.482266489779443</v>
      </c>
      <c r="CD63" s="1077">
        <f t="shared" si="174"/>
        <v>14.51317060723302</v>
      </c>
      <c r="CE63" s="1077">
        <f t="shared" si="174"/>
        <v>14.54414067185559</v>
      </c>
      <c r="CF63" s="1077">
        <f t="shared" si="174"/>
        <v>14.575176824373679</v>
      </c>
      <c r="CG63" s="1077">
        <f t="shared" si="174"/>
        <v>14.585254066221541</v>
      </c>
      <c r="CH63" s="1077">
        <f t="shared" si="174"/>
        <v>14.595338275449933</v>
      </c>
      <c r="CI63" s="1077">
        <f t="shared" si="174"/>
        <v>14.605429456876088</v>
      </c>
      <c r="CJ63" s="1077">
        <f t="shared" si="174"/>
        <v>14.615527615320566</v>
      </c>
      <c r="CK63" s="1077">
        <f t="shared" si="174"/>
        <v>14.625632755607262</v>
      </c>
      <c r="CL63" s="1077">
        <f t="shared" si="174"/>
        <v>14.629057949594106</v>
      </c>
      <c r="CM63" s="1077">
        <f t="shared" si="174"/>
        <v>14.632483945731124</v>
      </c>
      <c r="CN63" s="1077">
        <f t="shared" si="174"/>
        <v>14.635910744206171</v>
      </c>
      <c r="CO63" s="1077">
        <f t="shared" si="174"/>
        <v>14.639338345207147</v>
      </c>
      <c r="CP63" s="1077">
        <f t="shared" si="174"/>
        <v>14.642766748922</v>
      </c>
      <c r="CQ63" s="1077">
        <f t="shared" si="174"/>
        <v>14.647962823919764</v>
      </c>
      <c r="CR63" s="1077">
        <f t="shared" si="174"/>
        <v>14.6531607427764</v>
      </c>
      <c r="CS63" s="1077">
        <f t="shared" si="174"/>
        <v>14.658360506146211</v>
      </c>
      <c r="CT63" s="1077">
        <f t="shared" si="174"/>
        <v>14.663562114683737</v>
      </c>
      <c r="CU63" s="1077">
        <f t="shared" si="174"/>
        <v>14.668765569043746</v>
      </c>
      <c r="CV63" s="1077">
        <f t="shared" si="174"/>
        <v>14.676773707333766</v>
      </c>
      <c r="CW63" s="1077">
        <f t="shared" si="174"/>
        <v>14.68478621751715</v>
      </c>
      <c r="CX63" s="1077">
        <f t="shared" si="174"/>
        <v>14.692803101980653</v>
      </c>
      <c r="CY63" s="1077">
        <f t="shared" si="174"/>
        <v>14.700824363112332</v>
      </c>
      <c r="CZ63" s="1077">
        <f t="shared" si="174"/>
        <v>14.708850003301547</v>
      </c>
    </row>
    <row r="64" spans="1:104" x14ac:dyDescent="0.25">
      <c r="A64" s="806" t="str">
        <f>'HyARC Physical Property Data'!A85</f>
        <v>Woody Biomass</v>
      </c>
      <c r="B64" s="254">
        <v>2005</v>
      </c>
      <c r="C64" s="726">
        <f>VLOOKUP(ref_year,DeflatorTable,2,FALSE)/VLOOKUP(B64,DeflatorTable,2,FALSE)</f>
        <v>1.208440716126562</v>
      </c>
      <c r="D64" s="1030" t="str">
        <f>+'HyARC Physical Property Data'!$H$85</f>
        <v>kg</v>
      </c>
      <c r="E64" s="747" t="s">
        <v>1034</v>
      </c>
      <c r="F64" s="254">
        <f>'HyARC Physical Property Data'!$E$45</f>
        <v>19.551069237418005</v>
      </c>
      <c r="G64" s="254">
        <f>'HyARC Physical Property Data'!$I$45</f>
        <v>20.588656379262464</v>
      </c>
      <c r="H64" s="852">
        <v>1.3438238843289665</v>
      </c>
      <c r="I64" s="852">
        <v>1.3438238843289665</v>
      </c>
      <c r="J64" s="852">
        <v>1.3438238843289665</v>
      </c>
      <c r="K64" s="852">
        <v>1.3438238843289665</v>
      </c>
      <c r="L64" s="852">
        <v>1.3438238843289665</v>
      </c>
      <c r="M64" s="852">
        <v>1.3438238843289665</v>
      </c>
      <c r="N64" s="254">
        <f>1.27*($C$64)</f>
        <v>1.5347197094807337</v>
      </c>
      <c r="O64" s="254">
        <f>1.27*($C$64)</f>
        <v>1.5347197094807337</v>
      </c>
      <c r="P64" s="254">
        <f>1.28*($C$64)</f>
        <v>1.5468041166419995</v>
      </c>
      <c r="Q64" s="254">
        <f>1.32*($C$64)</f>
        <v>1.595141745287062</v>
      </c>
      <c r="R64" s="254">
        <f>1.32*($C$64)</f>
        <v>1.595141745287062</v>
      </c>
      <c r="S64" s="254">
        <f>1.34*($C$64)</f>
        <v>1.6193105596095931</v>
      </c>
      <c r="T64" s="254">
        <f>1.34*($C$64)</f>
        <v>1.6193105596095931</v>
      </c>
      <c r="U64" s="254">
        <f>1.36*($C$64)</f>
        <v>1.6434793739321245</v>
      </c>
      <c r="V64" s="254">
        <f>1.36*($C$64)</f>
        <v>1.6434793739321245</v>
      </c>
      <c r="W64" s="254">
        <f>1.38*($C$64)</f>
        <v>1.6676481882546554</v>
      </c>
      <c r="X64" s="254">
        <f>1.4*($C$64)</f>
        <v>1.6918170025771868</v>
      </c>
      <c r="Y64" s="254">
        <f>1.46*($C$64)</f>
        <v>1.7643234455447805</v>
      </c>
      <c r="Z64" s="254">
        <f>1.48*($C$64)</f>
        <v>1.7884922598673119</v>
      </c>
      <c r="AA64" s="254">
        <f>1.48*($C$64)</f>
        <v>1.7884922598673119</v>
      </c>
      <c r="AB64" s="254">
        <f>1.51*($C$64)</f>
        <v>1.8247454813511086</v>
      </c>
      <c r="AC64" s="254">
        <f>1.52*($C$64)</f>
        <v>1.8368298885123742</v>
      </c>
      <c r="AD64" s="254">
        <f>1.62*($C$64)</f>
        <v>1.9576739601250306</v>
      </c>
      <c r="AE64" s="254">
        <f>1.72*($C$64)</f>
        <v>2.0785180317376866</v>
      </c>
      <c r="AF64" s="254">
        <f>1.82*($C$64)</f>
        <v>2.1993621033503428</v>
      </c>
      <c r="AG64" s="254">
        <f>1.91*($C$64)</f>
        <v>2.3081217678017332</v>
      </c>
      <c r="AH64" s="254">
        <f>2.01*($C$64)</f>
        <v>2.4289658394143894</v>
      </c>
      <c r="AI64" s="254">
        <f>2.11*($C$64)</f>
        <v>2.5498099110270456</v>
      </c>
      <c r="AJ64" s="254">
        <f>2.2*($C$64)</f>
        <v>2.6585695754784364</v>
      </c>
      <c r="AK64" s="254">
        <f>2.3*($C$64)</f>
        <v>2.7794136470910926</v>
      </c>
      <c r="AL64" s="254">
        <f>2.4*($C$64)</f>
        <v>2.9002577187037488</v>
      </c>
      <c r="AM64" s="254">
        <f>2.5*($C$64)</f>
        <v>3.021101790316405</v>
      </c>
      <c r="AN64" s="254">
        <f>2.57*($C$64)</f>
        <v>3.1056926404452643</v>
      </c>
      <c r="AO64" s="254">
        <f>2.64*($C$64)</f>
        <v>3.190283490574124</v>
      </c>
      <c r="AP64" s="254">
        <f>2.71*($C$64)</f>
        <v>3.2748743407029832</v>
      </c>
      <c r="AQ64" s="254">
        <f>2.78*($C$64)</f>
        <v>3.359465190831842</v>
      </c>
      <c r="AR64" s="254">
        <f>2.85*($C$64)</f>
        <v>3.4440560409607017</v>
      </c>
      <c r="AS64" s="254">
        <f>2.92*($C$64)</f>
        <v>3.528646891089561</v>
      </c>
      <c r="AT64" s="254">
        <f>2.99*($C$64)</f>
        <v>3.6132377412184207</v>
      </c>
      <c r="AU64" s="254">
        <f>3.07*($C$64)</f>
        <v>3.7099129985085453</v>
      </c>
      <c r="AV64" s="254">
        <f>3.14*($C$64)</f>
        <v>3.794503848637405</v>
      </c>
      <c r="AW64" s="254">
        <f>3.21*($C$64)</f>
        <v>3.8790946987662642</v>
      </c>
      <c r="AX64" s="254">
        <f>3.28*($C$64)</f>
        <v>3.963685548895123</v>
      </c>
      <c r="AY64" s="254">
        <f>3.35*($C$64)</f>
        <v>4.0482763990239832</v>
      </c>
      <c r="AZ64" s="254">
        <f>3.42*($C$64)</f>
        <v>4.1328672491528424</v>
      </c>
      <c r="BA64" s="254">
        <f>3.49*($C$64)</f>
        <v>4.2174580992817017</v>
      </c>
      <c r="BB64" s="254">
        <f>3.56*($C$64)</f>
        <v>4.3020489494105609</v>
      </c>
      <c r="BC64" s="254">
        <f>3.64*($C$64)</f>
        <v>4.3987242067006855</v>
      </c>
      <c r="BD64" s="254">
        <f>3.71*($C$64)</f>
        <v>4.4833150568295448</v>
      </c>
      <c r="BE64" s="254">
        <f>3.78*($C$64)</f>
        <v>4.567905906958404</v>
      </c>
      <c r="BF64" s="254">
        <f>3.85*($C$64)</f>
        <v>4.6524967570872642</v>
      </c>
      <c r="BG64" s="254">
        <f>3.92*($C$64)</f>
        <v>4.7370876072161234</v>
      </c>
      <c r="BH64" s="254">
        <f>3.99*($C$64)</f>
        <v>4.8216784573449827</v>
      </c>
      <c r="BI64" s="254">
        <f>4.06*($C$64)</f>
        <v>4.906269307473841</v>
      </c>
      <c r="BJ64" s="254">
        <f>4.14*($C$64)</f>
        <v>5.0029445647639665</v>
      </c>
      <c r="BK64" s="254">
        <f>4.21*($C$64)</f>
        <v>5.0875354148928258</v>
      </c>
      <c r="BL64" s="254">
        <f>4.28*($C$64)</f>
        <v>5.1721262650216859</v>
      </c>
      <c r="BM64" s="254">
        <f>4.35*($C$64)</f>
        <v>5.2567171151505443</v>
      </c>
      <c r="BN64" s="254">
        <f>4.42*($C$64)</f>
        <v>5.3413079652794044</v>
      </c>
      <c r="BO64" s="254">
        <f>4.49*($C$64)</f>
        <v>5.4258988154082637</v>
      </c>
      <c r="BP64" s="254">
        <f>4.56*($C$64)</f>
        <v>5.5104896655371221</v>
      </c>
      <c r="BQ64" s="254">
        <f>4.63*($C$64)</f>
        <v>5.5950805156659822</v>
      </c>
      <c r="BR64" s="725">
        <f>4.71*($C$64)</f>
        <v>5.6917557729561068</v>
      </c>
      <c r="BS64" s="254">
        <f>4.78*($C$64)</f>
        <v>5.7763466230849669</v>
      </c>
      <c r="BT64" s="254">
        <f>4.85*($C$64)</f>
        <v>5.8609374732138253</v>
      </c>
      <c r="BU64" s="254">
        <f>4.92*($C$64)</f>
        <v>5.9455283233426854</v>
      </c>
      <c r="BV64" s="728">
        <f>4.99*($C$64)</f>
        <v>6.0301191734715447</v>
      </c>
      <c r="BW64" s="1077">
        <f>+BV64*BW$138/BV$138</f>
        <v>6.0446132076616896</v>
      </c>
      <c r="BX64" s="1077">
        <f t="shared" ref="BX64:CZ64" si="177">+BW64*BX$138/BW$138</f>
        <v>6.0591420798079438</v>
      </c>
      <c r="BY64" s="1077">
        <f t="shared" si="177"/>
        <v>6.0737058736470511</v>
      </c>
      <c r="BZ64" s="1077">
        <f t="shared" si="177"/>
        <v>6.0883046731170198</v>
      </c>
      <c r="CA64" s="1077">
        <f t="shared" si="177"/>
        <v>6.1029385623576156</v>
      </c>
      <c r="CB64" s="1077">
        <f t="shared" si="177"/>
        <v>6.1157485681116217</v>
      </c>
      <c r="CC64" s="1077">
        <f t="shared" si="177"/>
        <v>6.1285854619369617</v>
      </c>
      <c r="CD64" s="1077">
        <f t="shared" si="177"/>
        <v>6.1414493002714252</v>
      </c>
      <c r="CE64" s="1077">
        <f t="shared" si="177"/>
        <v>6.1543401396712598</v>
      </c>
      <c r="CF64" s="1077">
        <f t="shared" si="177"/>
        <v>6.167258036811428</v>
      </c>
      <c r="CG64" s="1077">
        <f t="shared" si="177"/>
        <v>6.183149548139812</v>
      </c>
      <c r="CH64" s="1077">
        <f t="shared" si="177"/>
        <v>6.1990820079952069</v>
      </c>
      <c r="CI64" s="1077">
        <f t="shared" si="177"/>
        <v>6.215055521891923</v>
      </c>
      <c r="CJ64" s="1077">
        <f t="shared" si="177"/>
        <v>6.2310701956161552</v>
      </c>
      <c r="CK64" s="1077">
        <f t="shared" si="177"/>
        <v>6.2471261352266838</v>
      </c>
      <c r="CL64" s="1077">
        <f t="shared" si="177"/>
        <v>6.2604975997429575</v>
      </c>
      <c r="CM64" s="1077">
        <f t="shared" si="177"/>
        <v>6.2738976847896071</v>
      </c>
      <c r="CN64" s="1077">
        <f t="shared" si="177"/>
        <v>6.2873264516265444</v>
      </c>
      <c r="CO64" s="1077">
        <f t="shared" si="177"/>
        <v>6.3007839616448056</v>
      </c>
      <c r="CP64" s="1077">
        <f t="shared" si="177"/>
        <v>6.3142702763668277</v>
      </c>
      <c r="CQ64" s="1077">
        <f t="shared" si="177"/>
        <v>6.326614172551615</v>
      </c>
      <c r="CR64" s="1077">
        <f t="shared" si="177"/>
        <v>6.3389822000716718</v>
      </c>
      <c r="CS64" s="1077">
        <f t="shared" si="177"/>
        <v>6.3513744061018391</v>
      </c>
      <c r="CT64" s="1077">
        <f t="shared" si="177"/>
        <v>6.3637908379091801</v>
      </c>
      <c r="CU64" s="1077">
        <f t="shared" si="177"/>
        <v>6.376231542853164</v>
      </c>
      <c r="CV64" s="1077">
        <f t="shared" si="177"/>
        <v>6.3909193633613004</v>
      </c>
      <c r="CW64" s="1077">
        <f t="shared" si="177"/>
        <v>6.4056410176582252</v>
      </c>
      <c r="CX64" s="1077">
        <f t="shared" si="177"/>
        <v>6.4203965836809767</v>
      </c>
      <c r="CY64" s="1077">
        <f t="shared" si="177"/>
        <v>6.4351861395461265</v>
      </c>
      <c r="CZ64" s="1077">
        <f t="shared" si="177"/>
        <v>6.450009763550189</v>
      </c>
    </row>
    <row r="65" spans="1:104" x14ac:dyDescent="0.25">
      <c r="A65" s="753" t="str">
        <f>'HyARC Physical Property Data'!A79</f>
        <v>Electric Utility Steam Coal</v>
      </c>
      <c r="B65" s="254">
        <v>2011</v>
      </c>
      <c r="C65" s="726">
        <f>VLOOKUP(ref_year,DeflatorTable,2,FALSE)/VLOOKUP(B65,DeflatorTable,2,FALSE)</f>
        <v>1.0771767810026385</v>
      </c>
      <c r="D65" s="1030" t="str">
        <f>+'HyARC Physical Property Data'!$H$79</f>
        <v>kg</v>
      </c>
      <c r="E65" s="747" t="s">
        <v>1034</v>
      </c>
      <c r="F65" s="254">
        <f>'HyARC Physical Property Data'!$E$42</f>
        <v>22.7322030001394</v>
      </c>
      <c r="G65" s="254">
        <f>'HyARC Physical Property Data'!$I$42</f>
        <v>23.967615189707661</v>
      </c>
      <c r="H65" s="852">
        <v>1.6359074751967535</v>
      </c>
      <c r="I65" s="852">
        <v>1.6359074751967535</v>
      </c>
      <c r="J65" s="852">
        <v>1.6359074751967535</v>
      </c>
      <c r="K65" s="852">
        <v>1.6778298347292193</v>
      </c>
      <c r="L65" s="852">
        <v>1.8315470257945772</v>
      </c>
      <c r="M65" s="852">
        <v>1.8060149340317679</v>
      </c>
      <c r="N65" s="254">
        <f t="shared" ref="N65:AR65" si="178">N79*($C65/mmBTU_to_GJ*$G65/$F65)</f>
        <v>2.4738067312648084</v>
      </c>
      <c r="O65" s="254">
        <f t="shared" si="178"/>
        <v>2.562092342657099</v>
      </c>
      <c r="P65" s="254">
        <f t="shared" si="178"/>
        <v>2.5992975836043981</v>
      </c>
      <c r="Q65" s="254">
        <f t="shared" si="178"/>
        <v>2.5097040133060879</v>
      </c>
      <c r="R65" s="254">
        <f t="shared" si="178"/>
        <v>2.6554020233616504</v>
      </c>
      <c r="S65" s="254">
        <f t="shared" si="178"/>
        <v>2.6808248690608902</v>
      </c>
      <c r="T65" s="254">
        <f t="shared" si="178"/>
        <v>2.7666904873496958</v>
      </c>
      <c r="U65" s="254">
        <f t="shared" si="178"/>
        <v>2.7733379328185648</v>
      </c>
      <c r="V65" s="254">
        <f t="shared" si="178"/>
        <v>2.7935332489312734</v>
      </c>
      <c r="W65" s="254">
        <f t="shared" si="178"/>
        <v>2.8081877712256396</v>
      </c>
      <c r="X65" s="254">
        <f t="shared" si="178"/>
        <v>2.8455997019753716</v>
      </c>
      <c r="Y65" s="254">
        <f t="shared" si="178"/>
        <v>2.875157420232656</v>
      </c>
      <c r="Z65" s="254">
        <f t="shared" si="178"/>
        <v>2.9218811571857422</v>
      </c>
      <c r="AA65" s="254">
        <f t="shared" si="178"/>
        <v>2.9595180783974975</v>
      </c>
      <c r="AB65" s="254">
        <f t="shared" si="178"/>
        <v>3.001801214126441</v>
      </c>
      <c r="AC65" s="254">
        <f t="shared" si="178"/>
        <v>3.0485410987203423</v>
      </c>
      <c r="AD65" s="254">
        <f t="shared" si="178"/>
        <v>3.0887358062372043</v>
      </c>
      <c r="AE65" s="254">
        <f t="shared" si="178"/>
        <v>3.1212689964420113</v>
      </c>
      <c r="AF65" s="254">
        <f t="shared" si="178"/>
        <v>3.1614959992405027</v>
      </c>
      <c r="AG65" s="254">
        <f t="shared" si="178"/>
        <v>3.2059762906296831</v>
      </c>
      <c r="AH65" s="254">
        <f t="shared" si="178"/>
        <v>3.2488525830312334</v>
      </c>
      <c r="AI65" s="254">
        <f t="shared" si="178"/>
        <v>3.2862978855719831</v>
      </c>
      <c r="AJ65" s="254">
        <f t="shared" si="178"/>
        <v>3.3267574143982119</v>
      </c>
      <c r="AK65" s="254">
        <f t="shared" si="178"/>
        <v>3.3693139835116237</v>
      </c>
      <c r="AL65" s="254">
        <f t="shared" si="178"/>
        <v>3.4131279155898357</v>
      </c>
      <c r="AM65" s="254">
        <f t="shared" si="178"/>
        <v>3.462467570354963</v>
      </c>
      <c r="AN65" s="254">
        <f t="shared" si="178"/>
        <v>3.500480193343015</v>
      </c>
      <c r="AO65" s="254">
        <f t="shared" si="178"/>
        <v>3.5291401027709814</v>
      </c>
      <c r="AP65" s="254">
        <f t="shared" si="178"/>
        <v>3.5647628749184039</v>
      </c>
      <c r="AQ65" s="254">
        <f t="shared" si="178"/>
        <v>3.6129969545423934</v>
      </c>
      <c r="AR65" s="254">
        <f t="shared" si="178"/>
        <v>3.658942375208194</v>
      </c>
      <c r="AS65" s="254">
        <f>($BB65-$AR65)/10+AR65</f>
        <v>3.6559939686764786</v>
      </c>
      <c r="AT65" s="254">
        <f t="shared" ref="AT65:BA65" si="179">($BB65-$AR65)/10+AS65</f>
        <v>3.6530455621447633</v>
      </c>
      <c r="AU65" s="254">
        <f t="shared" si="179"/>
        <v>3.6500971556130479</v>
      </c>
      <c r="AV65" s="254">
        <f t="shared" si="179"/>
        <v>3.6471487490813326</v>
      </c>
      <c r="AW65" s="254">
        <f t="shared" si="179"/>
        <v>3.6442003425496172</v>
      </c>
      <c r="AX65" s="254">
        <f t="shared" si="179"/>
        <v>3.6412519360179019</v>
      </c>
      <c r="AY65" s="254">
        <f t="shared" si="179"/>
        <v>3.6383035294861865</v>
      </c>
      <c r="AZ65" s="254">
        <f t="shared" si="179"/>
        <v>3.6353551229544712</v>
      </c>
      <c r="BA65" s="254">
        <f t="shared" si="179"/>
        <v>3.6324067164227558</v>
      </c>
      <c r="BB65" s="781">
        <f>('AEO Data'!$B$28*AM65)</f>
        <v>3.6294583098910396</v>
      </c>
      <c r="BC65" s="254">
        <f>($BQ65-$BB65)/15+BB65</f>
        <v>3.6421956634171884</v>
      </c>
      <c r="BD65" s="254">
        <f t="shared" ref="BD65:BP68" si="180">($BQ65-$BB65)/15+BC65</f>
        <v>3.6549330169433372</v>
      </c>
      <c r="BE65" s="254">
        <f t="shared" si="180"/>
        <v>3.667670370469486</v>
      </c>
      <c r="BF65" s="254">
        <f t="shared" si="180"/>
        <v>3.6804077239956348</v>
      </c>
      <c r="BG65" s="254">
        <f t="shared" si="180"/>
        <v>3.6931450775217836</v>
      </c>
      <c r="BH65" s="254">
        <f t="shared" si="180"/>
        <v>3.7058824310479324</v>
      </c>
      <c r="BI65" s="254">
        <f t="shared" si="180"/>
        <v>3.7186197845740812</v>
      </c>
      <c r="BJ65" s="254">
        <f t="shared" si="180"/>
        <v>3.73135713810023</v>
      </c>
      <c r="BK65" s="254">
        <f t="shared" si="180"/>
        <v>3.7440944916263788</v>
      </c>
      <c r="BL65" s="254">
        <f t="shared" si="180"/>
        <v>3.7568318451525275</v>
      </c>
      <c r="BM65" s="254">
        <f t="shared" si="180"/>
        <v>3.7695691986786763</v>
      </c>
      <c r="BN65" s="254">
        <f t="shared" si="180"/>
        <v>3.7823065522048251</v>
      </c>
      <c r="BO65" s="254">
        <f t="shared" si="180"/>
        <v>3.7950439057309739</v>
      </c>
      <c r="BP65" s="254">
        <f t="shared" si="180"/>
        <v>3.8077812592571227</v>
      </c>
      <c r="BQ65" s="781">
        <f>('AEO Data'!$C$28*BB65)</f>
        <v>3.8205186127832693</v>
      </c>
      <c r="BR65" s="725">
        <f t="shared" ref="BR65:BU68" si="181">($BV65-$BQ65)/5+BQ65</f>
        <v>3.8327668169477032</v>
      </c>
      <c r="BS65" s="254">
        <f t="shared" si="181"/>
        <v>3.845015021112137</v>
      </c>
      <c r="BT65" s="254">
        <f t="shared" si="181"/>
        <v>3.8572632252765708</v>
      </c>
      <c r="BU65" s="254">
        <f t="shared" si="181"/>
        <v>3.8695114294410047</v>
      </c>
      <c r="BV65" s="805">
        <f>('AEO Data'!$D$28*BQ65)</f>
        <v>3.8817596336054376</v>
      </c>
      <c r="BW65" s="1077">
        <f>+BV65*BW$139/BV$139</f>
        <v>3.8948836892010701</v>
      </c>
      <c r="BX65" s="1077">
        <f t="shared" ref="BX65:CZ65" si="182">+BW65*BX$139/BW$139</f>
        <v>3.9080521166413131</v>
      </c>
      <c r="BY65" s="1077">
        <f t="shared" si="182"/>
        <v>3.9212650659453869</v>
      </c>
      <c r="BZ65" s="1077">
        <f t="shared" si="182"/>
        <v>3.934522687639721</v>
      </c>
      <c r="CA65" s="1077">
        <f t="shared" si="182"/>
        <v>3.9478251327596676</v>
      </c>
      <c r="CB65" s="1077">
        <f t="shared" si="182"/>
        <v>3.9591283759223899</v>
      </c>
      <c r="CC65" s="1077">
        <f t="shared" si="182"/>
        <v>3.9704639820448935</v>
      </c>
      <c r="CD65" s="1077">
        <f t="shared" si="182"/>
        <v>3.9818320437874131</v>
      </c>
      <c r="CE65" s="1077">
        <f t="shared" si="182"/>
        <v>3.9932326540754852</v>
      </c>
      <c r="CF65" s="1077">
        <f t="shared" si="182"/>
        <v>4.0046659061007048</v>
      </c>
      <c r="CG65" s="1077">
        <f t="shared" si="182"/>
        <v>4.0133952059294913</v>
      </c>
      <c r="CH65" s="1077">
        <f t="shared" si="182"/>
        <v>4.0221435337314686</v>
      </c>
      <c r="CI65" s="1077">
        <f t="shared" si="182"/>
        <v>4.0309109309834765</v>
      </c>
      <c r="CJ65" s="1077">
        <f t="shared" si="182"/>
        <v>4.0396974392527643</v>
      </c>
      <c r="CK65" s="1077">
        <f t="shared" si="182"/>
        <v>4.0485031001971885</v>
      </c>
      <c r="CL65" s="1077">
        <f t="shared" si="182"/>
        <v>4.0544726040914778</v>
      </c>
      <c r="CM65" s="1077">
        <f t="shared" si="182"/>
        <v>4.0604509099987238</v>
      </c>
      <c r="CN65" s="1077">
        <f t="shared" si="182"/>
        <v>4.0664380308974657</v>
      </c>
      <c r="CO65" s="1077">
        <f t="shared" si="182"/>
        <v>4.0724339797853757</v>
      </c>
      <c r="CP65" s="1077">
        <f t="shared" si="182"/>
        <v>4.0784387696792948</v>
      </c>
      <c r="CQ65" s="1077">
        <f t="shared" si="182"/>
        <v>4.0804496799112764</v>
      </c>
      <c r="CR65" s="1077">
        <f t="shared" si="182"/>
        <v>4.0824615816402954</v>
      </c>
      <c r="CS65" s="1077">
        <f t="shared" si="182"/>
        <v>4.0844744753552202</v>
      </c>
      <c r="CT65" s="1077">
        <f t="shared" si="182"/>
        <v>4.0864883615451566</v>
      </c>
      <c r="CU65" s="1077">
        <f t="shared" si="182"/>
        <v>4.0885032406994535</v>
      </c>
      <c r="CV65" s="1077">
        <f t="shared" si="182"/>
        <v>4.0856074248284502</v>
      </c>
      <c r="CW65" s="1077">
        <f t="shared" si="182"/>
        <v>4.0827136600135576</v>
      </c>
      <c r="CX65" s="1077">
        <f t="shared" si="182"/>
        <v>4.0798219448020498</v>
      </c>
      <c r="CY65" s="1077">
        <f t="shared" si="182"/>
        <v>4.0769322777422268</v>
      </c>
      <c r="CZ65" s="1077">
        <f t="shared" si="182"/>
        <v>4.0740446573834195</v>
      </c>
    </row>
    <row r="66" spans="1:104" x14ac:dyDescent="0.25">
      <c r="A66" s="729" t="str">
        <f>'HyARC Physical Property Data'!A76</f>
        <v>Commercial Electricity</v>
      </c>
      <c r="B66" s="254">
        <v>2011</v>
      </c>
      <c r="C66" s="726">
        <f t="shared" si="165"/>
        <v>1.0771767810026385</v>
      </c>
      <c r="D66" s="1030" t="str">
        <f>'HyARC Physical Property Data'!$H$76</f>
        <v>kWh</v>
      </c>
      <c r="E66" s="726" t="s">
        <v>1053</v>
      </c>
      <c r="F66" s="730"/>
      <c r="G66" s="726"/>
      <c r="H66" s="852">
        <v>26.764062885406638</v>
      </c>
      <c r="I66" s="852">
        <v>26.764062885406638</v>
      </c>
      <c r="J66" s="852">
        <v>26.764062885406638</v>
      </c>
      <c r="K66" s="852">
        <v>26.478521097803213</v>
      </c>
      <c r="L66" s="852">
        <v>27.879470162766175</v>
      </c>
      <c r="M66" s="852">
        <v>27.895326399478549</v>
      </c>
      <c r="N66" s="254">
        <f>N80*($C66)</f>
        <v>32.845898091688653</v>
      </c>
      <c r="O66" s="254">
        <f t="shared" ref="O66:AR68" si="183">O80*($C66)</f>
        <v>32.294462213720315</v>
      </c>
      <c r="P66" s="254">
        <f t="shared" si="183"/>
        <v>30.700817944591027</v>
      </c>
      <c r="Q66" s="254">
        <f t="shared" si="183"/>
        <v>29.936886325857518</v>
      </c>
      <c r="R66" s="254">
        <f t="shared" si="183"/>
        <v>30.351947314643798</v>
      </c>
      <c r="S66" s="254">
        <f t="shared" si="183"/>
        <v>30.31116863324538</v>
      </c>
      <c r="T66" s="254">
        <f t="shared" si="183"/>
        <v>30.903469366754614</v>
      </c>
      <c r="U66" s="254">
        <f t="shared" si="183"/>
        <v>31.264578879287598</v>
      </c>
      <c r="V66" s="254">
        <f t="shared" si="183"/>
        <v>31.3554312005277</v>
      </c>
      <c r="W66" s="254">
        <f t="shared" si="183"/>
        <v>31.211201538258571</v>
      </c>
      <c r="X66" s="254">
        <f t="shared" si="183"/>
        <v>31.282410463720318</v>
      </c>
      <c r="Y66" s="254">
        <f t="shared" si="183"/>
        <v>31.412854417546175</v>
      </c>
      <c r="Z66" s="254">
        <f t="shared" si="183"/>
        <v>31.504922871372031</v>
      </c>
      <c r="AA66" s="254">
        <f t="shared" si="183"/>
        <v>31.44926299274406</v>
      </c>
      <c r="AB66" s="254">
        <f t="shared" si="183"/>
        <v>31.362652593667544</v>
      </c>
      <c r="AC66" s="254">
        <f t="shared" si="183"/>
        <v>31.455675426121374</v>
      </c>
      <c r="AD66" s="254">
        <f t="shared" si="183"/>
        <v>31.429995531662264</v>
      </c>
      <c r="AE66" s="254">
        <f t="shared" si="183"/>
        <v>31.467324015831135</v>
      </c>
      <c r="AF66" s="254">
        <f t="shared" si="183"/>
        <v>31.469078736807386</v>
      </c>
      <c r="AG66" s="254">
        <f t="shared" si="183"/>
        <v>31.609617991424798</v>
      </c>
      <c r="AH66" s="254">
        <f t="shared" si="183"/>
        <v>31.830758075857517</v>
      </c>
      <c r="AI66" s="254">
        <f t="shared" si="183"/>
        <v>32.094287220976256</v>
      </c>
      <c r="AJ66" s="254">
        <f t="shared" si="183"/>
        <v>32.269189492084429</v>
      </c>
      <c r="AK66" s="254">
        <f t="shared" si="183"/>
        <v>32.612192740105542</v>
      </c>
      <c r="AL66" s="254">
        <f t="shared" si="183"/>
        <v>33.178551825197886</v>
      </c>
      <c r="AM66" s="254">
        <f t="shared" si="183"/>
        <v>33.706074378627967</v>
      </c>
      <c r="AN66" s="254">
        <f t="shared" si="183"/>
        <v>34.261722017810023</v>
      </c>
      <c r="AO66" s="254">
        <f t="shared" si="183"/>
        <v>34.758917736147751</v>
      </c>
      <c r="AP66" s="254">
        <f t="shared" si="183"/>
        <v>35.188647718337727</v>
      </c>
      <c r="AQ66" s="254">
        <f t="shared" si="183"/>
        <v>35.787504149736144</v>
      </c>
      <c r="AR66" s="254">
        <f t="shared" si="183"/>
        <v>36.169038011213715</v>
      </c>
      <c r="AS66" s="254">
        <f t="shared" ref="AS66:BA66" si="184">($BB66-$AR66)/10+AR66</f>
        <v>35.838717572225882</v>
      </c>
      <c r="AT66" s="254">
        <f t="shared" si="184"/>
        <v>35.508397133238049</v>
      </c>
      <c r="AU66" s="254">
        <f t="shared" si="184"/>
        <v>35.178076694250215</v>
      </c>
      <c r="AV66" s="254">
        <f t="shared" si="184"/>
        <v>34.847756255262382</v>
      </c>
      <c r="AW66" s="254">
        <f t="shared" si="184"/>
        <v>34.517435816274549</v>
      </c>
      <c r="AX66" s="254">
        <f t="shared" si="184"/>
        <v>34.187115377286716</v>
      </c>
      <c r="AY66" s="254">
        <f t="shared" si="184"/>
        <v>33.856794938298883</v>
      </c>
      <c r="AZ66" s="254">
        <f t="shared" si="184"/>
        <v>33.52647449931105</v>
      </c>
      <c r="BA66" s="254">
        <f t="shared" si="184"/>
        <v>33.196154060323217</v>
      </c>
      <c r="BB66" s="781">
        <f>'AEO Data'!$B$33*AM66</f>
        <v>32.865833621335355</v>
      </c>
      <c r="BC66" s="254">
        <f>($BQ66-$BB66)/15+BB66</f>
        <v>32.884982038593449</v>
      </c>
      <c r="BD66" s="254">
        <f t="shared" si="180"/>
        <v>32.904130455851544</v>
      </c>
      <c r="BE66" s="254">
        <f t="shared" si="180"/>
        <v>32.923278873109638</v>
      </c>
      <c r="BF66" s="254">
        <f t="shared" si="180"/>
        <v>32.942427290367732</v>
      </c>
      <c r="BG66" s="254">
        <f t="shared" si="180"/>
        <v>32.961575707625826</v>
      </c>
      <c r="BH66" s="254">
        <f t="shared" si="180"/>
        <v>32.98072412488392</v>
      </c>
      <c r="BI66" s="254">
        <f t="shared" si="180"/>
        <v>32.999872542142015</v>
      </c>
      <c r="BJ66" s="254">
        <f t="shared" si="180"/>
        <v>33.019020959400109</v>
      </c>
      <c r="BK66" s="254">
        <f t="shared" si="180"/>
        <v>33.038169376658203</v>
      </c>
      <c r="BL66" s="254">
        <f t="shared" si="180"/>
        <v>33.057317793916297</v>
      </c>
      <c r="BM66" s="254">
        <f t="shared" si="180"/>
        <v>33.076466211174392</v>
      </c>
      <c r="BN66" s="254">
        <f t="shared" si="180"/>
        <v>33.095614628432486</v>
      </c>
      <c r="BO66" s="254">
        <f t="shared" si="180"/>
        <v>33.11476304569058</v>
      </c>
      <c r="BP66" s="254">
        <f t="shared" si="180"/>
        <v>33.133911462948674</v>
      </c>
      <c r="BQ66" s="781">
        <f>'AEO Data'!$C$33*BB66</f>
        <v>33.153059880206783</v>
      </c>
      <c r="BR66" s="725">
        <f t="shared" si="181"/>
        <v>33.130736260086941</v>
      </c>
      <c r="BS66" s="254">
        <f t="shared" si="181"/>
        <v>33.108412639967099</v>
      </c>
      <c r="BT66" s="254">
        <f t="shared" si="181"/>
        <v>33.086089019847257</v>
      </c>
      <c r="BU66" s="254">
        <f t="shared" si="181"/>
        <v>33.063765399727416</v>
      </c>
      <c r="BV66" s="805">
        <f>'AEO Data'!$D$33*BQ66</f>
        <v>33.04144177960756</v>
      </c>
      <c r="BW66" s="1077">
        <f>+BV66*BW$140/BV$140</f>
        <v>33.026893508206783</v>
      </c>
      <c r="BX66" s="1077">
        <f t="shared" ref="BX66:CZ66" si="185">+BW66*BX$140/BW$140</f>
        <v>33.012351642464765</v>
      </c>
      <c r="BY66" s="1077">
        <f t="shared" si="185"/>
        <v>32.997816179561063</v>
      </c>
      <c r="BZ66" s="1077">
        <f t="shared" si="185"/>
        <v>32.983287116676486</v>
      </c>
      <c r="CA66" s="1077">
        <f t="shared" si="185"/>
        <v>32.968764450993078</v>
      </c>
      <c r="CB66" s="1077">
        <f t="shared" si="185"/>
        <v>32.94235698552729</v>
      </c>
      <c r="CC66" s="1077">
        <f t="shared" si="185"/>
        <v>32.915970672028941</v>
      </c>
      <c r="CD66" s="1077">
        <f t="shared" si="185"/>
        <v>32.889605493555642</v>
      </c>
      <c r="CE66" s="1077">
        <f t="shared" si="185"/>
        <v>32.863261433178565</v>
      </c>
      <c r="CF66" s="1077">
        <f t="shared" si="185"/>
        <v>32.83693847398245</v>
      </c>
      <c r="CG66" s="1077">
        <f t="shared" si="185"/>
        <v>32.800677122537721</v>
      </c>
      <c r="CH66" s="1077">
        <f t="shared" si="185"/>
        <v>32.764455813973655</v>
      </c>
      <c r="CI66" s="1077">
        <f t="shared" si="185"/>
        <v>32.728274504071479</v>
      </c>
      <c r="CJ66" s="1077">
        <f t="shared" si="185"/>
        <v>32.692133148661256</v>
      </c>
      <c r="CK66" s="1077">
        <f t="shared" si="185"/>
        <v>32.656031703621828</v>
      </c>
      <c r="CL66" s="1077">
        <f t="shared" si="185"/>
        <v>32.61667230567209</v>
      </c>
      <c r="CM66" s="1077">
        <f t="shared" si="185"/>
        <v>32.57736034649939</v>
      </c>
      <c r="CN66" s="1077">
        <f t="shared" si="185"/>
        <v>32.538095768927107</v>
      </c>
      <c r="CO66" s="1077">
        <f t="shared" si="185"/>
        <v>32.498878515847522</v>
      </c>
      <c r="CP66" s="1077">
        <f t="shared" si="185"/>
        <v>32.459708530221761</v>
      </c>
      <c r="CQ66" s="1077">
        <f t="shared" si="185"/>
        <v>32.414339458662745</v>
      </c>
      <c r="CR66" s="1077">
        <f t="shared" si="185"/>
        <v>32.369033799646459</v>
      </c>
      <c r="CS66" s="1077">
        <f t="shared" si="185"/>
        <v>32.323791464540925</v>
      </c>
      <c r="CT66" s="1077">
        <f t="shared" si="185"/>
        <v>32.27861236483804</v>
      </c>
      <c r="CU66" s="1077">
        <f t="shared" si="185"/>
        <v>32.233496412153421</v>
      </c>
      <c r="CV66" s="1077">
        <f t="shared" si="185"/>
        <v>32.189455210275135</v>
      </c>
      <c r="CW66" s="1077">
        <f t="shared" si="185"/>
        <v>32.145474182677603</v>
      </c>
      <c r="CX66" s="1077">
        <f t="shared" si="185"/>
        <v>32.101553247143634</v>
      </c>
      <c r="CY66" s="1077">
        <f t="shared" si="185"/>
        <v>32.057692321568368</v>
      </c>
      <c r="CZ66" s="1077">
        <f t="shared" si="185"/>
        <v>32.013891323959122</v>
      </c>
    </row>
    <row r="67" spans="1:104" x14ac:dyDescent="0.25">
      <c r="A67" s="729" t="str">
        <f>'HyARC Physical Property Data'!A77</f>
        <v>Industrial Electricity</v>
      </c>
      <c r="B67" s="254">
        <v>2011</v>
      </c>
      <c r="C67" s="726">
        <f t="shared" si="165"/>
        <v>1.0771767810026385</v>
      </c>
      <c r="D67" s="1018" t="str">
        <f>'HyARC Physical Property Data'!$H$77</f>
        <v>kWh</v>
      </c>
      <c r="E67" s="726" t="s">
        <v>1053</v>
      </c>
      <c r="F67" s="737"/>
      <c r="G67" s="220"/>
      <c r="H67" s="855">
        <v>17.365230901091444</v>
      </c>
      <c r="I67" s="855">
        <v>17.365230901091444</v>
      </c>
      <c r="J67" s="855">
        <v>17.365230901091444</v>
      </c>
      <c r="K67" s="855">
        <v>17.575551809904887</v>
      </c>
      <c r="L67" s="855">
        <v>19.530121721487372</v>
      </c>
      <c r="M67" s="855">
        <v>19.467200489895287</v>
      </c>
      <c r="N67" s="220">
        <f t="shared" ref="N67:AC68" si="186">N81*($C67)</f>
        <v>21.824080926781001</v>
      </c>
      <c r="O67" s="220">
        <f t="shared" si="186"/>
        <v>21.517382844986805</v>
      </c>
      <c r="P67" s="220">
        <f t="shared" si="186"/>
        <v>19.878853696569919</v>
      </c>
      <c r="Q67" s="220">
        <f t="shared" si="186"/>
        <v>19.559017289577834</v>
      </c>
      <c r="R67" s="220">
        <f t="shared" si="186"/>
        <v>19.681393189313983</v>
      </c>
      <c r="S67" s="220">
        <f t="shared" si="186"/>
        <v>19.595758712401054</v>
      </c>
      <c r="T67" s="220">
        <f t="shared" si="186"/>
        <v>20.147114879287596</v>
      </c>
      <c r="U67" s="220">
        <f t="shared" si="186"/>
        <v>20.469555899736147</v>
      </c>
      <c r="V67" s="220">
        <f t="shared" si="186"/>
        <v>20.570052184696571</v>
      </c>
      <c r="W67" s="220">
        <f t="shared" si="186"/>
        <v>20.520463274406332</v>
      </c>
      <c r="X67" s="220">
        <f t="shared" si="186"/>
        <v>20.569618082453825</v>
      </c>
      <c r="Y67" s="220">
        <f t="shared" si="186"/>
        <v>20.73793341754617</v>
      </c>
      <c r="Z67" s="220">
        <f t="shared" si="186"/>
        <v>20.92149511279683</v>
      </c>
      <c r="AA67" s="220">
        <f t="shared" si="186"/>
        <v>21.047268428100264</v>
      </c>
      <c r="AB67" s="220">
        <f t="shared" si="186"/>
        <v>21.075329960422163</v>
      </c>
      <c r="AC67" s="220">
        <f t="shared" si="186"/>
        <v>21.244222662269127</v>
      </c>
      <c r="AD67" s="220">
        <f t="shared" si="183"/>
        <v>21.339939513852244</v>
      </c>
      <c r="AE67" s="220">
        <f t="shared" si="183"/>
        <v>21.483012288258571</v>
      </c>
      <c r="AF67" s="220">
        <f t="shared" si="183"/>
        <v>21.593541397757257</v>
      </c>
      <c r="AG67" s="220">
        <f t="shared" si="183"/>
        <v>21.800339950527704</v>
      </c>
      <c r="AH67" s="220">
        <f t="shared" si="183"/>
        <v>21.997833850263849</v>
      </c>
      <c r="AI67" s="220">
        <f t="shared" si="183"/>
        <v>22.197943135224271</v>
      </c>
      <c r="AJ67" s="220">
        <f t="shared" si="183"/>
        <v>22.447729658970974</v>
      </c>
      <c r="AK67" s="220">
        <f t="shared" si="183"/>
        <v>22.811336067282323</v>
      </c>
      <c r="AL67" s="220">
        <f t="shared" si="183"/>
        <v>23.297994842348285</v>
      </c>
      <c r="AM67" s="220">
        <f t="shared" si="183"/>
        <v>23.815261595646437</v>
      </c>
      <c r="AN67" s="220">
        <f t="shared" si="183"/>
        <v>24.308689349604222</v>
      </c>
      <c r="AO67" s="220">
        <f t="shared" si="183"/>
        <v>24.764817703166226</v>
      </c>
      <c r="AP67" s="220">
        <f t="shared" si="183"/>
        <v>25.184108765171505</v>
      </c>
      <c r="AQ67" s="220">
        <f t="shared" si="183"/>
        <v>25.713819064643797</v>
      </c>
      <c r="AR67" s="220">
        <f t="shared" si="183"/>
        <v>26.032369322559369</v>
      </c>
      <c r="AS67" s="254">
        <f t="shared" ref="AS67:BA67" si="187">($BB67-$AR67)/10+AR67</f>
        <v>25.751290753982193</v>
      </c>
      <c r="AT67" s="254">
        <f t="shared" si="187"/>
        <v>25.470212185405018</v>
      </c>
      <c r="AU67" s="254">
        <f t="shared" si="187"/>
        <v>25.189133616827842</v>
      </c>
      <c r="AV67" s="254">
        <f t="shared" si="187"/>
        <v>24.908055048250667</v>
      </c>
      <c r="AW67" s="254">
        <f t="shared" si="187"/>
        <v>24.626976479673491</v>
      </c>
      <c r="AX67" s="254">
        <f t="shared" si="187"/>
        <v>24.345897911096316</v>
      </c>
      <c r="AY67" s="254">
        <f t="shared" si="187"/>
        <v>24.06481934251914</v>
      </c>
      <c r="AZ67" s="254">
        <f t="shared" si="187"/>
        <v>23.783740773941965</v>
      </c>
      <c r="BA67" s="254">
        <f t="shared" si="187"/>
        <v>23.502662205364789</v>
      </c>
      <c r="BB67" s="781">
        <f>'AEO Data'!$B$33*AM67</f>
        <v>23.22158363678761</v>
      </c>
      <c r="BC67" s="254">
        <f>($BQ67-$BB67)/15+BB67</f>
        <v>23.235113084359032</v>
      </c>
      <c r="BD67" s="254">
        <f t="shared" si="180"/>
        <v>23.248642531930454</v>
      </c>
      <c r="BE67" s="254">
        <f t="shared" si="180"/>
        <v>23.262171979501876</v>
      </c>
      <c r="BF67" s="254">
        <f t="shared" si="180"/>
        <v>23.275701427073297</v>
      </c>
      <c r="BG67" s="254">
        <f t="shared" si="180"/>
        <v>23.289230874644719</v>
      </c>
      <c r="BH67" s="254">
        <f t="shared" si="180"/>
        <v>23.302760322216141</v>
      </c>
      <c r="BI67" s="254">
        <f t="shared" si="180"/>
        <v>23.316289769787563</v>
      </c>
      <c r="BJ67" s="254">
        <f t="shared" si="180"/>
        <v>23.329819217358985</v>
      </c>
      <c r="BK67" s="254">
        <f t="shared" si="180"/>
        <v>23.343348664930406</v>
      </c>
      <c r="BL67" s="254">
        <f t="shared" si="180"/>
        <v>23.356878112501828</v>
      </c>
      <c r="BM67" s="254">
        <f t="shared" si="180"/>
        <v>23.37040756007325</v>
      </c>
      <c r="BN67" s="254">
        <f t="shared" si="180"/>
        <v>23.383937007644672</v>
      </c>
      <c r="BO67" s="254">
        <f t="shared" si="180"/>
        <v>23.397466455216094</v>
      </c>
      <c r="BP67" s="254">
        <f t="shared" si="180"/>
        <v>23.410995902787516</v>
      </c>
      <c r="BQ67" s="781">
        <f>'AEO Data'!$C$33*BB67</f>
        <v>23.424525350358955</v>
      </c>
      <c r="BR67" s="725">
        <f t="shared" si="181"/>
        <v>23.408752441092101</v>
      </c>
      <c r="BS67" s="254">
        <f t="shared" si="181"/>
        <v>23.392979531825247</v>
      </c>
      <c r="BT67" s="254">
        <f t="shared" si="181"/>
        <v>23.377206622558393</v>
      </c>
      <c r="BU67" s="254">
        <f t="shared" si="181"/>
        <v>23.36143371329154</v>
      </c>
      <c r="BV67" s="805">
        <f>'AEO Data'!$D$33*BQ67</f>
        <v>23.345660804024686</v>
      </c>
      <c r="BW67" s="1077">
        <f>+BV67*BW$141/BV$141</f>
        <v>23.3527149207825</v>
      </c>
      <c r="BX67" s="1077">
        <f t="shared" ref="BX67:CZ67" si="188">+BW67*BX$141/BW$141</f>
        <v>23.359771169009782</v>
      </c>
      <c r="BY67" s="1077">
        <f t="shared" si="188"/>
        <v>23.366829549350573</v>
      </c>
      <c r="BZ67" s="1077">
        <f t="shared" si="188"/>
        <v>23.373890062449121</v>
      </c>
      <c r="CA67" s="1077">
        <f t="shared" si="188"/>
        <v>23.380952708949849</v>
      </c>
      <c r="CB67" s="1077">
        <f t="shared" si="188"/>
        <v>23.378308502870599</v>
      </c>
      <c r="CC67" s="1077">
        <f t="shared" si="188"/>
        <v>23.375664595830738</v>
      </c>
      <c r="CD67" s="1077">
        <f t="shared" si="188"/>
        <v>23.373020987796441</v>
      </c>
      <c r="CE67" s="1077">
        <f t="shared" si="188"/>
        <v>23.370377678733899</v>
      </c>
      <c r="CF67" s="1077">
        <f t="shared" si="188"/>
        <v>23.367734668609302</v>
      </c>
      <c r="CG67" s="1077">
        <f t="shared" si="188"/>
        <v>23.357134857315337</v>
      </c>
      <c r="CH67" s="1077">
        <f t="shared" si="188"/>
        <v>23.346539854189601</v>
      </c>
      <c r="CI67" s="1077">
        <f t="shared" si="188"/>
        <v>23.335949657051067</v>
      </c>
      <c r="CJ67" s="1077">
        <f t="shared" si="188"/>
        <v>23.325364263719699</v>
      </c>
      <c r="CK67" s="1077">
        <f t="shared" si="188"/>
        <v>23.314783672016446</v>
      </c>
      <c r="CL67" s="1077">
        <f t="shared" si="188"/>
        <v>23.301803459317899</v>
      </c>
      <c r="CM67" s="1077">
        <f t="shared" si="188"/>
        <v>23.288830473189584</v>
      </c>
      <c r="CN67" s="1077">
        <f t="shared" si="188"/>
        <v>23.275864709608204</v>
      </c>
      <c r="CO67" s="1077">
        <f t="shared" si="188"/>
        <v>23.262906164552696</v>
      </c>
      <c r="CP67" s="1077">
        <f t="shared" si="188"/>
        <v>23.249954834004228</v>
      </c>
      <c r="CQ67" s="1077">
        <f t="shared" si="188"/>
        <v>23.232210866712229</v>
      </c>
      <c r="CR67" s="1077">
        <f t="shared" si="188"/>
        <v>23.214480441312137</v>
      </c>
      <c r="CS67" s="1077">
        <f t="shared" si="188"/>
        <v>23.196763547469015</v>
      </c>
      <c r="CT67" s="1077">
        <f t="shared" si="188"/>
        <v>23.179060174855813</v>
      </c>
      <c r="CU67" s="1077">
        <f t="shared" si="188"/>
        <v>23.161370313153348</v>
      </c>
      <c r="CV67" s="1077">
        <f t="shared" si="188"/>
        <v>23.144738488925565</v>
      </c>
      <c r="CW67" s="1077">
        <f t="shared" si="188"/>
        <v>23.128118607755269</v>
      </c>
      <c r="CX67" s="1077">
        <f t="shared" si="188"/>
        <v>23.111510661066333</v>
      </c>
      <c r="CY67" s="1077">
        <f t="shared" si="188"/>
        <v>23.094914640288788</v>
      </c>
      <c r="CZ67" s="1077">
        <f t="shared" si="188"/>
        <v>23.078330536858825</v>
      </c>
    </row>
    <row r="68" spans="1:104" ht="13.8" thickBot="1" x14ac:dyDescent="0.3">
      <c r="A68" s="731" t="str">
        <f>'HyARC Physical Property Data'!A78</f>
        <v>Residential Electricity</v>
      </c>
      <c r="B68" s="732">
        <v>2011</v>
      </c>
      <c r="C68" s="733">
        <f t="shared" si="165"/>
        <v>1.0771767810026385</v>
      </c>
      <c r="D68" s="1019" t="str">
        <f>'HyARC Physical Property Data'!$H$78</f>
        <v>kWh</v>
      </c>
      <c r="E68" s="733" t="s">
        <v>1053</v>
      </c>
      <c r="F68" s="738"/>
      <c r="G68" s="482"/>
      <c r="H68" s="856">
        <v>29.433773538887177</v>
      </c>
      <c r="I68" s="856">
        <v>29.433773538887177</v>
      </c>
      <c r="J68" s="856">
        <v>29.433773538887177</v>
      </c>
      <c r="K68" s="856">
        <v>29.415861064534436</v>
      </c>
      <c r="L68" s="856">
        <v>30.500905105766051</v>
      </c>
      <c r="M68" s="856">
        <v>30.574559070308627</v>
      </c>
      <c r="N68" s="482">
        <f t="shared" si="186"/>
        <v>37.187183350263851</v>
      </c>
      <c r="O68" s="482">
        <f t="shared" si="183"/>
        <v>36.985808382585752</v>
      </c>
      <c r="P68" s="482">
        <f t="shared" si="183"/>
        <v>35.861648381926123</v>
      </c>
      <c r="Q68" s="482">
        <f t="shared" si="183"/>
        <v>35.074328023746702</v>
      </c>
      <c r="R68" s="482">
        <f t="shared" si="183"/>
        <v>35.926786339050132</v>
      </c>
      <c r="S68" s="482">
        <f t="shared" si="183"/>
        <v>36.073591531002634</v>
      </c>
      <c r="T68" s="482">
        <f t="shared" si="183"/>
        <v>36.674317941292877</v>
      </c>
      <c r="U68" s="482">
        <f t="shared" si="183"/>
        <v>36.975630139182059</v>
      </c>
      <c r="V68" s="482">
        <f t="shared" si="183"/>
        <v>36.950708577176783</v>
      </c>
      <c r="W68" s="482">
        <f t="shared" si="183"/>
        <v>36.706312246042216</v>
      </c>
      <c r="X68" s="482">
        <f t="shared" si="183"/>
        <v>36.737241222955141</v>
      </c>
      <c r="Y68" s="482">
        <f t="shared" si="183"/>
        <v>36.822931713060683</v>
      </c>
      <c r="Z68" s="482">
        <f t="shared" si="183"/>
        <v>36.936536162269128</v>
      </c>
      <c r="AA68" s="482">
        <f t="shared" si="183"/>
        <v>36.968069435356199</v>
      </c>
      <c r="AB68" s="482">
        <f t="shared" si="183"/>
        <v>37.072613750659634</v>
      </c>
      <c r="AC68" s="482">
        <f t="shared" si="183"/>
        <v>37.406478230870711</v>
      </c>
      <c r="AD68" s="482">
        <f t="shared" si="183"/>
        <v>37.597953943931394</v>
      </c>
      <c r="AE68" s="482">
        <f t="shared" si="183"/>
        <v>37.769102253957783</v>
      </c>
      <c r="AF68" s="482">
        <f t="shared" si="183"/>
        <v>37.892630732849597</v>
      </c>
      <c r="AG68" s="482">
        <f t="shared" si="183"/>
        <v>38.064576153693928</v>
      </c>
      <c r="AH68" s="482">
        <f t="shared" si="183"/>
        <v>38.24699927308707</v>
      </c>
      <c r="AI68" s="482">
        <f t="shared" si="183"/>
        <v>38.482771726912929</v>
      </c>
      <c r="AJ68" s="482">
        <f t="shared" si="183"/>
        <v>38.653685212401051</v>
      </c>
      <c r="AK68" s="482">
        <f t="shared" si="183"/>
        <v>38.945181098284962</v>
      </c>
      <c r="AL68" s="482">
        <f t="shared" si="183"/>
        <v>39.434103021767804</v>
      </c>
      <c r="AM68" s="482">
        <f t="shared" si="183"/>
        <v>39.943878010554087</v>
      </c>
      <c r="AN68" s="482">
        <f t="shared" si="183"/>
        <v>40.396384895778361</v>
      </c>
      <c r="AO68" s="482">
        <f t="shared" si="183"/>
        <v>40.762839359498678</v>
      </c>
      <c r="AP68" s="482">
        <f t="shared" si="183"/>
        <v>41.106692500000001</v>
      </c>
      <c r="AQ68" s="482">
        <f t="shared" si="183"/>
        <v>41.598897658311344</v>
      </c>
      <c r="AR68" s="482">
        <f t="shared" si="183"/>
        <v>41.849125824538255</v>
      </c>
      <c r="AS68" s="732">
        <f t="shared" ref="AS68:BA68" si="189">($BB68-$AR68)/10+AR68</f>
        <v>41.559027079314276</v>
      </c>
      <c r="AT68" s="732">
        <f t="shared" si="189"/>
        <v>41.268928334090297</v>
      </c>
      <c r="AU68" s="732">
        <f t="shared" si="189"/>
        <v>40.978829588866319</v>
      </c>
      <c r="AV68" s="732">
        <f t="shared" si="189"/>
        <v>40.68873084364234</v>
      </c>
      <c r="AW68" s="732">
        <f t="shared" si="189"/>
        <v>40.398632098418361</v>
      </c>
      <c r="AX68" s="732">
        <f t="shared" si="189"/>
        <v>40.108533353194382</v>
      </c>
      <c r="AY68" s="732">
        <f t="shared" si="189"/>
        <v>39.818434607970403</v>
      </c>
      <c r="AZ68" s="732">
        <f t="shared" si="189"/>
        <v>39.528335862746424</v>
      </c>
      <c r="BA68" s="732">
        <f t="shared" si="189"/>
        <v>39.238237117522445</v>
      </c>
      <c r="BB68" s="810">
        <f>'AEO Data'!$B$33*AM68</f>
        <v>38.948138372298473</v>
      </c>
      <c r="BC68" s="732">
        <f>($BQ68-$BB68)/15+BB68</f>
        <v>38.9708304851343</v>
      </c>
      <c r="BD68" s="732">
        <f t="shared" si="180"/>
        <v>38.993522597970127</v>
      </c>
      <c r="BE68" s="732">
        <f t="shared" si="180"/>
        <v>39.016214710805954</v>
      </c>
      <c r="BF68" s="732">
        <f t="shared" si="180"/>
        <v>39.038906823641781</v>
      </c>
      <c r="BG68" s="732">
        <f t="shared" si="180"/>
        <v>39.061598936477608</v>
      </c>
      <c r="BH68" s="732">
        <f t="shared" si="180"/>
        <v>39.084291049313435</v>
      </c>
      <c r="BI68" s="732">
        <f t="shared" si="180"/>
        <v>39.106983162149263</v>
      </c>
      <c r="BJ68" s="732">
        <f t="shared" si="180"/>
        <v>39.12967527498509</v>
      </c>
      <c r="BK68" s="732">
        <f t="shared" si="180"/>
        <v>39.152367387820917</v>
      </c>
      <c r="BL68" s="732">
        <f t="shared" si="180"/>
        <v>39.175059500656744</v>
      </c>
      <c r="BM68" s="732">
        <f t="shared" si="180"/>
        <v>39.197751613492571</v>
      </c>
      <c r="BN68" s="732">
        <f t="shared" si="180"/>
        <v>39.220443726328398</v>
      </c>
      <c r="BO68" s="732">
        <f t="shared" si="180"/>
        <v>39.243135839164225</v>
      </c>
      <c r="BP68" s="732">
        <f t="shared" si="180"/>
        <v>39.265827952000052</v>
      </c>
      <c r="BQ68" s="810">
        <f>'AEO Data'!$C$33*BB68</f>
        <v>39.288520064835851</v>
      </c>
      <c r="BR68" s="815">
        <f t="shared" si="181"/>
        <v>39.262065131259057</v>
      </c>
      <c r="BS68" s="732">
        <f t="shared" si="181"/>
        <v>39.235610197682263</v>
      </c>
      <c r="BT68" s="732">
        <f t="shared" si="181"/>
        <v>39.209155264105469</v>
      </c>
      <c r="BU68" s="732">
        <f t="shared" si="181"/>
        <v>39.182700330528675</v>
      </c>
      <c r="BV68" s="811">
        <f>'AEO Data'!$D$33*BQ68</f>
        <v>39.156245396951888</v>
      </c>
      <c r="BW68" s="1077">
        <f>+BV68*BW$142/BV$142</f>
        <v>39.139004754462078</v>
      </c>
      <c r="BX68" s="1077">
        <f t="shared" ref="BX68:CZ68" si="190">+BW68*BX$142/BW$142</f>
        <v>39.121771703092165</v>
      </c>
      <c r="BY68" s="1077">
        <f t="shared" si="190"/>
        <v>39.104546239499747</v>
      </c>
      <c r="BZ68" s="1077">
        <f t="shared" si="190"/>
        <v>39.087328360343896</v>
      </c>
      <c r="CA68" s="1077">
        <f t="shared" si="190"/>
        <v>39.070118062285161</v>
      </c>
      <c r="CB68" s="1077">
        <f t="shared" si="190"/>
        <v>39.038823507859021</v>
      </c>
      <c r="CC68" s="1077">
        <f t="shared" si="190"/>
        <v>39.007554019882264</v>
      </c>
      <c r="CD68" s="1077">
        <f t="shared" si="190"/>
        <v>38.976309578277061</v>
      </c>
      <c r="CE68" s="1077">
        <f t="shared" si="190"/>
        <v>38.94509016298165</v>
      </c>
      <c r="CF68" s="1077">
        <f t="shared" si="190"/>
        <v>38.913895753950342</v>
      </c>
      <c r="CG68" s="1077">
        <f t="shared" si="190"/>
        <v>38.870923707359104</v>
      </c>
      <c r="CH68" s="1077">
        <f t="shared" si="190"/>
        <v>38.827999114171142</v>
      </c>
      <c r="CI68" s="1077">
        <f t="shared" si="190"/>
        <v>38.785121921984356</v>
      </c>
      <c r="CJ68" s="1077">
        <f t="shared" si="190"/>
        <v>38.742292078454511</v>
      </c>
      <c r="CK68" s="1077">
        <f t="shared" si="190"/>
        <v>38.699509531295178</v>
      </c>
      <c r="CL68" s="1077">
        <f t="shared" si="190"/>
        <v>38.652866099235652</v>
      </c>
      <c r="CM68" s="1077">
        <f t="shared" si="190"/>
        <v>38.606278885194918</v>
      </c>
      <c r="CN68" s="1077">
        <f t="shared" si="190"/>
        <v>38.559747821414987</v>
      </c>
      <c r="CO68" s="1077">
        <f t="shared" si="190"/>
        <v>38.513272840219521</v>
      </c>
      <c r="CP68" s="1077">
        <f t="shared" si="190"/>
        <v>38.466853874013751</v>
      </c>
      <c r="CQ68" s="1077">
        <f t="shared" si="190"/>
        <v>38.413088590063794</v>
      </c>
      <c r="CR68" s="1077">
        <f t="shared" si="190"/>
        <v>38.359398454078047</v>
      </c>
      <c r="CS68" s="1077">
        <f t="shared" si="190"/>
        <v>38.305783361021881</v>
      </c>
      <c r="CT68" s="1077">
        <f t="shared" si="190"/>
        <v>38.252243206007478</v>
      </c>
      <c r="CU68" s="1077">
        <f t="shared" si="190"/>
        <v>38.198777884293627</v>
      </c>
      <c r="CV68" s="1077">
        <f t="shared" si="190"/>
        <v>38.146586211792602</v>
      </c>
      <c r="CW68" s="1077">
        <f t="shared" si="190"/>
        <v>38.094465849705919</v>
      </c>
      <c r="CX68" s="1077">
        <f t="shared" si="190"/>
        <v>38.042416700600896</v>
      </c>
      <c r="CY68" s="1077">
        <f t="shared" si="190"/>
        <v>37.990438667177955</v>
      </c>
      <c r="CZ68" s="1077">
        <f t="shared" si="190"/>
        <v>37.93853165227047</v>
      </c>
    </row>
    <row r="69" spans="1:104" ht="13.8" thickTop="1" x14ac:dyDescent="0.25">
      <c r="D69" s="879"/>
    </row>
    <row r="70" spans="1:104" ht="13.8" thickBot="1" x14ac:dyDescent="0.3">
      <c r="D70" s="879"/>
      <c r="E70" s="814"/>
    </row>
    <row r="71" spans="1:104" s="836" customFormat="1" x14ac:dyDescent="0.25">
      <c r="A71" s="832" t="s">
        <v>1092</v>
      </c>
      <c r="B71" s="833"/>
      <c r="C71" s="834"/>
      <c r="D71" s="1022"/>
      <c r="E71" s="834"/>
      <c r="F71" s="833"/>
      <c r="G71" s="833"/>
      <c r="H71" s="833"/>
      <c r="I71" s="833"/>
      <c r="J71" s="833"/>
      <c r="K71" s="833"/>
      <c r="L71" s="833"/>
      <c r="M71" s="833"/>
      <c r="N71" s="833"/>
      <c r="O71" s="833"/>
      <c r="P71" s="833"/>
      <c r="Q71" s="833"/>
      <c r="R71" s="833"/>
      <c r="S71" s="833"/>
      <c r="T71" s="833"/>
      <c r="U71" s="833"/>
      <c r="V71" s="833"/>
      <c r="W71" s="833"/>
      <c r="X71" s="833"/>
      <c r="Y71" s="833"/>
      <c r="Z71" s="833"/>
      <c r="AA71" s="833"/>
      <c r="AB71" s="833"/>
      <c r="AC71" s="833"/>
      <c r="AD71" s="833"/>
      <c r="AE71" s="833"/>
      <c r="AF71" s="833"/>
      <c r="AG71" s="833"/>
      <c r="AH71" s="833"/>
      <c r="AI71" s="833"/>
      <c r="AJ71" s="833"/>
      <c r="AK71" s="833"/>
      <c r="AL71" s="833"/>
      <c r="AM71" s="833"/>
      <c r="AN71" s="833"/>
      <c r="AO71" s="833"/>
      <c r="AP71" s="833"/>
      <c r="AQ71" s="833"/>
      <c r="AR71" s="833"/>
      <c r="AS71" s="833"/>
      <c r="AT71" s="833"/>
      <c r="AU71" s="833"/>
      <c r="AV71" s="833"/>
      <c r="AW71" s="833"/>
      <c r="AX71" s="833"/>
      <c r="AY71" s="833"/>
      <c r="AZ71" s="833"/>
      <c r="BA71" s="833"/>
      <c r="BB71" s="833"/>
      <c r="BC71" s="833"/>
      <c r="BD71" s="833"/>
      <c r="BE71" s="833"/>
      <c r="BF71" s="833"/>
      <c r="BG71" s="833"/>
      <c r="BH71" s="833"/>
      <c r="BI71" s="833"/>
      <c r="BJ71" s="833"/>
      <c r="BK71" s="833"/>
      <c r="BL71" s="833"/>
      <c r="BM71" s="833"/>
      <c r="BN71" s="833"/>
      <c r="BO71" s="833"/>
      <c r="BP71" s="833"/>
      <c r="BQ71" s="833"/>
      <c r="BR71" s="833"/>
      <c r="BS71" s="833"/>
      <c r="BT71" s="833"/>
      <c r="BU71" s="833"/>
      <c r="BV71" s="835"/>
    </row>
    <row r="72" spans="1:104" s="836" customFormat="1" x14ac:dyDescent="0.25">
      <c r="A72" s="837" t="s">
        <v>1089</v>
      </c>
      <c r="B72" s="838"/>
      <c r="C72" s="839"/>
      <c r="D72" s="1023"/>
      <c r="E72" s="839"/>
      <c r="F72" s="838"/>
      <c r="G72" s="838"/>
      <c r="H72" s="838"/>
      <c r="I72" s="838"/>
      <c r="J72" s="838"/>
      <c r="K72" s="838"/>
      <c r="L72" s="838"/>
      <c r="M72" s="838"/>
      <c r="N72" s="838"/>
      <c r="O72" s="838"/>
      <c r="P72" s="838"/>
      <c r="Q72" s="838"/>
      <c r="R72" s="838"/>
      <c r="S72" s="838"/>
      <c r="T72" s="838"/>
      <c r="U72" s="838"/>
      <c r="V72" s="838"/>
      <c r="W72" s="838"/>
      <c r="X72" s="838"/>
      <c r="Y72" s="838"/>
      <c r="Z72" s="838"/>
      <c r="AA72" s="838"/>
      <c r="AB72" s="838"/>
      <c r="AC72" s="838"/>
      <c r="AD72" s="838"/>
      <c r="AE72" s="838"/>
      <c r="AF72" s="838"/>
      <c r="AG72" s="838"/>
      <c r="AH72" s="838"/>
      <c r="AI72" s="838"/>
      <c r="AJ72" s="838"/>
      <c r="AK72" s="838"/>
      <c r="AL72" s="838"/>
      <c r="AM72" s="838"/>
      <c r="AN72" s="838"/>
      <c r="AO72" s="838"/>
      <c r="AP72" s="838"/>
      <c r="AQ72" s="838"/>
      <c r="AR72" s="838"/>
      <c r="AS72" s="838"/>
      <c r="AT72" s="838"/>
      <c r="AU72" s="838"/>
      <c r="AV72" s="838"/>
      <c r="AW72" s="838"/>
      <c r="AX72" s="838"/>
      <c r="AY72" s="838"/>
      <c r="AZ72" s="838"/>
      <c r="BA72" s="838"/>
      <c r="BB72" s="838"/>
      <c r="BC72" s="838"/>
      <c r="BD72" s="838"/>
      <c r="BE72" s="838"/>
      <c r="BF72" s="838"/>
      <c r="BG72" s="838"/>
      <c r="BH72" s="838"/>
      <c r="BI72" s="838"/>
      <c r="BJ72" s="838"/>
      <c r="BK72" s="838"/>
      <c r="BL72" s="838"/>
      <c r="BM72" s="838"/>
      <c r="BN72" s="838"/>
      <c r="BO72" s="838"/>
      <c r="BP72" s="838"/>
      <c r="BQ72" s="838"/>
      <c r="BR72" s="838"/>
      <c r="BS72" s="838"/>
      <c r="BT72" s="838"/>
      <c r="BU72" s="838"/>
      <c r="BV72" s="840"/>
    </row>
    <row r="73" spans="1:104" s="836" customFormat="1" x14ac:dyDescent="0.25">
      <c r="A73" s="841"/>
      <c r="B73" s="838"/>
      <c r="C73" s="839"/>
      <c r="D73" s="1023"/>
      <c r="E73" s="857"/>
      <c r="F73" s="838"/>
      <c r="G73" s="838"/>
      <c r="H73" s="838"/>
      <c r="I73" s="838"/>
      <c r="J73" s="838"/>
      <c r="K73" s="838"/>
      <c r="L73" s="838"/>
      <c r="M73" s="838"/>
      <c r="N73" s="838"/>
      <c r="O73" s="838"/>
      <c r="P73" s="838"/>
      <c r="Q73" s="838"/>
      <c r="R73" s="838"/>
      <c r="S73" s="838"/>
      <c r="T73" s="838"/>
      <c r="U73" s="838"/>
      <c r="V73" s="838"/>
      <c r="W73" s="838"/>
      <c r="X73" s="838"/>
      <c r="Y73" s="838"/>
      <c r="Z73" s="838"/>
      <c r="AA73" s="838"/>
      <c r="AB73" s="838"/>
      <c r="AC73" s="838"/>
      <c r="AD73" s="838"/>
      <c r="AE73" s="838"/>
      <c r="AF73" s="838"/>
      <c r="AG73" s="838"/>
      <c r="AH73" s="838"/>
      <c r="AI73" s="838"/>
      <c r="AJ73" s="838"/>
      <c r="AK73" s="838"/>
      <c r="AL73" s="838"/>
      <c r="AM73" s="838"/>
      <c r="AN73" s="838"/>
      <c r="AO73" s="838"/>
      <c r="AP73" s="838"/>
      <c r="AQ73" s="838"/>
      <c r="AR73" s="838"/>
      <c r="AS73" s="838"/>
      <c r="AT73" s="838"/>
      <c r="AU73" s="838"/>
      <c r="AV73" s="838"/>
      <c r="AW73" s="838"/>
      <c r="AX73" s="838"/>
      <c r="AY73" s="838"/>
      <c r="AZ73" s="838"/>
      <c r="BA73" s="838"/>
      <c r="BB73" s="838"/>
      <c r="BC73" s="838"/>
      <c r="BD73" s="838"/>
      <c r="BE73" s="838"/>
      <c r="BF73" s="838"/>
      <c r="BG73" s="838"/>
      <c r="BH73" s="838"/>
      <c r="BI73" s="838"/>
      <c r="BJ73" s="838"/>
      <c r="BK73" s="838"/>
      <c r="BL73" s="838"/>
      <c r="BM73" s="838"/>
      <c r="BN73" s="838"/>
      <c r="BO73" s="838"/>
      <c r="BP73" s="838"/>
      <c r="BQ73" s="838"/>
      <c r="BR73" s="838"/>
      <c r="BS73" s="838"/>
      <c r="BT73" s="838"/>
      <c r="BU73" s="838"/>
      <c r="BV73" s="840"/>
    </row>
    <row r="74" spans="1:104" s="836" customFormat="1" x14ac:dyDescent="0.25">
      <c r="A74" s="841" t="s">
        <v>670</v>
      </c>
      <c r="B74" s="838"/>
      <c r="C74" s="839"/>
      <c r="D74" s="1023"/>
      <c r="E74" s="839"/>
      <c r="F74" s="838"/>
      <c r="G74" s="838"/>
      <c r="H74" s="838"/>
      <c r="I74" s="838"/>
      <c r="J74" s="838"/>
      <c r="K74" s="838"/>
      <c r="L74" s="838"/>
      <c r="M74" s="838"/>
      <c r="N74" s="842">
        <v>11.359373</v>
      </c>
      <c r="O74" s="842">
        <v>10.802343</v>
      </c>
      <c r="P74" s="842">
        <v>10.473763999999999</v>
      </c>
      <c r="Q74" s="842">
        <v>10.501935</v>
      </c>
      <c r="R74" s="842">
        <v>10.334021999999999</v>
      </c>
      <c r="S74" s="842">
        <v>10.229792</v>
      </c>
      <c r="T74" s="842">
        <v>10.748874000000001</v>
      </c>
      <c r="U74" s="842">
        <v>11.092333999999999</v>
      </c>
      <c r="V74" s="842">
        <v>11.515472000000001</v>
      </c>
      <c r="W74" s="842">
        <v>11.774895000000001</v>
      </c>
      <c r="X74" s="842">
        <v>11.996413</v>
      </c>
      <c r="Y74" s="842">
        <v>12.209519999999999</v>
      </c>
      <c r="Z74" s="842">
        <v>12.479982</v>
      </c>
      <c r="AA74" s="842">
        <v>12.729352</v>
      </c>
      <c r="AB74" s="842">
        <v>12.853237999999999</v>
      </c>
      <c r="AC74" s="842">
        <v>13.018173000000001</v>
      </c>
      <c r="AD74" s="842">
        <v>13.212711000000001</v>
      </c>
      <c r="AE74" s="842">
        <v>13.366512</v>
      </c>
      <c r="AF74" s="842">
        <v>13.603230999999999</v>
      </c>
      <c r="AG74" s="842">
        <v>13.784504</v>
      </c>
      <c r="AH74" s="842">
        <v>13.991047</v>
      </c>
      <c r="AI74" s="842">
        <v>14.231726</v>
      </c>
      <c r="AJ74" s="842">
        <v>14.577776</v>
      </c>
      <c r="AK74" s="842">
        <v>14.956607999999999</v>
      </c>
      <c r="AL74" s="842">
        <v>15.347963</v>
      </c>
      <c r="AM74" s="842">
        <v>15.708157999999999</v>
      </c>
      <c r="AN74" s="842">
        <v>16.169785000000001</v>
      </c>
      <c r="AO74" s="842">
        <v>16.471478000000001</v>
      </c>
      <c r="AP74" s="842">
        <v>16.949921</v>
      </c>
      <c r="AQ74" s="842">
        <v>17.380462999999999</v>
      </c>
      <c r="AR74" s="842">
        <v>17.673891000000001</v>
      </c>
      <c r="AS74" s="838"/>
      <c r="AT74" s="838"/>
      <c r="AU74" s="838"/>
      <c r="AV74" s="838"/>
      <c r="AW74" s="838"/>
      <c r="AX74" s="838"/>
      <c r="AY74" s="838"/>
      <c r="AZ74" s="838"/>
      <c r="BA74" s="838"/>
      <c r="BB74" s="838"/>
      <c r="BC74" s="838"/>
      <c r="BD74" s="838"/>
      <c r="BE74" s="838"/>
      <c r="BF74" s="838"/>
      <c r="BG74" s="838"/>
      <c r="BH74" s="838"/>
      <c r="BI74" s="838"/>
      <c r="BJ74" s="838"/>
      <c r="BK74" s="838"/>
      <c r="BL74" s="838"/>
      <c r="BM74" s="838"/>
      <c r="BN74" s="838"/>
      <c r="BO74" s="838"/>
      <c r="BP74" s="838"/>
      <c r="BQ74" s="838"/>
      <c r="BR74" s="838"/>
      <c r="BS74" s="838"/>
      <c r="BT74" s="838"/>
      <c r="BU74" s="838"/>
      <c r="BV74" s="840"/>
    </row>
    <row r="75" spans="1:104" s="836" customFormat="1" x14ac:dyDescent="0.25">
      <c r="A75" s="841" t="s">
        <v>1067</v>
      </c>
      <c r="B75" s="838"/>
      <c r="C75" s="839"/>
      <c r="D75" s="1023"/>
      <c r="E75" s="839"/>
      <c r="F75" s="838"/>
      <c r="G75" s="838"/>
      <c r="H75" s="838"/>
      <c r="I75" s="838"/>
      <c r="J75" s="838"/>
      <c r="K75" s="838"/>
      <c r="L75" s="838"/>
      <c r="M75" s="838"/>
      <c r="N75" s="842">
        <v>9.3969749999999994</v>
      </c>
      <c r="O75" s="842">
        <v>8.8368559999999992</v>
      </c>
      <c r="P75" s="842">
        <v>8.081448</v>
      </c>
      <c r="Q75" s="842">
        <v>8.4844790000000003</v>
      </c>
      <c r="R75" s="842">
        <v>8.3155520000000003</v>
      </c>
      <c r="S75" s="842">
        <v>8.1773039999999995</v>
      </c>
      <c r="T75" s="842">
        <v>8.6431299999999993</v>
      </c>
      <c r="U75" s="842">
        <v>8.9205120000000004</v>
      </c>
      <c r="V75" s="842">
        <v>9.2811249999999994</v>
      </c>
      <c r="W75" s="842">
        <v>9.4920469999999995</v>
      </c>
      <c r="X75" s="842">
        <v>9.6757190000000008</v>
      </c>
      <c r="Y75" s="842">
        <v>9.8498520000000003</v>
      </c>
      <c r="Z75" s="842">
        <v>10.083444999999999</v>
      </c>
      <c r="AA75" s="842">
        <v>10.292596</v>
      </c>
      <c r="AB75" s="842">
        <v>10.386177</v>
      </c>
      <c r="AC75" s="842">
        <v>10.522978999999999</v>
      </c>
      <c r="AD75" s="842">
        <v>10.688981999999999</v>
      </c>
      <c r="AE75" s="842">
        <v>10.803459999999999</v>
      </c>
      <c r="AF75" s="842">
        <v>10.994071</v>
      </c>
      <c r="AG75" s="842">
        <v>11.132752999999999</v>
      </c>
      <c r="AH75" s="842">
        <v>11.290343</v>
      </c>
      <c r="AI75" s="842">
        <v>11.483471</v>
      </c>
      <c r="AJ75" s="842">
        <v>11.774739</v>
      </c>
      <c r="AK75" s="842">
        <v>12.104623999999999</v>
      </c>
      <c r="AL75" s="842">
        <v>12.443429</v>
      </c>
      <c r="AM75" s="842">
        <v>12.746489</v>
      </c>
      <c r="AN75" s="842">
        <v>13.159888</v>
      </c>
      <c r="AO75" s="842">
        <v>13.417020000000001</v>
      </c>
      <c r="AP75" s="842">
        <v>13.853782000000001</v>
      </c>
      <c r="AQ75" s="842">
        <v>14.239846</v>
      </c>
      <c r="AR75" s="842">
        <v>14.480893</v>
      </c>
      <c r="AS75" s="838"/>
      <c r="AT75" s="838"/>
      <c r="AU75" s="838"/>
      <c r="AV75" s="838"/>
      <c r="AW75" s="838"/>
      <c r="AX75" s="838"/>
      <c r="AY75" s="838"/>
      <c r="AZ75" s="838"/>
      <c r="BA75" s="838"/>
      <c r="BB75" s="838"/>
      <c r="BC75" s="838"/>
      <c r="BD75" s="838"/>
      <c r="BE75" s="838"/>
      <c r="BF75" s="838"/>
      <c r="BG75" s="838"/>
      <c r="BH75" s="838"/>
      <c r="BI75" s="838"/>
      <c r="BJ75" s="838"/>
      <c r="BK75" s="838"/>
      <c r="BL75" s="838"/>
      <c r="BM75" s="838"/>
      <c r="BN75" s="838"/>
      <c r="BO75" s="838"/>
      <c r="BP75" s="838"/>
      <c r="BQ75" s="838"/>
      <c r="BR75" s="838"/>
      <c r="BS75" s="838"/>
      <c r="BT75" s="838"/>
      <c r="BU75" s="838"/>
      <c r="BV75" s="840"/>
    </row>
    <row r="76" spans="1:104" s="836" customFormat="1" x14ac:dyDescent="0.25">
      <c r="A76" s="841" t="s">
        <v>282</v>
      </c>
      <c r="B76" s="838"/>
      <c r="C76" s="839"/>
      <c r="D76" s="1023"/>
      <c r="E76" s="839"/>
      <c r="F76" s="838"/>
      <c r="G76" s="838"/>
      <c r="H76" s="838"/>
      <c r="I76" s="838"/>
      <c r="J76" s="838"/>
      <c r="K76" s="838"/>
      <c r="L76" s="838"/>
      <c r="M76" s="838"/>
      <c r="N76" s="842">
        <v>5.4839570000000002</v>
      </c>
      <c r="O76" s="842">
        <v>4.8889880000000003</v>
      </c>
      <c r="P76" s="842">
        <v>3.7668759999999999</v>
      </c>
      <c r="Q76" s="842">
        <v>4.3500249999999996</v>
      </c>
      <c r="R76" s="842">
        <v>4.4161510000000002</v>
      </c>
      <c r="S76" s="842">
        <v>4.4533610000000001</v>
      </c>
      <c r="T76" s="842">
        <v>4.916512</v>
      </c>
      <c r="U76" s="842">
        <v>5.1321560000000002</v>
      </c>
      <c r="V76" s="842">
        <v>5.3872429999999998</v>
      </c>
      <c r="W76" s="842">
        <v>5.5533659999999996</v>
      </c>
      <c r="X76" s="842">
        <v>5.6994189999999998</v>
      </c>
      <c r="Y76" s="842">
        <v>5.84443</v>
      </c>
      <c r="Z76" s="842">
        <v>6.055364</v>
      </c>
      <c r="AA76" s="842">
        <v>6.2505249999999997</v>
      </c>
      <c r="AB76" s="842">
        <v>6.3249610000000001</v>
      </c>
      <c r="AC76" s="842">
        <v>6.4443630000000001</v>
      </c>
      <c r="AD76" s="842">
        <v>6.5689469999999996</v>
      </c>
      <c r="AE76" s="842">
        <v>6.6624569999999999</v>
      </c>
      <c r="AF76" s="842">
        <v>6.8533949999999999</v>
      </c>
      <c r="AG76" s="842">
        <v>6.9821</v>
      </c>
      <c r="AH76" s="842">
        <v>7.1203779999999997</v>
      </c>
      <c r="AI76" s="842">
        <v>7.3037179999999999</v>
      </c>
      <c r="AJ76" s="842">
        <v>7.5896039999999996</v>
      </c>
      <c r="AK76" s="842">
        <v>7.9110909999999999</v>
      </c>
      <c r="AL76" s="842">
        <v>8.2410040000000002</v>
      </c>
      <c r="AM76" s="842">
        <v>8.5300290000000007</v>
      </c>
      <c r="AN76" s="842">
        <v>8.90123</v>
      </c>
      <c r="AO76" s="842">
        <v>9.1114479999999993</v>
      </c>
      <c r="AP76" s="842">
        <v>9.4914550000000002</v>
      </c>
      <c r="AQ76" s="842">
        <v>9.8126739999999995</v>
      </c>
      <c r="AR76" s="842">
        <v>10.012231</v>
      </c>
      <c r="AS76" s="838"/>
      <c r="AT76" s="838"/>
      <c r="AU76" s="838"/>
      <c r="AV76" s="838"/>
      <c r="AW76" s="838"/>
      <c r="AX76" s="838"/>
      <c r="AY76" s="838"/>
      <c r="AZ76" s="838"/>
      <c r="BA76" s="838"/>
      <c r="BB76" s="838"/>
      <c r="BC76" s="838"/>
      <c r="BD76" s="838"/>
      <c r="BE76" s="838"/>
      <c r="BF76" s="838"/>
      <c r="BG76" s="838"/>
      <c r="BH76" s="838"/>
      <c r="BI76" s="838"/>
      <c r="BJ76" s="838"/>
      <c r="BK76" s="838"/>
      <c r="BL76" s="838"/>
      <c r="BM76" s="838"/>
      <c r="BN76" s="838"/>
      <c r="BO76" s="838"/>
      <c r="BP76" s="838"/>
      <c r="BQ76" s="838"/>
      <c r="BR76" s="838"/>
      <c r="BS76" s="838"/>
      <c r="BT76" s="838"/>
      <c r="BU76" s="838"/>
      <c r="BV76" s="840"/>
    </row>
    <row r="77" spans="1:104" s="836" customFormat="1" x14ac:dyDescent="0.25">
      <c r="A77" s="843" t="str">
        <f>'HyARC Physical Property Data'!$A$74</f>
        <v>Electric Utility Natural Gas</v>
      </c>
      <c r="B77" s="838"/>
      <c r="C77" s="839"/>
      <c r="D77" s="1023"/>
      <c r="E77" s="839"/>
      <c r="F77" s="838"/>
      <c r="G77" s="838"/>
      <c r="H77" s="838"/>
      <c r="I77" s="838"/>
      <c r="J77" s="838"/>
      <c r="K77" s="838"/>
      <c r="L77" s="838"/>
      <c r="M77" s="838"/>
      <c r="N77" s="842">
        <v>5.2581660000000001</v>
      </c>
      <c r="O77" s="842">
        <v>4.7747140000000003</v>
      </c>
      <c r="P77" s="842">
        <v>3.3280129999999999</v>
      </c>
      <c r="Q77" s="842">
        <v>3.7262059999999999</v>
      </c>
      <c r="R77" s="842">
        <v>3.8342619999999998</v>
      </c>
      <c r="S77" s="842">
        <v>3.9162499999999998</v>
      </c>
      <c r="T77" s="842">
        <v>4.3469340000000001</v>
      </c>
      <c r="U77" s="842">
        <v>4.5235139999999996</v>
      </c>
      <c r="V77" s="842">
        <v>4.7720750000000001</v>
      </c>
      <c r="W77" s="842">
        <v>4.9304030000000001</v>
      </c>
      <c r="X77" s="842">
        <v>5.0667330000000002</v>
      </c>
      <c r="Y77" s="842">
        <v>5.2030240000000001</v>
      </c>
      <c r="Z77" s="842">
        <v>5.4141339999999998</v>
      </c>
      <c r="AA77" s="842">
        <v>5.6120320000000001</v>
      </c>
      <c r="AB77" s="842">
        <v>5.7180549999999997</v>
      </c>
      <c r="AC77" s="842">
        <v>5.8497880000000002</v>
      </c>
      <c r="AD77" s="842">
        <v>5.9964360000000001</v>
      </c>
      <c r="AE77" s="842">
        <v>6.1136410000000003</v>
      </c>
      <c r="AF77" s="842">
        <v>6.2808900000000003</v>
      </c>
      <c r="AG77" s="842">
        <v>6.4099190000000004</v>
      </c>
      <c r="AH77" s="842">
        <v>6.5488220000000004</v>
      </c>
      <c r="AI77" s="842">
        <v>6.7307620000000004</v>
      </c>
      <c r="AJ77" s="842">
        <v>7.0166529999999998</v>
      </c>
      <c r="AK77" s="842">
        <v>7.3227570000000002</v>
      </c>
      <c r="AL77" s="842">
        <v>7.6342280000000002</v>
      </c>
      <c r="AM77" s="842">
        <v>7.902755</v>
      </c>
      <c r="AN77" s="842">
        <v>8.2651950000000003</v>
      </c>
      <c r="AO77" s="842">
        <v>8.4774010000000004</v>
      </c>
      <c r="AP77" s="842">
        <v>8.8551400000000005</v>
      </c>
      <c r="AQ77" s="842">
        <v>9.1715459999999993</v>
      </c>
      <c r="AR77" s="842">
        <v>9.3359030000000001</v>
      </c>
      <c r="AS77" s="838"/>
      <c r="AT77" s="838"/>
      <c r="AU77" s="838"/>
      <c r="AV77" s="838"/>
      <c r="AW77" s="838"/>
      <c r="AX77" s="838"/>
      <c r="AY77" s="838"/>
      <c r="AZ77" s="838"/>
      <c r="BA77" s="838"/>
      <c r="BB77" s="838"/>
      <c r="BC77" s="838"/>
      <c r="BD77" s="838"/>
      <c r="BE77" s="838"/>
      <c r="BF77" s="838"/>
      <c r="BG77" s="838"/>
      <c r="BH77" s="838"/>
      <c r="BI77" s="838"/>
      <c r="BJ77" s="838"/>
      <c r="BK77" s="838"/>
      <c r="BL77" s="838"/>
      <c r="BM77" s="838"/>
      <c r="BN77" s="838"/>
      <c r="BO77" s="838"/>
      <c r="BP77" s="838"/>
      <c r="BQ77" s="838"/>
      <c r="BR77" s="838"/>
      <c r="BS77" s="838"/>
      <c r="BT77" s="838"/>
      <c r="BU77" s="838"/>
      <c r="BV77" s="840"/>
    </row>
    <row r="78" spans="1:104" s="836" customFormat="1" x14ac:dyDescent="0.25">
      <c r="A78" s="843" t="s">
        <v>1063</v>
      </c>
      <c r="B78" s="838"/>
      <c r="C78" s="839"/>
      <c r="D78" s="1023"/>
      <c r="E78" s="839"/>
      <c r="F78" s="838"/>
      <c r="G78" s="838"/>
      <c r="H78" s="838"/>
      <c r="I78" s="838"/>
      <c r="J78" s="838"/>
      <c r="K78" s="838"/>
      <c r="L78" s="838"/>
      <c r="M78" s="838"/>
      <c r="N78" s="842"/>
      <c r="O78" s="842"/>
      <c r="P78" s="842"/>
      <c r="Q78" s="842"/>
      <c r="R78" s="842"/>
      <c r="S78" s="842"/>
      <c r="T78" s="842"/>
      <c r="U78" s="842"/>
      <c r="V78" s="842"/>
      <c r="W78" s="842"/>
      <c r="X78" s="842"/>
      <c r="Y78" s="842"/>
      <c r="Z78" s="842"/>
      <c r="AA78" s="842"/>
      <c r="AB78" s="842"/>
      <c r="AC78" s="842"/>
      <c r="AD78" s="842"/>
      <c r="AE78" s="842"/>
      <c r="AF78" s="842"/>
      <c r="AG78" s="842"/>
      <c r="AH78" s="842"/>
      <c r="AI78" s="842"/>
      <c r="AJ78" s="842"/>
      <c r="AK78" s="842"/>
      <c r="AL78" s="842"/>
      <c r="AM78" s="842"/>
      <c r="AN78" s="842"/>
      <c r="AO78" s="842"/>
      <c r="AP78" s="842"/>
      <c r="AQ78" s="842"/>
      <c r="AR78" s="842"/>
      <c r="AS78" s="838"/>
      <c r="AT78" s="838"/>
      <c r="AU78" s="838"/>
      <c r="AV78" s="838"/>
      <c r="AW78" s="838"/>
      <c r="AX78" s="838"/>
      <c r="AY78" s="838"/>
      <c r="AZ78" s="838"/>
      <c r="BA78" s="838"/>
      <c r="BB78" s="838"/>
      <c r="BC78" s="838"/>
      <c r="BD78" s="838"/>
      <c r="BE78" s="838"/>
      <c r="BF78" s="838"/>
      <c r="BG78" s="838"/>
      <c r="BH78" s="838"/>
      <c r="BI78" s="838"/>
      <c r="BJ78" s="838"/>
      <c r="BK78" s="838"/>
      <c r="BL78" s="838"/>
      <c r="BM78" s="838"/>
      <c r="BN78" s="838"/>
      <c r="BO78" s="838"/>
      <c r="BP78" s="838"/>
      <c r="BQ78" s="838"/>
      <c r="BR78" s="838"/>
      <c r="BS78" s="838"/>
      <c r="BT78" s="838"/>
      <c r="BU78" s="838"/>
      <c r="BV78" s="840"/>
    </row>
    <row r="79" spans="1:104" s="836" customFormat="1" x14ac:dyDescent="0.25">
      <c r="A79" s="841" t="s">
        <v>1069</v>
      </c>
      <c r="B79" s="838"/>
      <c r="C79" s="839"/>
      <c r="D79" s="1023"/>
      <c r="E79" s="839"/>
      <c r="F79" s="838"/>
      <c r="G79" s="838"/>
      <c r="H79" s="838"/>
      <c r="I79" s="838"/>
      <c r="J79" s="838"/>
      <c r="K79" s="838"/>
      <c r="L79" s="838"/>
      <c r="M79" s="838"/>
      <c r="N79" s="842">
        <v>2.2979889999999998</v>
      </c>
      <c r="O79" s="842">
        <v>2.38</v>
      </c>
      <c r="P79" s="842">
        <v>2.414561</v>
      </c>
      <c r="Q79" s="842">
        <v>2.3313350000000002</v>
      </c>
      <c r="R79" s="842">
        <v>2.4666779999999999</v>
      </c>
      <c r="S79" s="842">
        <v>2.490294</v>
      </c>
      <c r="T79" s="842">
        <v>2.5700569999999998</v>
      </c>
      <c r="U79" s="842">
        <v>2.5762320000000001</v>
      </c>
      <c r="V79" s="842">
        <v>2.594992</v>
      </c>
      <c r="W79" s="842">
        <v>2.6086049999999998</v>
      </c>
      <c r="X79" s="842">
        <v>2.6433580000000001</v>
      </c>
      <c r="Y79" s="842">
        <v>2.6708150000000002</v>
      </c>
      <c r="Z79" s="842">
        <v>2.7142179999999998</v>
      </c>
      <c r="AA79" s="842">
        <v>2.74918</v>
      </c>
      <c r="AB79" s="842">
        <v>2.7884579999999999</v>
      </c>
      <c r="AC79" s="842">
        <v>2.8318759999999998</v>
      </c>
      <c r="AD79" s="842">
        <v>2.8692139999999999</v>
      </c>
      <c r="AE79" s="842">
        <v>2.899435</v>
      </c>
      <c r="AF79" s="842">
        <v>2.9368029999999998</v>
      </c>
      <c r="AG79" s="842">
        <v>2.9781219999999999</v>
      </c>
      <c r="AH79" s="842">
        <v>3.0179510000000001</v>
      </c>
      <c r="AI79" s="842">
        <v>3.0527350000000002</v>
      </c>
      <c r="AJ79" s="842">
        <v>3.090319</v>
      </c>
      <c r="AK79" s="842">
        <v>3.1298509999999999</v>
      </c>
      <c r="AL79" s="842">
        <v>3.1705510000000001</v>
      </c>
      <c r="AM79" s="842">
        <v>3.2163840000000001</v>
      </c>
      <c r="AN79" s="842">
        <v>3.2516949999999998</v>
      </c>
      <c r="AO79" s="842">
        <v>3.2783180000000001</v>
      </c>
      <c r="AP79" s="842">
        <v>3.3114089999999998</v>
      </c>
      <c r="AQ79" s="842">
        <v>3.3562150000000002</v>
      </c>
      <c r="AR79" s="842">
        <v>3.398895</v>
      </c>
      <c r="AS79" s="838"/>
      <c r="AT79" s="838"/>
      <c r="AU79" s="838"/>
      <c r="AV79" s="838"/>
      <c r="AW79" s="838"/>
      <c r="AX79" s="838"/>
      <c r="AY79" s="838"/>
      <c r="AZ79" s="838"/>
      <c r="BA79" s="838"/>
      <c r="BB79" s="838"/>
      <c r="BC79" s="838"/>
      <c r="BD79" s="838"/>
      <c r="BE79" s="838"/>
      <c r="BF79" s="838"/>
      <c r="BG79" s="838"/>
      <c r="BH79" s="838"/>
      <c r="BI79" s="838"/>
      <c r="BJ79" s="838"/>
      <c r="BK79" s="838"/>
      <c r="BL79" s="838"/>
      <c r="BM79" s="838"/>
      <c r="BN79" s="838"/>
      <c r="BO79" s="838"/>
      <c r="BP79" s="838"/>
      <c r="BQ79" s="838"/>
      <c r="BR79" s="838"/>
      <c r="BS79" s="838"/>
      <c r="BT79" s="838"/>
      <c r="BU79" s="838"/>
      <c r="BV79" s="840"/>
    </row>
    <row r="80" spans="1:104" s="836" customFormat="1" x14ac:dyDescent="0.25">
      <c r="A80" s="841" t="s">
        <v>672</v>
      </c>
      <c r="B80" s="838"/>
      <c r="C80" s="839"/>
      <c r="D80" s="1023"/>
      <c r="E80" s="839"/>
      <c r="F80" s="838"/>
      <c r="G80" s="838"/>
      <c r="H80" s="838"/>
      <c r="I80" s="838"/>
      <c r="J80" s="838"/>
      <c r="K80" s="838"/>
      <c r="L80" s="838"/>
      <c r="M80" s="838"/>
      <c r="N80" s="842">
        <v>30.492578999999999</v>
      </c>
      <c r="O80" s="842">
        <v>29.980651999999999</v>
      </c>
      <c r="P80" s="842">
        <v>28.501187999999999</v>
      </c>
      <c r="Q80" s="842">
        <v>27.791989999999998</v>
      </c>
      <c r="R80" s="842">
        <v>28.177313000000002</v>
      </c>
      <c r="S80" s="842">
        <v>28.139455999999999</v>
      </c>
      <c r="T80" s="842">
        <v>28.689319999999999</v>
      </c>
      <c r="U80" s="842">
        <v>29.024557000000001</v>
      </c>
      <c r="V80" s="842">
        <v>29.108899999999998</v>
      </c>
      <c r="W80" s="842">
        <v>28.975003999999998</v>
      </c>
      <c r="X80" s="842">
        <v>29.041111000000001</v>
      </c>
      <c r="Y80" s="842">
        <v>29.162209000000001</v>
      </c>
      <c r="Z80" s="842">
        <v>29.247681</v>
      </c>
      <c r="AA80" s="842">
        <v>29.196009</v>
      </c>
      <c r="AB80" s="842">
        <v>29.115604000000001</v>
      </c>
      <c r="AC80" s="842">
        <v>29.201962000000002</v>
      </c>
      <c r="AD80" s="842">
        <v>29.178121999999998</v>
      </c>
      <c r="AE80" s="842">
        <v>29.212776000000002</v>
      </c>
      <c r="AF80" s="842">
        <v>29.214404999999999</v>
      </c>
      <c r="AG80" s="842">
        <v>29.344874999999998</v>
      </c>
      <c r="AH80" s="842">
        <v>29.550170999999999</v>
      </c>
      <c r="AI80" s="842">
        <v>29.794819</v>
      </c>
      <c r="AJ80" s="842">
        <v>29.957190000000001</v>
      </c>
      <c r="AK80" s="842">
        <v>30.275618000000001</v>
      </c>
      <c r="AL80" s="842">
        <v>30.801399</v>
      </c>
      <c r="AM80" s="842">
        <v>31.291125999999998</v>
      </c>
      <c r="AN80" s="842">
        <v>31.806963</v>
      </c>
      <c r="AO80" s="842">
        <v>32.268535999999997</v>
      </c>
      <c r="AP80" s="842">
        <v>32.667476999999998</v>
      </c>
      <c r="AQ80" s="842">
        <v>33.223427000000001</v>
      </c>
      <c r="AR80" s="842">
        <v>33.577624999999998</v>
      </c>
      <c r="AS80" s="838"/>
      <c r="AT80" s="838"/>
      <c r="AU80" s="838"/>
      <c r="AV80" s="838"/>
      <c r="AW80" s="838"/>
      <c r="AX80" s="838"/>
      <c r="AY80" s="838"/>
      <c r="AZ80" s="838"/>
      <c r="BA80" s="838"/>
      <c r="BB80" s="838"/>
      <c r="BC80" s="838"/>
      <c r="BD80" s="838"/>
      <c r="BE80" s="838"/>
      <c r="BF80" s="838"/>
      <c r="BG80" s="838"/>
      <c r="BH80" s="838"/>
      <c r="BI80" s="838"/>
      <c r="BJ80" s="838"/>
      <c r="BK80" s="838"/>
      <c r="BL80" s="838"/>
      <c r="BM80" s="838"/>
      <c r="BN80" s="838"/>
      <c r="BO80" s="838"/>
      <c r="BP80" s="838"/>
      <c r="BQ80" s="838"/>
      <c r="BR80" s="838"/>
      <c r="BS80" s="838"/>
      <c r="BT80" s="838"/>
      <c r="BU80" s="838"/>
      <c r="BV80" s="840"/>
    </row>
    <row r="81" spans="1:104" s="836" customFormat="1" x14ac:dyDescent="0.25">
      <c r="A81" s="841" t="s">
        <v>687</v>
      </c>
      <c r="B81" s="838"/>
      <c r="C81" s="839"/>
      <c r="D81" s="1023"/>
      <c r="E81" s="839"/>
      <c r="F81" s="838"/>
      <c r="G81" s="838"/>
      <c r="H81" s="838"/>
      <c r="I81" s="838"/>
      <c r="J81" s="838"/>
      <c r="K81" s="838"/>
      <c r="L81" s="838"/>
      <c r="M81" s="838"/>
      <c r="N81" s="842">
        <v>20.260445000000001</v>
      </c>
      <c r="O81" s="842">
        <v>19.975721</v>
      </c>
      <c r="P81" s="842">
        <v>18.454588000000001</v>
      </c>
      <c r="Q81" s="842">
        <v>18.157667</v>
      </c>
      <c r="R81" s="842">
        <v>18.271274999999999</v>
      </c>
      <c r="S81" s="842">
        <v>18.191776000000001</v>
      </c>
      <c r="T81" s="842">
        <v>18.703628999999999</v>
      </c>
      <c r="U81" s="842">
        <v>19.002967999999999</v>
      </c>
      <c r="V81" s="842">
        <v>19.096264000000001</v>
      </c>
      <c r="W81" s="842">
        <v>19.050228000000001</v>
      </c>
      <c r="X81" s="842">
        <v>19.095860999999999</v>
      </c>
      <c r="Y81" s="842">
        <v>19.252116999999998</v>
      </c>
      <c r="Z81" s="842">
        <v>19.422526999999999</v>
      </c>
      <c r="AA81" s="842">
        <v>19.539289</v>
      </c>
      <c r="AB81" s="842">
        <v>19.565339999999999</v>
      </c>
      <c r="AC81" s="842">
        <v>19.722131999999998</v>
      </c>
      <c r="AD81" s="842">
        <v>19.810991000000001</v>
      </c>
      <c r="AE81" s="842">
        <v>19.943812999999999</v>
      </c>
      <c r="AF81" s="842">
        <v>20.046423000000001</v>
      </c>
      <c r="AG81" s="842">
        <v>20.238405</v>
      </c>
      <c r="AH81" s="842">
        <v>20.421748999999998</v>
      </c>
      <c r="AI81" s="842">
        <v>20.607520999999998</v>
      </c>
      <c r="AJ81" s="842">
        <v>20.839410999999998</v>
      </c>
      <c r="AK81" s="842">
        <v>21.176966</v>
      </c>
      <c r="AL81" s="842">
        <v>21.628757</v>
      </c>
      <c r="AM81" s="842">
        <v>22.108962999999999</v>
      </c>
      <c r="AN81" s="842">
        <v>22.567038</v>
      </c>
      <c r="AO81" s="842">
        <v>22.990486000000001</v>
      </c>
      <c r="AP81" s="842">
        <v>23.379736000000001</v>
      </c>
      <c r="AQ81" s="842">
        <v>23.871493999999998</v>
      </c>
      <c r="AR81" s="842">
        <v>24.167221000000001</v>
      </c>
      <c r="AS81" s="838"/>
      <c r="AT81" s="838"/>
      <c r="AU81" s="838"/>
      <c r="AV81" s="838"/>
      <c r="AW81" s="838"/>
      <c r="AX81" s="838"/>
      <c r="AY81" s="838"/>
      <c r="AZ81" s="838"/>
      <c r="BA81" s="838"/>
      <c r="BB81" s="838"/>
      <c r="BC81" s="838"/>
      <c r="BD81" s="838"/>
      <c r="BE81" s="838"/>
      <c r="BF81" s="838"/>
      <c r="BG81" s="838"/>
      <c r="BH81" s="838"/>
      <c r="BI81" s="838"/>
      <c r="BJ81" s="838"/>
      <c r="BK81" s="838"/>
      <c r="BL81" s="838"/>
      <c r="BM81" s="838"/>
      <c r="BN81" s="838"/>
      <c r="BO81" s="838"/>
      <c r="BP81" s="838"/>
      <c r="BQ81" s="838"/>
      <c r="BR81" s="838"/>
      <c r="BS81" s="838"/>
      <c r="BT81" s="838"/>
      <c r="BU81" s="838"/>
      <c r="BV81" s="840"/>
    </row>
    <row r="82" spans="1:104" s="836" customFormat="1" ht="13.8" thickBot="1" x14ac:dyDescent="0.3">
      <c r="A82" s="845" t="s">
        <v>673</v>
      </c>
      <c r="B82" s="846"/>
      <c r="C82" s="847"/>
      <c r="D82" s="1024"/>
      <c r="E82" s="847"/>
      <c r="F82" s="846"/>
      <c r="G82" s="846"/>
      <c r="H82" s="846"/>
      <c r="I82" s="846"/>
      <c r="J82" s="846"/>
      <c r="K82" s="846"/>
      <c r="L82" s="846"/>
      <c r="M82" s="846"/>
      <c r="N82" s="848">
        <v>34.522823000000002</v>
      </c>
      <c r="O82" s="848">
        <v>34.335875999999999</v>
      </c>
      <c r="P82" s="848">
        <v>33.292259000000001</v>
      </c>
      <c r="Q82" s="848">
        <v>32.561348000000002</v>
      </c>
      <c r="R82" s="848">
        <v>33.352730000000001</v>
      </c>
      <c r="S82" s="848">
        <v>33.489016999999997</v>
      </c>
      <c r="T82" s="848">
        <v>34.046703000000001</v>
      </c>
      <c r="U82" s="848">
        <v>34.326427000000002</v>
      </c>
      <c r="V82" s="848">
        <v>34.303291000000002</v>
      </c>
      <c r="W82" s="848">
        <v>34.076405000000001</v>
      </c>
      <c r="X82" s="848">
        <v>34.105117999999997</v>
      </c>
      <c r="Y82" s="848">
        <v>34.184669</v>
      </c>
      <c r="Z82" s="848">
        <v>34.290134000000002</v>
      </c>
      <c r="AA82" s="848">
        <v>34.319408000000003</v>
      </c>
      <c r="AB82" s="848">
        <v>34.416462000000003</v>
      </c>
      <c r="AC82" s="848">
        <v>34.726405999999997</v>
      </c>
      <c r="AD82" s="848">
        <v>34.904162999999997</v>
      </c>
      <c r="AE82" s="848">
        <v>35.063048999999999</v>
      </c>
      <c r="AF82" s="848">
        <v>35.177726999999997</v>
      </c>
      <c r="AG82" s="848">
        <v>35.337353</v>
      </c>
      <c r="AH82" s="848">
        <v>35.506706000000001</v>
      </c>
      <c r="AI82" s="848">
        <v>35.725586</v>
      </c>
      <c r="AJ82" s="848">
        <v>35.884253999999999</v>
      </c>
      <c r="AK82" s="848">
        <v>36.154865000000001</v>
      </c>
      <c r="AL82" s="848">
        <v>36.608756999999997</v>
      </c>
      <c r="AM82" s="848">
        <v>37.082008000000002</v>
      </c>
      <c r="AN82" s="848">
        <v>37.502094</v>
      </c>
      <c r="AO82" s="848">
        <v>37.842292999999998</v>
      </c>
      <c r="AP82" s="848">
        <v>38.16151</v>
      </c>
      <c r="AQ82" s="848">
        <v>38.618450000000003</v>
      </c>
      <c r="AR82" s="848">
        <v>38.850749999999998</v>
      </c>
      <c r="AS82" s="846"/>
      <c r="AT82" s="846"/>
      <c r="AU82" s="846"/>
      <c r="AV82" s="846"/>
      <c r="AW82" s="846"/>
      <c r="AX82" s="846"/>
      <c r="AY82" s="846"/>
      <c r="AZ82" s="846"/>
      <c r="BA82" s="846"/>
      <c r="BB82" s="846"/>
      <c r="BC82" s="846"/>
      <c r="BD82" s="846"/>
      <c r="BE82" s="846"/>
      <c r="BF82" s="846"/>
      <c r="BG82" s="846"/>
      <c r="BH82" s="846"/>
      <c r="BI82" s="846"/>
      <c r="BJ82" s="846"/>
      <c r="BK82" s="846"/>
      <c r="BL82" s="846"/>
      <c r="BM82" s="846"/>
      <c r="BN82" s="846"/>
      <c r="BO82" s="846"/>
      <c r="BP82" s="846"/>
      <c r="BQ82" s="846"/>
      <c r="BR82" s="846"/>
      <c r="BS82" s="846"/>
      <c r="BT82" s="846"/>
      <c r="BU82" s="846"/>
      <c r="BV82" s="849"/>
    </row>
    <row r="83" spans="1:104" x14ac:dyDescent="0.25">
      <c r="D83" s="879"/>
      <c r="E83" s="814"/>
    </row>
    <row r="84" spans="1:104" x14ac:dyDescent="0.25">
      <c r="D84" s="879"/>
    </row>
    <row r="85" spans="1:104" ht="13.8" thickBot="1" x14ac:dyDescent="0.3">
      <c r="D85" s="879"/>
    </row>
    <row r="86" spans="1:104" ht="13.8" thickTop="1" x14ac:dyDescent="0.25">
      <c r="A86" s="719" t="s">
        <v>1087</v>
      </c>
      <c r="B86" s="720" t="str">
        <f>"Prices are in $(" &amp; ref_year&amp;")/GJ LHV"</f>
        <v>Prices are in $(2016)/GJ LHV</v>
      </c>
      <c r="C86" s="720"/>
      <c r="D86" s="1025"/>
      <c r="E86" s="720"/>
      <c r="F86" s="721"/>
      <c r="G86" s="721"/>
      <c r="H86" s="721"/>
      <c r="I86" s="721"/>
      <c r="J86" s="721"/>
      <c r="K86" s="721"/>
      <c r="L86" s="721"/>
      <c r="M86" s="721"/>
      <c r="N86" s="721"/>
      <c r="O86" s="721"/>
      <c r="P86" s="721"/>
      <c r="Q86" s="721"/>
      <c r="R86" s="721"/>
      <c r="S86" s="721"/>
      <c r="T86" s="721"/>
      <c r="U86" s="721"/>
      <c r="V86" s="721"/>
      <c r="W86" s="721"/>
      <c r="X86" s="721"/>
      <c r="Y86" s="721"/>
      <c r="Z86" s="721"/>
      <c r="AA86" s="721"/>
      <c r="AB86" s="721"/>
      <c r="AC86" s="721"/>
      <c r="AD86" s="721"/>
      <c r="AE86" s="721"/>
      <c r="AF86" s="721"/>
      <c r="AG86" s="721"/>
      <c r="AH86" s="721"/>
      <c r="AI86" s="721"/>
      <c r="AJ86" s="721"/>
      <c r="AK86" s="721"/>
      <c r="AL86" s="721"/>
      <c r="AM86" s="721"/>
      <c r="AN86" s="721"/>
      <c r="AO86" s="721"/>
      <c r="AP86" s="721"/>
      <c r="AQ86" s="721"/>
      <c r="AR86" s="721"/>
      <c r="AS86" s="734" t="s">
        <v>761</v>
      </c>
      <c r="AT86" s="735"/>
      <c r="AU86" s="735"/>
      <c r="AV86" s="735"/>
      <c r="AW86" s="735"/>
      <c r="AX86" s="735"/>
      <c r="AY86" s="735"/>
      <c r="AZ86" s="735"/>
      <c r="BA86" s="735"/>
      <c r="BB86" s="735"/>
      <c r="BC86" s="735"/>
      <c r="BD86" s="735"/>
      <c r="BE86" s="735"/>
      <c r="BF86" s="735"/>
      <c r="BG86" s="735"/>
      <c r="BH86" s="735"/>
      <c r="BI86" s="735"/>
      <c r="BJ86" s="735"/>
      <c r="BK86" s="735"/>
      <c r="BL86" s="735"/>
      <c r="BM86" s="735"/>
      <c r="BN86" s="735"/>
      <c r="BO86" s="735"/>
      <c r="BP86" s="735"/>
      <c r="BQ86" s="735"/>
      <c r="BR86" s="735"/>
      <c r="BS86" s="735"/>
      <c r="BT86" s="735"/>
      <c r="BU86" s="735"/>
      <c r="BV86" s="736"/>
    </row>
    <row r="87" spans="1:104" ht="40.200000000000003" thickBot="1" x14ac:dyDescent="0.3">
      <c r="A87" s="905" t="s">
        <v>1066</v>
      </c>
      <c r="B87" s="906" t="s">
        <v>667</v>
      </c>
      <c r="C87" s="906" t="s">
        <v>668</v>
      </c>
      <c r="D87" s="1026" t="s">
        <v>679</v>
      </c>
      <c r="E87" s="906" t="s">
        <v>680</v>
      </c>
      <c r="F87" s="907" t="s">
        <v>669</v>
      </c>
      <c r="G87" s="907" t="s">
        <v>681</v>
      </c>
      <c r="H87" s="741">
        <v>2004</v>
      </c>
      <c r="I87" s="741">
        <v>2005</v>
      </c>
      <c r="J87" s="741">
        <v>2006</v>
      </c>
      <c r="K87" s="741">
        <v>2007</v>
      </c>
      <c r="L87" s="741">
        <v>2008</v>
      </c>
      <c r="M87" s="741">
        <v>2009</v>
      </c>
      <c r="N87" s="741">
        <v>2010</v>
      </c>
      <c r="O87" s="741">
        <v>2011</v>
      </c>
      <c r="P87" s="741">
        <v>2012</v>
      </c>
      <c r="Q87" s="741">
        <v>2013</v>
      </c>
      <c r="R87" s="741">
        <v>2014</v>
      </c>
      <c r="S87" s="741">
        <v>2015</v>
      </c>
      <c r="T87" s="741">
        <v>2016</v>
      </c>
      <c r="U87" s="741">
        <v>2017</v>
      </c>
      <c r="V87" s="741">
        <v>2018</v>
      </c>
      <c r="W87" s="741">
        <v>2019</v>
      </c>
      <c r="X87" s="741">
        <v>2020</v>
      </c>
      <c r="Y87" s="741">
        <v>2021</v>
      </c>
      <c r="Z87" s="741">
        <v>2022</v>
      </c>
      <c r="AA87" s="741">
        <v>2023</v>
      </c>
      <c r="AB87" s="741">
        <v>2024</v>
      </c>
      <c r="AC87" s="741">
        <v>2025</v>
      </c>
      <c r="AD87" s="741">
        <v>2026</v>
      </c>
      <c r="AE87" s="741">
        <v>2027</v>
      </c>
      <c r="AF87" s="741">
        <v>2028</v>
      </c>
      <c r="AG87" s="741">
        <v>2029</v>
      </c>
      <c r="AH87" s="741">
        <v>2030</v>
      </c>
      <c r="AI87" s="741">
        <v>2031</v>
      </c>
      <c r="AJ87" s="741">
        <v>2032</v>
      </c>
      <c r="AK87" s="741">
        <v>2033</v>
      </c>
      <c r="AL87" s="741">
        <v>2034</v>
      </c>
      <c r="AM87" s="741">
        <v>2035</v>
      </c>
      <c r="AN87" s="741">
        <v>2036</v>
      </c>
      <c r="AO87" s="741">
        <v>2037</v>
      </c>
      <c r="AP87" s="741">
        <v>2038</v>
      </c>
      <c r="AQ87" s="741">
        <v>2039</v>
      </c>
      <c r="AR87" s="741">
        <v>2040</v>
      </c>
      <c r="AS87" s="741">
        <v>2041</v>
      </c>
      <c r="AT87" s="741">
        <v>2042</v>
      </c>
      <c r="AU87" s="741">
        <v>2043</v>
      </c>
      <c r="AV87" s="741">
        <v>2044</v>
      </c>
      <c r="AW87" s="741">
        <v>2045</v>
      </c>
      <c r="AX87" s="741">
        <v>2046</v>
      </c>
      <c r="AY87" s="741">
        <v>2047</v>
      </c>
      <c r="AZ87" s="741">
        <v>2048</v>
      </c>
      <c r="BA87" s="741">
        <v>2049</v>
      </c>
      <c r="BB87" s="741">
        <v>2050</v>
      </c>
      <c r="BC87" s="741">
        <v>2051</v>
      </c>
      <c r="BD87" s="741">
        <v>2052</v>
      </c>
      <c r="BE87" s="741">
        <v>2053</v>
      </c>
      <c r="BF87" s="741">
        <v>2054</v>
      </c>
      <c r="BG87" s="741">
        <v>2055</v>
      </c>
      <c r="BH87" s="741">
        <v>2056</v>
      </c>
      <c r="BI87" s="741">
        <v>2057</v>
      </c>
      <c r="BJ87" s="741">
        <v>2058</v>
      </c>
      <c r="BK87" s="741">
        <v>2059</v>
      </c>
      <c r="BL87" s="741">
        <v>2060</v>
      </c>
      <c r="BM87" s="741">
        <v>2061</v>
      </c>
      <c r="BN87" s="741">
        <v>2062</v>
      </c>
      <c r="BO87" s="741">
        <v>2063</v>
      </c>
      <c r="BP87" s="741">
        <v>2064</v>
      </c>
      <c r="BQ87" s="741">
        <v>2065</v>
      </c>
      <c r="BR87" s="741">
        <v>2066</v>
      </c>
      <c r="BS87" s="741">
        <v>2067</v>
      </c>
      <c r="BT87" s="741">
        <v>2068</v>
      </c>
      <c r="BU87" s="741">
        <v>2069</v>
      </c>
      <c r="BV87" s="742">
        <v>2070</v>
      </c>
      <c r="BW87" s="1078">
        <f t="shared" ref="BW87" si="191">+BV87+1</f>
        <v>2071</v>
      </c>
      <c r="BX87" s="1078">
        <f t="shared" ref="BX87" si="192">+BW87+1</f>
        <v>2072</v>
      </c>
      <c r="BY87" s="1078">
        <f t="shared" ref="BY87" si="193">+BX87+1</f>
        <v>2073</v>
      </c>
      <c r="BZ87" s="1078">
        <f t="shared" ref="BZ87" si="194">+BY87+1</f>
        <v>2074</v>
      </c>
      <c r="CA87" s="1078">
        <f t="shared" ref="CA87" si="195">+BZ87+1</f>
        <v>2075</v>
      </c>
      <c r="CB87" s="1078">
        <f t="shared" ref="CB87" si="196">+CA87+1</f>
        <v>2076</v>
      </c>
      <c r="CC87" s="1078">
        <f t="shared" ref="CC87" si="197">+CB87+1</f>
        <v>2077</v>
      </c>
      <c r="CD87" s="1078">
        <f t="shared" ref="CD87" si="198">+CC87+1</f>
        <v>2078</v>
      </c>
      <c r="CE87" s="1078">
        <f t="shared" ref="CE87" si="199">+CD87+1</f>
        <v>2079</v>
      </c>
      <c r="CF87" s="1078">
        <f t="shared" ref="CF87" si="200">+CE87+1</f>
        <v>2080</v>
      </c>
      <c r="CG87" s="1078">
        <f t="shared" ref="CG87" si="201">+CF87+1</f>
        <v>2081</v>
      </c>
      <c r="CH87" s="1078">
        <f t="shared" ref="CH87" si="202">+CG87+1</f>
        <v>2082</v>
      </c>
      <c r="CI87" s="1078">
        <f t="shared" ref="CI87" si="203">+CH87+1</f>
        <v>2083</v>
      </c>
      <c r="CJ87" s="1078">
        <f t="shared" ref="CJ87" si="204">+CI87+1</f>
        <v>2084</v>
      </c>
      <c r="CK87" s="1078">
        <f t="shared" ref="CK87" si="205">+CJ87+1</f>
        <v>2085</v>
      </c>
      <c r="CL87" s="1078">
        <f t="shared" ref="CL87" si="206">+CK87+1</f>
        <v>2086</v>
      </c>
      <c r="CM87" s="1078">
        <f t="shared" ref="CM87" si="207">+CL87+1</f>
        <v>2087</v>
      </c>
      <c r="CN87" s="1078">
        <f t="shared" ref="CN87" si="208">+CM87+1</f>
        <v>2088</v>
      </c>
      <c r="CO87" s="1078">
        <f t="shared" ref="CO87" si="209">+CN87+1</f>
        <v>2089</v>
      </c>
      <c r="CP87" s="1078">
        <f t="shared" ref="CP87" si="210">+CO87+1</f>
        <v>2090</v>
      </c>
      <c r="CQ87" s="1078">
        <f t="shared" ref="CQ87" si="211">+CP87+1</f>
        <v>2091</v>
      </c>
      <c r="CR87" s="1078">
        <f t="shared" ref="CR87" si="212">+CQ87+1</f>
        <v>2092</v>
      </c>
      <c r="CS87" s="1078">
        <f t="shared" ref="CS87" si="213">+CR87+1</f>
        <v>2093</v>
      </c>
      <c r="CT87" s="1078">
        <f t="shared" ref="CT87" si="214">+CS87+1</f>
        <v>2094</v>
      </c>
      <c r="CU87" s="1078">
        <f t="shared" ref="CU87" si="215">+CT87+1</f>
        <v>2095</v>
      </c>
      <c r="CV87" s="1078">
        <f t="shared" ref="CV87" si="216">+CU87+1</f>
        <v>2096</v>
      </c>
      <c r="CW87" s="1078">
        <f t="shared" ref="CW87" si="217">+CV87+1</f>
        <v>2097</v>
      </c>
      <c r="CX87" s="1078">
        <f t="shared" ref="CX87" si="218">+CW87+1</f>
        <v>2098</v>
      </c>
      <c r="CY87" s="1078">
        <f t="shared" ref="CY87" si="219">+CX87+1</f>
        <v>2099</v>
      </c>
      <c r="CZ87" s="1078">
        <f t="shared" ref="CZ87" si="220">+CY87+1</f>
        <v>2100</v>
      </c>
    </row>
    <row r="88" spans="1:104" ht="13.8" thickBot="1" x14ac:dyDescent="0.3">
      <c r="A88" s="722" t="s">
        <v>1072</v>
      </c>
      <c r="B88" s="723"/>
      <c r="C88" s="723"/>
      <c r="D88" s="1027"/>
      <c r="E88" s="723"/>
      <c r="F88" s="723"/>
      <c r="G88" s="723"/>
      <c r="H88" s="801"/>
      <c r="I88" s="801"/>
      <c r="J88" s="801"/>
      <c r="K88" s="801"/>
      <c r="L88" s="801"/>
      <c r="M88" s="801"/>
      <c r="N88" s="801"/>
      <c r="O88" s="801"/>
      <c r="P88" s="801"/>
      <c r="Q88" s="801"/>
      <c r="R88" s="801"/>
      <c r="S88" s="801"/>
      <c r="T88" s="801"/>
      <c r="U88" s="801"/>
      <c r="V88" s="801"/>
      <c r="W88" s="801"/>
      <c r="X88" s="801"/>
      <c r="Y88" s="801"/>
      <c r="Z88" s="801"/>
      <c r="AA88" s="801"/>
      <c r="AB88" s="801"/>
      <c r="AC88" s="801"/>
      <c r="AD88" s="801"/>
      <c r="AE88" s="801"/>
      <c r="AF88" s="801"/>
      <c r="AG88" s="801"/>
      <c r="AH88" s="801"/>
      <c r="AI88" s="801"/>
      <c r="AJ88" s="801"/>
      <c r="AK88" s="801"/>
      <c r="AL88" s="801"/>
      <c r="AM88" s="801"/>
      <c r="AN88" s="801"/>
      <c r="AO88" s="801"/>
      <c r="AP88" s="801"/>
      <c r="AQ88" s="801"/>
      <c r="AR88" s="801"/>
      <c r="AS88" s="801"/>
      <c r="AT88" s="801"/>
      <c r="AU88" s="801"/>
      <c r="AV88" s="801"/>
      <c r="AW88" s="801"/>
      <c r="AX88" s="801"/>
      <c r="AY88" s="801"/>
      <c r="AZ88" s="801"/>
      <c r="BA88" s="801"/>
      <c r="BC88" s="801"/>
      <c r="BD88" s="801"/>
      <c r="BE88" s="801"/>
      <c r="BF88" s="801"/>
      <c r="BG88" s="801"/>
      <c r="BH88" s="801"/>
      <c r="BI88" s="801"/>
      <c r="BJ88" s="801"/>
      <c r="BK88" s="801"/>
      <c r="BL88" s="801"/>
      <c r="BM88" s="801"/>
      <c r="BN88" s="801"/>
      <c r="BO88" s="801"/>
      <c r="BP88" s="801"/>
      <c r="BR88" s="801"/>
      <c r="BS88" s="801"/>
      <c r="BT88" s="801"/>
      <c r="BU88" s="801"/>
    </row>
    <row r="89" spans="1:104" x14ac:dyDescent="0.25">
      <c r="A89" s="725" t="str">
        <f>'HyARC Physical Property Data'!A73</f>
        <v>Residential Natural Gas</v>
      </c>
      <c r="B89" s="254">
        <v>2012</v>
      </c>
      <c r="C89" s="726">
        <f t="shared" ref="C89:C100" si="221">VLOOKUP(ref_year,DeflatorTable,2,FALSE)/VLOOKUP(B89,DeflatorTable,2,FALSE)</f>
        <v>1.0573833607504113</v>
      </c>
      <c r="D89" s="1028" t="str">
        <f>'HyARC Physical Property Data'!H73</f>
        <v>mmBtu</v>
      </c>
      <c r="E89" s="726" t="s">
        <v>1040</v>
      </c>
      <c r="F89" s="254">
        <f>'HyARC Physical Property Data'!$E$6</f>
        <v>47.141269049911173</v>
      </c>
      <c r="G89" s="254">
        <f>'HyARC Physical Property Data'!$I$6</f>
        <v>52.224661236371581</v>
      </c>
      <c r="H89" s="851">
        <v>12.595706345448797</v>
      </c>
      <c r="I89" s="851">
        <v>12.595706345448797</v>
      </c>
      <c r="J89" s="851">
        <v>12.595706345448797</v>
      </c>
      <c r="K89" s="851">
        <v>12.595706345448797</v>
      </c>
      <c r="L89" s="851">
        <v>13.121338604068761</v>
      </c>
      <c r="M89" s="851">
        <v>11.086947084595193</v>
      </c>
      <c r="N89" s="851">
        <v>10.600250548835966</v>
      </c>
      <c r="O89" s="801">
        <f t="shared" ref="O89:AR89" si="222">O106*($C89/mmBTU_to_GJ*$G89/$F89)</f>
        <v>12.191092687749757</v>
      </c>
      <c r="P89" s="801">
        <f t="shared" si="222"/>
        <v>11.61240672324179</v>
      </c>
      <c r="Q89" s="801">
        <f t="shared" si="222"/>
        <v>11.532824509346533</v>
      </c>
      <c r="R89" s="801">
        <f t="shared" si="222"/>
        <v>12.433025993412414</v>
      </c>
      <c r="S89" s="801">
        <f t="shared" si="222"/>
        <v>12.210932169261609</v>
      </c>
      <c r="T89" s="801">
        <f t="shared" si="222"/>
        <v>11.863496968910505</v>
      </c>
      <c r="U89" s="801">
        <f t="shared" si="222"/>
        <v>12.225430935188502</v>
      </c>
      <c r="V89" s="801">
        <f t="shared" si="222"/>
        <v>12.719978977683732</v>
      </c>
      <c r="W89" s="801">
        <f t="shared" si="222"/>
        <v>12.909977432874298</v>
      </c>
      <c r="X89" s="801">
        <f t="shared" si="222"/>
        <v>12.870974664401787</v>
      </c>
      <c r="Y89" s="801">
        <f t="shared" si="222"/>
        <v>13.107127561470831</v>
      </c>
      <c r="Z89" s="801">
        <f t="shared" si="222"/>
        <v>13.208746611585347</v>
      </c>
      <c r="AA89" s="801">
        <f t="shared" si="222"/>
        <v>13.387263083436196</v>
      </c>
      <c r="AB89" s="801">
        <f t="shared" si="222"/>
        <v>13.662847338627605</v>
      </c>
      <c r="AC89" s="801">
        <f t="shared" si="222"/>
        <v>13.851960856121453</v>
      </c>
      <c r="AD89" s="801">
        <f t="shared" si="222"/>
        <v>13.96794321118545</v>
      </c>
      <c r="AE89" s="801">
        <f t="shared" si="222"/>
        <v>14.119468528118476</v>
      </c>
      <c r="AF89" s="801">
        <f t="shared" si="222"/>
        <v>14.321017807473346</v>
      </c>
      <c r="AG89" s="801">
        <f t="shared" si="222"/>
        <v>14.638900308030435</v>
      </c>
      <c r="AH89" s="801">
        <f t="shared" si="222"/>
        <v>14.992739925739963</v>
      </c>
      <c r="AI89" s="801">
        <f t="shared" si="222"/>
        <v>15.156051458043953</v>
      </c>
      <c r="AJ89" s="801">
        <f t="shared" si="222"/>
        <v>15.225075488052026</v>
      </c>
      <c r="AK89" s="801">
        <f t="shared" si="222"/>
        <v>15.481925045932627</v>
      </c>
      <c r="AL89" s="801">
        <f t="shared" si="222"/>
        <v>15.921613613246663</v>
      </c>
      <c r="AM89" s="801">
        <f t="shared" si="222"/>
        <v>16.217219445034317</v>
      </c>
      <c r="AN89" s="801">
        <f t="shared" si="222"/>
        <v>16.649245584437377</v>
      </c>
      <c r="AO89" s="801">
        <f t="shared" si="222"/>
        <v>16.824194547104348</v>
      </c>
      <c r="AP89" s="801">
        <f t="shared" si="222"/>
        <v>16.965891170823646</v>
      </c>
      <c r="AQ89" s="801">
        <f t="shared" si="222"/>
        <v>17.341637715454421</v>
      </c>
      <c r="AR89" s="801">
        <f t="shared" si="222"/>
        <v>17.740732402979265</v>
      </c>
      <c r="AS89" s="801">
        <f>($BB89-$AR89)/10+AR89</f>
        <v>17.791465746273797</v>
      </c>
      <c r="AT89" s="801">
        <f t="shared" ref="AT89:BA89" si="223">($BB89-$AR89)/10+AS89</f>
        <v>17.842199089568329</v>
      </c>
      <c r="AU89" s="801">
        <f t="shared" si="223"/>
        <v>17.89293243286286</v>
      </c>
      <c r="AV89" s="801">
        <f t="shared" si="223"/>
        <v>17.943665776157392</v>
      </c>
      <c r="AW89" s="801">
        <f t="shared" si="223"/>
        <v>17.994399119451923</v>
      </c>
      <c r="AX89" s="801">
        <f t="shared" si="223"/>
        <v>18.045132462746455</v>
      </c>
      <c r="AY89" s="801">
        <f t="shared" si="223"/>
        <v>18.095865806040987</v>
      </c>
      <c r="AZ89" s="801">
        <f t="shared" si="223"/>
        <v>18.146599149335518</v>
      </c>
      <c r="BA89" s="801">
        <f t="shared" si="223"/>
        <v>18.19733249263005</v>
      </c>
      <c r="BB89" s="803">
        <f>'AEO Data'!$B$30*AM89</f>
        <v>18.248065835924574</v>
      </c>
      <c r="BC89" s="801">
        <f t="shared" ref="BC89:BP92" si="224">($BQ89-$BB89)/15+BB89</f>
        <v>18.396757114031804</v>
      </c>
      <c r="BD89" s="801">
        <f t="shared" si="224"/>
        <v>18.545448392139033</v>
      </c>
      <c r="BE89" s="801">
        <f t="shared" si="224"/>
        <v>18.694139670246262</v>
      </c>
      <c r="BF89" s="801">
        <f t="shared" si="224"/>
        <v>18.842830948353491</v>
      </c>
      <c r="BG89" s="801">
        <f t="shared" si="224"/>
        <v>18.99152222646072</v>
      </c>
      <c r="BH89" s="801">
        <f t="shared" si="224"/>
        <v>19.140213504567949</v>
      </c>
      <c r="BI89" s="801">
        <f t="shared" si="224"/>
        <v>19.288904782675178</v>
      </c>
      <c r="BJ89" s="801">
        <f t="shared" si="224"/>
        <v>19.437596060782408</v>
      </c>
      <c r="BK89" s="801">
        <f t="shared" si="224"/>
        <v>19.586287338889637</v>
      </c>
      <c r="BL89" s="801">
        <f t="shared" si="224"/>
        <v>19.734978616996866</v>
      </c>
      <c r="BM89" s="801">
        <f t="shared" si="224"/>
        <v>19.883669895104095</v>
      </c>
      <c r="BN89" s="801">
        <f t="shared" si="224"/>
        <v>20.032361173211324</v>
      </c>
      <c r="BO89" s="801">
        <f t="shared" si="224"/>
        <v>20.181052451318553</v>
      </c>
      <c r="BP89" s="801">
        <f t="shared" si="224"/>
        <v>20.329743729425783</v>
      </c>
      <c r="BQ89" s="803">
        <f>'AEO Data'!$C$30*BB89</f>
        <v>20.478435007533015</v>
      </c>
      <c r="BR89" s="801">
        <f t="shared" ref="BR89:BU92" si="225">($BV89-$BQ89)/5+BQ89</f>
        <v>20.595487067510991</v>
      </c>
      <c r="BS89" s="801">
        <f t="shared" si="225"/>
        <v>20.712539127488967</v>
      </c>
      <c r="BT89" s="801">
        <f t="shared" si="225"/>
        <v>20.829591187466942</v>
      </c>
      <c r="BU89" s="801">
        <f t="shared" si="225"/>
        <v>20.946643247444918</v>
      </c>
      <c r="BV89" s="804">
        <f>'AEO Data'!$D$30*BQ89</f>
        <v>21.063695307422901</v>
      </c>
      <c r="BW89" s="1077">
        <f>+BV89*BW$133/BV$133</f>
        <v>21.133632969420677</v>
      </c>
      <c r="BX89" s="1077">
        <f t="shared" ref="BX89:CZ89" si="226">+BW89*BX$133/BW$133</f>
        <v>21.203802845020782</v>
      </c>
      <c r="BY89" s="1077">
        <f t="shared" si="226"/>
        <v>21.274205705240661</v>
      </c>
      <c r="BZ89" s="1077">
        <f t="shared" si="226"/>
        <v>21.344842323657751</v>
      </c>
      <c r="CA89" s="1077">
        <f t="shared" si="226"/>
        <v>21.415713476418006</v>
      </c>
      <c r="CB89" s="1077">
        <f t="shared" si="226"/>
        <v>21.461413072202582</v>
      </c>
      <c r="CC89" s="1077">
        <f t="shared" si="226"/>
        <v>21.507210187645192</v>
      </c>
      <c r="CD89" s="1077">
        <f t="shared" si="226"/>
        <v>21.553105030845796</v>
      </c>
      <c r="CE89" s="1077">
        <f t="shared" si="226"/>
        <v>21.599097810348415</v>
      </c>
      <c r="CF89" s="1077">
        <f t="shared" si="226"/>
        <v>21.645188735142085</v>
      </c>
      <c r="CG89" s="1077">
        <f t="shared" si="226"/>
        <v>21.66015416604937</v>
      </c>
      <c r="CH89" s="1077">
        <f t="shared" si="226"/>
        <v>21.675129944019229</v>
      </c>
      <c r="CI89" s="1077">
        <f t="shared" si="226"/>
        <v>21.690116076205594</v>
      </c>
      <c r="CJ89" s="1077">
        <f t="shared" si="226"/>
        <v>21.705112569767344</v>
      </c>
      <c r="CK89" s="1077">
        <f t="shared" si="226"/>
        <v>21.720119431868312</v>
      </c>
      <c r="CL89" s="1077">
        <f t="shared" si="226"/>
        <v>21.725206091961226</v>
      </c>
      <c r="CM89" s="1077">
        <f t="shared" si="226"/>
        <v>21.730293943305</v>
      </c>
      <c r="CN89" s="1077">
        <f t="shared" si="226"/>
        <v>21.73538298617861</v>
      </c>
      <c r="CO89" s="1077">
        <f t="shared" si="226"/>
        <v>21.740473220861105</v>
      </c>
      <c r="CP89" s="1077">
        <f t="shared" si="226"/>
        <v>21.745564647631596</v>
      </c>
      <c r="CQ89" s="1077">
        <f t="shared" si="226"/>
        <v>21.753281193740353</v>
      </c>
      <c r="CR89" s="1077">
        <f t="shared" si="226"/>
        <v>21.761000478112514</v>
      </c>
      <c r="CS89" s="1077">
        <f t="shared" si="226"/>
        <v>21.768722501719765</v>
      </c>
      <c r="CT89" s="1077">
        <f t="shared" si="226"/>
        <v>21.776447265534141</v>
      </c>
      <c r="CU89" s="1077">
        <f t="shared" si="226"/>
        <v>21.784174770528026</v>
      </c>
      <c r="CV89" s="1077">
        <f t="shared" si="226"/>
        <v>21.796067433429702</v>
      </c>
      <c r="CW89" s="1077">
        <f t="shared" si="226"/>
        <v>21.807966588908322</v>
      </c>
      <c r="CX89" s="1077">
        <f t="shared" si="226"/>
        <v>21.819872240508388</v>
      </c>
      <c r="CY89" s="1077">
        <f t="shared" si="226"/>
        <v>21.831784391776338</v>
      </c>
      <c r="CZ89" s="1077">
        <f t="shared" si="226"/>
        <v>21.84370304626054</v>
      </c>
    </row>
    <row r="90" spans="1:104" x14ac:dyDescent="0.25">
      <c r="A90" s="725" t="str">
        <f>'HyARC Physical Property Data'!A71</f>
        <v>Commercial Natural Gas</v>
      </c>
      <c r="B90" s="254">
        <v>2012</v>
      </c>
      <c r="C90" s="726">
        <f t="shared" si="221"/>
        <v>1.0573833607504113</v>
      </c>
      <c r="D90" s="1028" t="str">
        <f>'HyARC Physical Property Data'!H71</f>
        <v>mmBtu</v>
      </c>
      <c r="E90" s="726" t="s">
        <v>1040</v>
      </c>
      <c r="F90" s="254">
        <f>'HyARC Physical Property Data'!$E$6</f>
        <v>47.141269049911173</v>
      </c>
      <c r="G90" s="254">
        <f>'HyARC Physical Property Data'!$I$6</f>
        <v>52.224661236371581</v>
      </c>
      <c r="H90" s="852">
        <v>10.902002401006685</v>
      </c>
      <c r="I90" s="852">
        <v>10.902002401006685</v>
      </c>
      <c r="J90" s="852">
        <v>10.902002401006685</v>
      </c>
      <c r="K90" s="852">
        <v>10.902002401006685</v>
      </c>
      <c r="L90" s="852">
        <v>11.622313273930342</v>
      </c>
      <c r="M90" s="852">
        <v>8.8092072972420112</v>
      </c>
      <c r="N90" s="852">
        <v>8.4393179300649965</v>
      </c>
      <c r="O90" s="254">
        <f t="shared" ref="O90:AR90" si="227">O107*($C90/mmBTU_to_GJ*$G90/$F90)</f>
        <v>9.9495366192776444</v>
      </c>
      <c r="P90" s="254">
        <f t="shared" si="227"/>
        <v>9.0080039923979545</v>
      </c>
      <c r="Q90" s="254">
        <f t="shared" si="227"/>
        <v>9.2291706860885867</v>
      </c>
      <c r="R90" s="254">
        <f t="shared" si="227"/>
        <v>10.088576209235033</v>
      </c>
      <c r="S90" s="254">
        <f t="shared" si="227"/>
        <v>9.9025871769087672</v>
      </c>
      <c r="T90" s="254">
        <f t="shared" si="227"/>
        <v>9.6855387189987159</v>
      </c>
      <c r="U90" s="254">
        <f t="shared" si="227"/>
        <v>10.001081741855701</v>
      </c>
      <c r="V90" s="254">
        <f t="shared" si="227"/>
        <v>10.447347938925514</v>
      </c>
      <c r="W90" s="254">
        <f t="shared" si="227"/>
        <v>10.599788172624031</v>
      </c>
      <c r="X90" s="254">
        <f t="shared" si="227"/>
        <v>10.53794690542658</v>
      </c>
      <c r="Y90" s="254">
        <f t="shared" si="227"/>
        <v>10.753568581730253</v>
      </c>
      <c r="Z90" s="254">
        <f t="shared" si="227"/>
        <v>10.835192703309655</v>
      </c>
      <c r="AA90" s="254">
        <f t="shared" si="227"/>
        <v>10.990940627596027</v>
      </c>
      <c r="AB90" s="254">
        <f t="shared" si="227"/>
        <v>11.244415874735946</v>
      </c>
      <c r="AC90" s="254">
        <f t="shared" si="227"/>
        <v>11.421938595973796</v>
      </c>
      <c r="AD90" s="254">
        <f t="shared" si="227"/>
        <v>11.526345699484116</v>
      </c>
      <c r="AE90" s="254">
        <f t="shared" si="227"/>
        <v>11.655064717432735</v>
      </c>
      <c r="AF90" s="254">
        <f t="shared" si="227"/>
        <v>11.833099303511471</v>
      </c>
      <c r="AG90" s="254">
        <f t="shared" si="227"/>
        <v>12.114892556946344</v>
      </c>
      <c r="AH90" s="254">
        <f t="shared" si="227"/>
        <v>12.427240033139398</v>
      </c>
      <c r="AI90" s="254">
        <f t="shared" si="227"/>
        <v>12.540484299922209</v>
      </c>
      <c r="AJ90" s="254">
        <f t="shared" si="227"/>
        <v>12.538704431505849</v>
      </c>
      <c r="AK90" s="254">
        <f t="shared" si="227"/>
        <v>12.7448604944287</v>
      </c>
      <c r="AL90" s="254">
        <f t="shared" si="227"/>
        <v>13.044138206972995</v>
      </c>
      <c r="AM90" s="254">
        <f t="shared" si="227"/>
        <v>13.272322223428063</v>
      </c>
      <c r="AN90" s="254">
        <f t="shared" si="227"/>
        <v>13.616748413543148</v>
      </c>
      <c r="AO90" s="254">
        <f t="shared" si="227"/>
        <v>13.732951725447354</v>
      </c>
      <c r="AP90" s="254">
        <f t="shared" si="227"/>
        <v>13.833902353361841</v>
      </c>
      <c r="AQ90" s="254">
        <f t="shared" si="227"/>
        <v>14.16332901606795</v>
      </c>
      <c r="AR90" s="254">
        <f t="shared" si="227"/>
        <v>14.520292008609179</v>
      </c>
      <c r="AS90" s="254">
        <f t="shared" ref="AS90:BA90" si="228">($BB90-$AR90)/10+AR90</f>
        <v>14.561701375004496</v>
      </c>
      <c r="AT90" s="254">
        <f t="shared" si="228"/>
        <v>14.603110741399814</v>
      </c>
      <c r="AU90" s="254">
        <f t="shared" si="228"/>
        <v>14.644520107795131</v>
      </c>
      <c r="AV90" s="254">
        <f t="shared" si="228"/>
        <v>14.685929474190448</v>
      </c>
      <c r="AW90" s="254">
        <f t="shared" si="228"/>
        <v>14.727338840585766</v>
      </c>
      <c r="AX90" s="254">
        <f t="shared" si="228"/>
        <v>14.768748206981083</v>
      </c>
      <c r="AY90" s="254">
        <f t="shared" si="228"/>
        <v>14.810157573376401</v>
      </c>
      <c r="AZ90" s="254">
        <f t="shared" si="228"/>
        <v>14.851566939771718</v>
      </c>
      <c r="BA90" s="254">
        <f t="shared" si="228"/>
        <v>14.892976306167036</v>
      </c>
      <c r="BB90" s="781">
        <f>'AEO Data'!$B$30*AM90</f>
        <v>14.934385672562355</v>
      </c>
      <c r="BC90" s="254">
        <f t="shared" si="224"/>
        <v>15.056075988312308</v>
      </c>
      <c r="BD90" s="254">
        <f t="shared" si="224"/>
        <v>15.177766304062262</v>
      </c>
      <c r="BE90" s="254">
        <f t="shared" si="224"/>
        <v>15.299456619812215</v>
      </c>
      <c r="BF90" s="254">
        <f t="shared" si="224"/>
        <v>15.421146935562168</v>
      </c>
      <c r="BG90" s="254">
        <f t="shared" si="224"/>
        <v>15.542837251312122</v>
      </c>
      <c r="BH90" s="254">
        <f t="shared" si="224"/>
        <v>15.664527567062075</v>
      </c>
      <c r="BI90" s="254">
        <f t="shared" si="224"/>
        <v>15.786217882812029</v>
      </c>
      <c r="BJ90" s="254">
        <f t="shared" si="224"/>
        <v>15.907908198561982</v>
      </c>
      <c r="BK90" s="254">
        <f t="shared" si="224"/>
        <v>16.029598514311935</v>
      </c>
      <c r="BL90" s="254">
        <f t="shared" si="224"/>
        <v>16.151288830061887</v>
      </c>
      <c r="BM90" s="254">
        <f t="shared" si="224"/>
        <v>16.272979145811838</v>
      </c>
      <c r="BN90" s="254">
        <f t="shared" si="224"/>
        <v>16.39466946156179</v>
      </c>
      <c r="BO90" s="254">
        <f t="shared" si="224"/>
        <v>16.516359777311742</v>
      </c>
      <c r="BP90" s="254">
        <f t="shared" si="224"/>
        <v>16.638050093061693</v>
      </c>
      <c r="BQ90" s="781">
        <f>'AEO Data'!$C$30*BB90</f>
        <v>16.759740408811648</v>
      </c>
      <c r="BR90" s="254">
        <f t="shared" si="225"/>
        <v>16.855536896132378</v>
      </c>
      <c r="BS90" s="254">
        <f t="shared" si="225"/>
        <v>16.951333383453107</v>
      </c>
      <c r="BT90" s="254">
        <f t="shared" si="225"/>
        <v>17.047129870773837</v>
      </c>
      <c r="BU90" s="254">
        <f t="shared" si="225"/>
        <v>17.142926358094567</v>
      </c>
      <c r="BV90" s="805">
        <f>'AEO Data'!$D$30*BQ90</f>
        <v>17.238722845415303</v>
      </c>
      <c r="BW90" s="1077">
        <f>+BV90*BW$134/BV$134</f>
        <v>17.295960474142827</v>
      </c>
      <c r="BX90" s="1077">
        <f t="shared" ref="BX90:CZ90" si="229">+BW90*BX$134/BW$134</f>
        <v>17.353388148627904</v>
      </c>
      <c r="BY90" s="1077">
        <f t="shared" si="229"/>
        <v>17.411006499878322</v>
      </c>
      <c r="BZ90" s="1077">
        <f t="shared" si="229"/>
        <v>17.468816160997019</v>
      </c>
      <c r="CA90" s="1077">
        <f t="shared" si="229"/>
        <v>17.526817767189005</v>
      </c>
      <c r="CB90" s="1077">
        <f t="shared" si="229"/>
        <v>17.564218738594064</v>
      </c>
      <c r="CC90" s="1077">
        <f t="shared" si="229"/>
        <v>17.601699520988237</v>
      </c>
      <c r="CD90" s="1077">
        <f t="shared" si="229"/>
        <v>17.63926028468245</v>
      </c>
      <c r="CE90" s="1077">
        <f t="shared" si="229"/>
        <v>17.676901200351057</v>
      </c>
      <c r="CF90" s="1077">
        <f t="shared" si="229"/>
        <v>17.71462243903262</v>
      </c>
      <c r="CG90" s="1077">
        <f t="shared" si="229"/>
        <v>17.726870285951581</v>
      </c>
      <c r="CH90" s="1077">
        <f t="shared" si="229"/>
        <v>17.739126601002145</v>
      </c>
      <c r="CI90" s="1077">
        <f t="shared" si="229"/>
        <v>17.751391390039156</v>
      </c>
      <c r="CJ90" s="1077">
        <f t="shared" si="229"/>
        <v>17.763664658921517</v>
      </c>
      <c r="CK90" s="1077">
        <f t="shared" si="229"/>
        <v>17.775946413512166</v>
      </c>
      <c r="CL90" s="1077">
        <f t="shared" si="229"/>
        <v>17.78010938312746</v>
      </c>
      <c r="CM90" s="1077">
        <f t="shared" si="229"/>
        <v>17.784273327673461</v>
      </c>
      <c r="CN90" s="1077">
        <f t="shared" si="229"/>
        <v>17.78843824737849</v>
      </c>
      <c r="CO90" s="1077">
        <f t="shared" si="229"/>
        <v>17.792604142470921</v>
      </c>
      <c r="CP90" s="1077">
        <f t="shared" si="229"/>
        <v>17.796771013179182</v>
      </c>
      <c r="CQ90" s="1077">
        <f t="shared" si="229"/>
        <v>17.803086305807149</v>
      </c>
      <c r="CR90" s="1077">
        <f t="shared" si="229"/>
        <v>17.809403839455182</v>
      </c>
      <c r="CS90" s="1077">
        <f t="shared" si="229"/>
        <v>17.815723614918522</v>
      </c>
      <c r="CT90" s="1077">
        <f t="shared" si="229"/>
        <v>17.82204563299269</v>
      </c>
      <c r="CU90" s="1077">
        <f t="shared" si="229"/>
        <v>17.828369894473493</v>
      </c>
      <c r="CV90" s="1077">
        <f t="shared" si="229"/>
        <v>17.838102959667598</v>
      </c>
      <c r="CW90" s="1077">
        <f t="shared" si="229"/>
        <v>17.84784133844666</v>
      </c>
      <c r="CX90" s="1077">
        <f t="shared" si="229"/>
        <v>17.85758503371153</v>
      </c>
      <c r="CY90" s="1077">
        <f t="shared" si="229"/>
        <v>17.867334048364647</v>
      </c>
      <c r="CZ90" s="1077">
        <f t="shared" si="229"/>
        <v>17.877088385310028</v>
      </c>
    </row>
    <row r="91" spans="1:104" x14ac:dyDescent="0.25">
      <c r="A91" s="725" t="str">
        <f>'HyARC Physical Property Data'!A72</f>
        <v>Industrial Natural Gas</v>
      </c>
      <c r="B91" s="254">
        <v>2012</v>
      </c>
      <c r="C91" s="726">
        <f t="shared" si="221"/>
        <v>1.0573833607504113</v>
      </c>
      <c r="D91" s="1028" t="str">
        <f>'HyARC Physical Property Data'!H72</f>
        <v>mmBtu</v>
      </c>
      <c r="E91" s="726" t="s">
        <v>1040</v>
      </c>
      <c r="F91" s="254">
        <f>'HyARC Physical Property Data'!$E$6</f>
        <v>47.141269049911173</v>
      </c>
      <c r="G91" s="254">
        <f>'HyARC Physical Property Data'!$I$6</f>
        <v>52.224661236371581</v>
      </c>
      <c r="H91" s="852">
        <v>7.3783194821098821</v>
      </c>
      <c r="I91" s="852">
        <v>7.3783194821098821</v>
      </c>
      <c r="J91" s="852">
        <v>7.3783194821098821</v>
      </c>
      <c r="K91" s="852">
        <v>7.3783194821098821</v>
      </c>
      <c r="L91" s="852">
        <v>8.8676108815331158</v>
      </c>
      <c r="M91" s="852">
        <v>4.0882509003775072</v>
      </c>
      <c r="N91" s="852">
        <v>4.7404242582948717</v>
      </c>
      <c r="O91" s="254">
        <f t="shared" ref="O91:AR91" si="230">O108*($C91/mmBTU_to_GJ*$G91/$F91)</f>
        <v>5.655737860285754</v>
      </c>
      <c r="P91" s="254">
        <f t="shared" si="230"/>
        <v>4.1875429462406233</v>
      </c>
      <c r="Q91" s="254">
        <f t="shared" si="230"/>
        <v>5.101776855163612</v>
      </c>
      <c r="R91" s="254">
        <f t="shared" si="230"/>
        <v>5.3291370023953855</v>
      </c>
      <c r="S91" s="254">
        <f t="shared" si="230"/>
        <v>5.4842809039627953</v>
      </c>
      <c r="T91" s="254">
        <f t="shared" si="230"/>
        <v>5.7166186869466191</v>
      </c>
      <c r="U91" s="254">
        <f t="shared" si="230"/>
        <v>6.0244693028238556</v>
      </c>
      <c r="V91" s="254">
        <f t="shared" si="230"/>
        <v>6.490891427131448</v>
      </c>
      <c r="W91" s="254">
        <f t="shared" si="230"/>
        <v>6.6038403445700586</v>
      </c>
      <c r="X91" s="254">
        <f t="shared" si="230"/>
        <v>6.4314251683822734</v>
      </c>
      <c r="Y91" s="254">
        <f t="shared" si="230"/>
        <v>6.5896202729491558</v>
      </c>
      <c r="Z91" s="254">
        <f t="shared" si="230"/>
        <v>6.6115305308780448</v>
      </c>
      <c r="AA91" s="254">
        <f t="shared" si="230"/>
        <v>6.7200414358025036</v>
      </c>
      <c r="AB91" s="254">
        <f t="shared" si="230"/>
        <v>6.9144745724995795</v>
      </c>
      <c r="AC91" s="254">
        <f t="shared" si="230"/>
        <v>7.0183809145278193</v>
      </c>
      <c r="AD91" s="254">
        <f t="shared" si="230"/>
        <v>7.0574158827408624</v>
      </c>
      <c r="AE91" s="254">
        <f t="shared" si="230"/>
        <v>7.1387235585943367</v>
      </c>
      <c r="AF91" s="254">
        <f t="shared" si="230"/>
        <v>7.2521565824768235</v>
      </c>
      <c r="AG91" s="254">
        <f t="shared" si="230"/>
        <v>7.4789127069896324</v>
      </c>
      <c r="AH91" s="254">
        <f t="shared" si="230"/>
        <v>7.7602540537211651</v>
      </c>
      <c r="AI91" s="254">
        <f t="shared" si="230"/>
        <v>7.8876606546590935</v>
      </c>
      <c r="AJ91" s="254">
        <f t="shared" si="230"/>
        <v>8.02124849544348</v>
      </c>
      <c r="AK91" s="254">
        <f t="shared" si="230"/>
        <v>8.2390597541033976</v>
      </c>
      <c r="AL91" s="254">
        <f t="shared" si="230"/>
        <v>8.4081761223903708</v>
      </c>
      <c r="AM91" s="254">
        <f t="shared" si="230"/>
        <v>8.613534964151059</v>
      </c>
      <c r="AN91" s="254">
        <f t="shared" si="230"/>
        <v>8.930664656981202</v>
      </c>
      <c r="AO91" s="254">
        <f t="shared" si="230"/>
        <v>8.9872951178917102</v>
      </c>
      <c r="AP91" s="254">
        <f t="shared" si="230"/>
        <v>9.0273060713436681</v>
      </c>
      <c r="AQ91" s="254">
        <f t="shared" si="230"/>
        <v>9.2571600329629291</v>
      </c>
      <c r="AR91" s="254">
        <f t="shared" si="230"/>
        <v>9.5415659067244984</v>
      </c>
      <c r="AS91" s="254">
        <f t="shared" ref="AS91:BA91" si="231">($BB91-$AR91)/10+AR91</f>
        <v>9.5566281987255213</v>
      </c>
      <c r="AT91" s="254">
        <f t="shared" si="231"/>
        <v>9.5716904907265441</v>
      </c>
      <c r="AU91" s="254">
        <f t="shared" si="231"/>
        <v>9.5867527827275669</v>
      </c>
      <c r="AV91" s="254">
        <f t="shared" si="231"/>
        <v>9.6018150747285897</v>
      </c>
      <c r="AW91" s="254">
        <f t="shared" si="231"/>
        <v>9.6168773667296126</v>
      </c>
      <c r="AX91" s="254">
        <f t="shared" si="231"/>
        <v>9.6319396587306354</v>
      </c>
      <c r="AY91" s="254">
        <f t="shared" si="231"/>
        <v>9.6470019507316582</v>
      </c>
      <c r="AZ91" s="254">
        <f t="shared" si="231"/>
        <v>9.6620642427326811</v>
      </c>
      <c r="BA91" s="254">
        <f t="shared" si="231"/>
        <v>9.6771265347337039</v>
      </c>
      <c r="BB91" s="781">
        <f>'AEO Data'!$B$30*AM91</f>
        <v>9.6921888267347267</v>
      </c>
      <c r="BC91" s="254">
        <f t="shared" si="224"/>
        <v>9.7711639881168519</v>
      </c>
      <c r="BD91" s="254">
        <f t="shared" si="224"/>
        <v>9.8501391494989772</v>
      </c>
      <c r="BE91" s="254">
        <f t="shared" si="224"/>
        <v>9.9291143108811024</v>
      </c>
      <c r="BF91" s="254">
        <f t="shared" si="224"/>
        <v>10.008089472263228</v>
      </c>
      <c r="BG91" s="254">
        <f t="shared" si="224"/>
        <v>10.087064633645353</v>
      </c>
      <c r="BH91" s="254">
        <f t="shared" si="224"/>
        <v>10.166039795027478</v>
      </c>
      <c r="BI91" s="254">
        <f t="shared" si="224"/>
        <v>10.245014956409603</v>
      </c>
      <c r="BJ91" s="254">
        <f t="shared" si="224"/>
        <v>10.323990117791729</v>
      </c>
      <c r="BK91" s="254">
        <f t="shared" si="224"/>
        <v>10.402965279173854</v>
      </c>
      <c r="BL91" s="254">
        <f t="shared" si="224"/>
        <v>10.481940440555979</v>
      </c>
      <c r="BM91" s="254">
        <f t="shared" si="224"/>
        <v>10.560915601938104</v>
      </c>
      <c r="BN91" s="254">
        <f t="shared" si="224"/>
        <v>10.63989076332023</v>
      </c>
      <c r="BO91" s="254">
        <f t="shared" si="224"/>
        <v>10.718865924702355</v>
      </c>
      <c r="BP91" s="254">
        <f t="shared" si="224"/>
        <v>10.79784108608448</v>
      </c>
      <c r="BQ91" s="781">
        <f>'AEO Data'!$C$30*BB91</f>
        <v>10.876816247466609</v>
      </c>
      <c r="BR91" s="254">
        <f t="shared" si="225"/>
        <v>10.938986708602901</v>
      </c>
      <c r="BS91" s="254">
        <f t="shared" si="225"/>
        <v>11.001157169739193</v>
      </c>
      <c r="BT91" s="254">
        <f t="shared" si="225"/>
        <v>11.063327630875484</v>
      </c>
      <c r="BU91" s="254">
        <f t="shared" si="225"/>
        <v>11.125498092011776</v>
      </c>
      <c r="BV91" s="805">
        <f>'AEO Data'!$D$30*BQ91</f>
        <v>11.187668553148065</v>
      </c>
      <c r="BW91" s="1077">
        <f>+BV91*BW$135/BV$135</f>
        <v>11.224814902370914</v>
      </c>
      <c r="BX91" s="1077">
        <f t="shared" ref="BX91:CZ91" si="232">+BW91*BX$135/BW$135</f>
        <v>11.262084588395711</v>
      </c>
      <c r="BY91" s="1077">
        <f t="shared" si="232"/>
        <v>11.299478020736903</v>
      </c>
      <c r="BZ91" s="1077">
        <f t="shared" si="232"/>
        <v>11.336995610268644</v>
      </c>
      <c r="CA91" s="1077">
        <f t="shared" si="232"/>
        <v>11.37463776922932</v>
      </c>
      <c r="CB91" s="1077">
        <f t="shared" si="232"/>
        <v>11.398910429994142</v>
      </c>
      <c r="CC91" s="1077">
        <f t="shared" si="232"/>
        <v>11.42323488687525</v>
      </c>
      <c r="CD91" s="1077">
        <f t="shared" si="232"/>
        <v>11.447611250401838</v>
      </c>
      <c r="CE91" s="1077">
        <f t="shared" si="232"/>
        <v>11.472039631338966</v>
      </c>
      <c r="CF91" s="1077">
        <f t="shared" si="232"/>
        <v>11.496520140688052</v>
      </c>
      <c r="CG91" s="1077">
        <f t="shared" si="232"/>
        <v>11.504468806784013</v>
      </c>
      <c r="CH91" s="1077">
        <f t="shared" si="232"/>
        <v>11.512422968568401</v>
      </c>
      <c r="CI91" s="1077">
        <f t="shared" si="232"/>
        <v>11.520382629840926</v>
      </c>
      <c r="CJ91" s="1077">
        <f t="shared" si="232"/>
        <v>11.528347794403915</v>
      </c>
      <c r="CK91" s="1077">
        <f t="shared" si="232"/>
        <v>11.536318466062333</v>
      </c>
      <c r="CL91" s="1077">
        <f t="shared" si="232"/>
        <v>11.539020169933924</v>
      </c>
      <c r="CM91" s="1077">
        <f t="shared" si="232"/>
        <v>11.541722506520692</v>
      </c>
      <c r="CN91" s="1077">
        <f t="shared" si="232"/>
        <v>11.544425475970817</v>
      </c>
      <c r="CO91" s="1077">
        <f t="shared" si="232"/>
        <v>11.54712907843251</v>
      </c>
      <c r="CP91" s="1077">
        <f t="shared" si="232"/>
        <v>11.549833314054016</v>
      </c>
      <c r="CQ91" s="1077">
        <f t="shared" si="232"/>
        <v>11.553931842777482</v>
      </c>
      <c r="CR91" s="1077">
        <f t="shared" si="232"/>
        <v>11.558031825888838</v>
      </c>
      <c r="CS91" s="1077">
        <f t="shared" si="232"/>
        <v>11.562133263904183</v>
      </c>
      <c r="CT91" s="1077">
        <f t="shared" si="232"/>
        <v>11.566236157339798</v>
      </c>
      <c r="CU91" s="1077">
        <f t="shared" si="232"/>
        <v>11.570340506712146</v>
      </c>
      <c r="CV91" s="1077">
        <f t="shared" si="232"/>
        <v>11.576657117772855</v>
      </c>
      <c r="CW91" s="1077">
        <f t="shared" si="232"/>
        <v>11.582977177269267</v>
      </c>
      <c r="CX91" s="1077">
        <f t="shared" si="232"/>
        <v>11.589300687083989</v>
      </c>
      <c r="CY91" s="1077">
        <f t="shared" si="232"/>
        <v>11.595627649100658</v>
      </c>
      <c r="CZ91" s="1077">
        <f t="shared" si="232"/>
        <v>11.60195806520394</v>
      </c>
    </row>
    <row r="92" spans="1:104" x14ac:dyDescent="0.25">
      <c r="A92" s="725" t="str">
        <f>'HyARC Physical Property Data'!A74</f>
        <v>Electric Utility Natural Gas</v>
      </c>
      <c r="B92" s="254">
        <v>2012</v>
      </c>
      <c r="C92" s="726">
        <f t="shared" si="221"/>
        <v>1.0573833607504113</v>
      </c>
      <c r="D92" s="1028" t="str">
        <f>'HyARC Physical Property Data'!H74</f>
        <v>mmBtu</v>
      </c>
      <c r="E92" s="726" t="s">
        <v>1040</v>
      </c>
      <c r="F92" s="254">
        <f>'HyARC Physical Property Data'!$E$6</f>
        <v>47.141269049911173</v>
      </c>
      <c r="G92" s="254">
        <f>'HyARC Physical Property Data'!$I$6</f>
        <v>52.224661236371581</v>
      </c>
      <c r="H92" s="852">
        <v>7.0668336992239764</v>
      </c>
      <c r="I92" s="852">
        <v>7.0668336992239764</v>
      </c>
      <c r="J92" s="852">
        <v>7.0668336992239764</v>
      </c>
      <c r="K92" s="852">
        <v>7.0668336992239764</v>
      </c>
      <c r="L92" s="852">
        <v>8.8481430201027482</v>
      </c>
      <c r="M92" s="852">
        <v>4.0298473160863999</v>
      </c>
      <c r="N92" s="852">
        <v>4.7209563968645023</v>
      </c>
      <c r="O92" s="254">
        <f t="shared" ref="O92:AR92" si="233">O109*($C92/mmBTU_to_GJ*$G92/$F92)</f>
        <v>5.4205498450968195</v>
      </c>
      <c r="P92" s="254">
        <f t="shared" si="233"/>
        <v>3.8171937443247086</v>
      </c>
      <c r="Q92" s="254">
        <f t="shared" si="233"/>
        <v>4.7973527358134387</v>
      </c>
      <c r="R92" s="254">
        <f t="shared" si="233"/>
        <v>4.9625507287783099</v>
      </c>
      <c r="S92" s="254">
        <f t="shared" si="233"/>
        <v>4.9171202258938838</v>
      </c>
      <c r="T92" s="254">
        <f t="shared" si="233"/>
        <v>4.9685332185021656</v>
      </c>
      <c r="U92" s="254">
        <f t="shared" si="233"/>
        <v>5.2081048397471088</v>
      </c>
      <c r="V92" s="254">
        <f t="shared" si="233"/>
        <v>5.6206345914253779</v>
      </c>
      <c r="W92" s="254">
        <f t="shared" si="233"/>
        <v>5.7508958659119411</v>
      </c>
      <c r="X92" s="254">
        <f t="shared" si="233"/>
        <v>5.6343006054419362</v>
      </c>
      <c r="Y92" s="254">
        <f t="shared" si="233"/>
        <v>5.8207548685021111</v>
      </c>
      <c r="Z92" s="254">
        <f t="shared" si="233"/>
        <v>5.8784978859648298</v>
      </c>
      <c r="AA92" s="254">
        <f t="shared" si="233"/>
        <v>6.0180882025189186</v>
      </c>
      <c r="AB92" s="254">
        <f t="shared" si="233"/>
        <v>6.2425492627668415</v>
      </c>
      <c r="AC92" s="254">
        <f t="shared" si="233"/>
        <v>6.3929997745675973</v>
      </c>
      <c r="AD92" s="254">
        <f t="shared" si="233"/>
        <v>6.4554939192627536</v>
      </c>
      <c r="AE92" s="254">
        <f t="shared" si="233"/>
        <v>6.5567554412237641</v>
      </c>
      <c r="AF92" s="254">
        <f t="shared" si="233"/>
        <v>6.6927371661663972</v>
      </c>
      <c r="AG92" s="254">
        <f t="shared" si="233"/>
        <v>6.9326085780990629</v>
      </c>
      <c r="AH92" s="254">
        <f t="shared" si="233"/>
        <v>7.2098860955081534</v>
      </c>
      <c r="AI92" s="254">
        <f t="shared" si="233"/>
        <v>7.3471713547744324</v>
      </c>
      <c r="AJ92" s="254">
        <f t="shared" si="233"/>
        <v>7.468747582004128</v>
      </c>
      <c r="AK92" s="254">
        <f t="shared" si="233"/>
        <v>7.6952494396003139</v>
      </c>
      <c r="AL92" s="254">
        <f t="shared" si="233"/>
        <v>7.8732995703813753</v>
      </c>
      <c r="AM92" s="254">
        <f t="shared" si="233"/>
        <v>8.0908132590253317</v>
      </c>
      <c r="AN92" s="254">
        <f t="shared" si="233"/>
        <v>8.4061308836985837</v>
      </c>
      <c r="AO92" s="254">
        <f t="shared" si="233"/>
        <v>8.4723502052726456</v>
      </c>
      <c r="AP92" s="254">
        <f t="shared" si="233"/>
        <v>8.5254853288315022</v>
      </c>
      <c r="AQ92" s="254">
        <f t="shared" si="233"/>
        <v>8.7688220990470462</v>
      </c>
      <c r="AR92" s="254">
        <f t="shared" si="233"/>
        <v>9.0589717403181744</v>
      </c>
      <c r="AS92" s="254">
        <f t="shared" ref="AS92:BA92" si="234">($BB92-$AR92)/10+AR92</f>
        <v>9.0634753505716894</v>
      </c>
      <c r="AT92" s="254">
        <f t="shared" si="234"/>
        <v>9.0679789608252044</v>
      </c>
      <c r="AU92" s="254">
        <f t="shared" si="234"/>
        <v>9.0724825710787194</v>
      </c>
      <c r="AV92" s="254">
        <f t="shared" si="234"/>
        <v>9.0769861813322343</v>
      </c>
      <c r="AW92" s="254">
        <f t="shared" si="234"/>
        <v>9.0814897915857493</v>
      </c>
      <c r="AX92" s="254">
        <f t="shared" si="234"/>
        <v>9.0859934018392643</v>
      </c>
      <c r="AY92" s="254">
        <f t="shared" si="234"/>
        <v>9.0904970120927793</v>
      </c>
      <c r="AZ92" s="254">
        <f t="shared" si="234"/>
        <v>9.0950006223462943</v>
      </c>
      <c r="BA92" s="254">
        <f t="shared" si="234"/>
        <v>9.0995042325998092</v>
      </c>
      <c r="BB92" s="781">
        <f>'AEO Data'!$B$30*AM92</f>
        <v>9.1040078428533171</v>
      </c>
      <c r="BC92" s="254">
        <f t="shared" si="224"/>
        <v>9.178190310969315</v>
      </c>
      <c r="BD92" s="254">
        <f t="shared" si="224"/>
        <v>9.252372779085313</v>
      </c>
      <c r="BE92" s="254">
        <f t="shared" si="224"/>
        <v>9.3265552472013109</v>
      </c>
      <c r="BF92" s="254">
        <f t="shared" si="224"/>
        <v>9.4007377153173088</v>
      </c>
      <c r="BG92" s="254">
        <f t="shared" si="224"/>
        <v>9.4749201834333068</v>
      </c>
      <c r="BH92" s="254">
        <f t="shared" si="224"/>
        <v>9.5491026515493047</v>
      </c>
      <c r="BI92" s="254">
        <f t="shared" si="224"/>
        <v>9.6232851196653026</v>
      </c>
      <c r="BJ92" s="254">
        <f t="shared" si="224"/>
        <v>9.6974675877813006</v>
      </c>
      <c r="BK92" s="254">
        <f t="shared" si="224"/>
        <v>9.7716500558972985</v>
      </c>
      <c r="BL92" s="254">
        <f t="shared" si="224"/>
        <v>9.8458325240132964</v>
      </c>
      <c r="BM92" s="254">
        <f t="shared" si="224"/>
        <v>9.9200149921292944</v>
      </c>
      <c r="BN92" s="254">
        <f t="shared" si="224"/>
        <v>9.9941974602452923</v>
      </c>
      <c r="BO92" s="254">
        <f t="shared" si="224"/>
        <v>10.06837992836129</v>
      </c>
      <c r="BP92" s="254">
        <f t="shared" si="224"/>
        <v>10.142562396477288</v>
      </c>
      <c r="BQ92" s="781">
        <f>'AEO Data'!$C$30*BB92</f>
        <v>10.216744864593281</v>
      </c>
      <c r="BR92" s="254">
        <f t="shared" si="225"/>
        <v>10.275142443911728</v>
      </c>
      <c r="BS92" s="254">
        <f t="shared" si="225"/>
        <v>10.333540023230174</v>
      </c>
      <c r="BT92" s="254">
        <f t="shared" si="225"/>
        <v>10.391937602548621</v>
      </c>
      <c r="BU92" s="254">
        <f t="shared" si="225"/>
        <v>10.450335181867068</v>
      </c>
      <c r="BV92" s="805">
        <f>'AEO Data'!$D$30*BQ92</f>
        <v>10.508732761185513</v>
      </c>
      <c r="BW92" s="1077">
        <f>+BV92*BW$136/BV$136</f>
        <v>10.543624843944501</v>
      </c>
      <c r="BX92" s="1077">
        <f t="shared" ref="BX92:CZ92" si="235">+BW92*BX$136/BW$136</f>
        <v>10.578632778677932</v>
      </c>
      <c r="BY92" s="1077">
        <f t="shared" si="235"/>
        <v>10.613756950048424</v>
      </c>
      <c r="BZ92" s="1077">
        <f t="shared" si="235"/>
        <v>10.648997743995791</v>
      </c>
      <c r="CA92" s="1077">
        <f t="shared" si="235"/>
        <v>10.684355547741282</v>
      </c>
      <c r="CB92" s="1077">
        <f t="shared" si="235"/>
        <v>10.707155195779537</v>
      </c>
      <c r="CC92" s="1077">
        <f t="shared" si="235"/>
        <v>10.730003496630621</v>
      </c>
      <c r="CD92" s="1077">
        <f t="shared" si="235"/>
        <v>10.752900554116147</v>
      </c>
      <c r="CE92" s="1077">
        <f t="shared" si="235"/>
        <v>10.775846472279273</v>
      </c>
      <c r="CF92" s="1077">
        <f t="shared" si="235"/>
        <v>10.79884135538518</v>
      </c>
      <c r="CG92" s="1077">
        <f t="shared" si="235"/>
        <v>10.806307648063903</v>
      </c>
      <c r="CH92" s="1077">
        <f t="shared" si="235"/>
        <v>10.813779102919245</v>
      </c>
      <c r="CI92" s="1077">
        <f t="shared" si="235"/>
        <v>10.821255723520322</v>
      </c>
      <c r="CJ92" s="1077">
        <f t="shared" si="235"/>
        <v>10.828737513438721</v>
      </c>
      <c r="CK92" s="1077">
        <f t="shared" si="235"/>
        <v>10.836224476248493</v>
      </c>
      <c r="CL92" s="1077">
        <f t="shared" si="235"/>
        <v>10.838762224292379</v>
      </c>
      <c r="CM92" s="1077">
        <f t="shared" si="235"/>
        <v>10.841300566654439</v>
      </c>
      <c r="CN92" s="1077">
        <f t="shared" si="235"/>
        <v>10.843839503473856</v>
      </c>
      <c r="CO92" s="1077">
        <f t="shared" si="235"/>
        <v>10.846379034889845</v>
      </c>
      <c r="CP92" s="1077">
        <f t="shared" si="235"/>
        <v>10.848919161041659</v>
      </c>
      <c r="CQ92" s="1077">
        <f t="shared" si="235"/>
        <v>10.85276896610733</v>
      </c>
      <c r="CR92" s="1077">
        <f t="shared" si="235"/>
        <v>10.856620137299787</v>
      </c>
      <c r="CS92" s="1077">
        <f t="shared" si="235"/>
        <v>10.860472675103804</v>
      </c>
      <c r="CT92" s="1077">
        <f t="shared" si="235"/>
        <v>10.864326580004334</v>
      </c>
      <c r="CU92" s="1077">
        <f t="shared" si="235"/>
        <v>10.868181852486501</v>
      </c>
      <c r="CV92" s="1077">
        <f t="shared" si="235"/>
        <v>10.874115133158696</v>
      </c>
      <c r="CW92" s="1077">
        <f t="shared" si="235"/>
        <v>10.880051652994538</v>
      </c>
      <c r="CX92" s="1077">
        <f t="shared" si="235"/>
        <v>10.885991413762385</v>
      </c>
      <c r="CY92" s="1077">
        <f t="shared" si="235"/>
        <v>10.891934417231562</v>
      </c>
      <c r="CZ92" s="1077">
        <f t="shared" si="235"/>
        <v>10.897880665172362</v>
      </c>
    </row>
    <row r="93" spans="1:104" x14ac:dyDescent="0.25">
      <c r="A93" s="725" t="str">
        <f>'HyARC Physical Property Data'!A75</f>
        <v>Bio Methane</v>
      </c>
      <c r="B93" s="254">
        <v>2007</v>
      </c>
      <c r="C93" s="726">
        <f t="shared" si="221"/>
        <v>1.1413971588333081</v>
      </c>
      <c r="D93" s="1028" t="str">
        <f>'HyARC Physical Property Data'!H75</f>
        <v>mmBtu</v>
      </c>
      <c r="E93" s="726" t="s">
        <v>1040</v>
      </c>
      <c r="F93" s="254">
        <f>'HyARC Physical Property Data'!$E$6</f>
        <v>47.141269049911173</v>
      </c>
      <c r="G93" s="254">
        <f>'HyARC Physical Property Data'!$I$6</f>
        <v>52.224661236371581</v>
      </c>
      <c r="H93" s="852">
        <v>12.42654028436019</v>
      </c>
      <c r="I93" s="852">
        <v>12.42654028436019</v>
      </c>
      <c r="J93" s="852">
        <v>12.42654028436019</v>
      </c>
      <c r="K93" s="852">
        <v>12.42654028436019</v>
      </c>
      <c r="L93" s="852">
        <v>12.42654028436019</v>
      </c>
      <c r="M93" s="852">
        <v>12.42654028436019</v>
      </c>
      <c r="N93" s="852">
        <v>12.42654028436019</v>
      </c>
      <c r="O93" s="254">
        <f t="shared" ref="O93:AM93" si="236">13.11*($C$93/mmBTU_to_GJ)</f>
        <v>14.183617774696369</v>
      </c>
      <c r="P93" s="254">
        <f t="shared" si="236"/>
        <v>14.183617774696369</v>
      </c>
      <c r="Q93" s="254">
        <f t="shared" si="236"/>
        <v>14.183617774696369</v>
      </c>
      <c r="R93" s="254">
        <f t="shared" si="236"/>
        <v>14.183617774696369</v>
      </c>
      <c r="S93" s="254">
        <f t="shared" si="236"/>
        <v>14.183617774696369</v>
      </c>
      <c r="T93" s="254">
        <f t="shared" si="236"/>
        <v>14.183617774696369</v>
      </c>
      <c r="U93" s="254">
        <f t="shared" si="236"/>
        <v>14.183617774696369</v>
      </c>
      <c r="V93" s="254">
        <f t="shared" si="236"/>
        <v>14.183617774696369</v>
      </c>
      <c r="W93" s="254">
        <f t="shared" si="236"/>
        <v>14.183617774696369</v>
      </c>
      <c r="X93" s="254">
        <f t="shared" si="236"/>
        <v>14.183617774696369</v>
      </c>
      <c r="Y93" s="254">
        <f t="shared" si="236"/>
        <v>14.183617774696369</v>
      </c>
      <c r="Z93" s="254">
        <f t="shared" si="236"/>
        <v>14.183617774696369</v>
      </c>
      <c r="AA93" s="254">
        <f t="shared" si="236"/>
        <v>14.183617774696369</v>
      </c>
      <c r="AB93" s="254">
        <f t="shared" si="236"/>
        <v>14.183617774696369</v>
      </c>
      <c r="AC93" s="254">
        <f t="shared" si="236"/>
        <v>14.183617774696369</v>
      </c>
      <c r="AD93" s="254">
        <f t="shared" si="236"/>
        <v>14.183617774696369</v>
      </c>
      <c r="AE93" s="254">
        <f t="shared" si="236"/>
        <v>14.183617774696369</v>
      </c>
      <c r="AF93" s="254">
        <f t="shared" si="236"/>
        <v>14.183617774696369</v>
      </c>
      <c r="AG93" s="254">
        <f t="shared" si="236"/>
        <v>14.183617774696369</v>
      </c>
      <c r="AH93" s="254">
        <f t="shared" si="236"/>
        <v>14.183617774696369</v>
      </c>
      <c r="AI93" s="254">
        <f t="shared" si="236"/>
        <v>14.183617774696369</v>
      </c>
      <c r="AJ93" s="254">
        <f t="shared" si="236"/>
        <v>14.183617774696369</v>
      </c>
      <c r="AK93" s="254">
        <f t="shared" si="236"/>
        <v>14.183617774696369</v>
      </c>
      <c r="AL93" s="254">
        <f t="shared" si="236"/>
        <v>14.183617774696369</v>
      </c>
      <c r="AM93" s="254">
        <f t="shared" si="236"/>
        <v>14.183617774696369</v>
      </c>
      <c r="AN93" s="254">
        <f t="shared" ref="AN93:BV93" si="237">13.11*($C$93/mmBTU_to_GJ)</f>
        <v>14.183617774696369</v>
      </c>
      <c r="AO93" s="254">
        <f t="shared" si="237"/>
        <v>14.183617774696369</v>
      </c>
      <c r="AP93" s="254">
        <f t="shared" si="237"/>
        <v>14.183617774696369</v>
      </c>
      <c r="AQ93" s="254">
        <f t="shared" si="237"/>
        <v>14.183617774696369</v>
      </c>
      <c r="AR93" s="254">
        <f t="shared" si="237"/>
        <v>14.183617774696369</v>
      </c>
      <c r="AS93" s="254">
        <f t="shared" si="237"/>
        <v>14.183617774696369</v>
      </c>
      <c r="AT93" s="254">
        <f t="shared" si="237"/>
        <v>14.183617774696369</v>
      </c>
      <c r="AU93" s="254">
        <f t="shared" si="237"/>
        <v>14.183617774696369</v>
      </c>
      <c r="AV93" s="254">
        <f t="shared" si="237"/>
        <v>14.183617774696369</v>
      </c>
      <c r="AW93" s="254">
        <f t="shared" si="237"/>
        <v>14.183617774696369</v>
      </c>
      <c r="AX93" s="254">
        <f t="shared" si="237"/>
        <v>14.183617774696369</v>
      </c>
      <c r="AY93" s="254">
        <f t="shared" si="237"/>
        <v>14.183617774696369</v>
      </c>
      <c r="AZ93" s="254">
        <f t="shared" si="237"/>
        <v>14.183617774696369</v>
      </c>
      <c r="BA93" s="254">
        <f t="shared" si="237"/>
        <v>14.183617774696369</v>
      </c>
      <c r="BB93" s="254">
        <f t="shared" si="237"/>
        <v>14.183617774696369</v>
      </c>
      <c r="BC93" s="254">
        <f t="shared" si="237"/>
        <v>14.183617774696369</v>
      </c>
      <c r="BD93" s="254">
        <f t="shared" si="237"/>
        <v>14.183617774696369</v>
      </c>
      <c r="BE93" s="254">
        <f t="shared" si="237"/>
        <v>14.183617774696369</v>
      </c>
      <c r="BF93" s="254">
        <f t="shared" si="237"/>
        <v>14.183617774696369</v>
      </c>
      <c r="BG93" s="254">
        <f t="shared" si="237"/>
        <v>14.183617774696369</v>
      </c>
      <c r="BH93" s="254">
        <f t="shared" si="237"/>
        <v>14.183617774696369</v>
      </c>
      <c r="BI93" s="254">
        <f t="shared" si="237"/>
        <v>14.183617774696369</v>
      </c>
      <c r="BJ93" s="254">
        <f t="shared" si="237"/>
        <v>14.183617774696369</v>
      </c>
      <c r="BK93" s="254">
        <f t="shared" si="237"/>
        <v>14.183617774696369</v>
      </c>
      <c r="BL93" s="254">
        <f t="shared" si="237"/>
        <v>14.183617774696369</v>
      </c>
      <c r="BM93" s="254">
        <f t="shared" si="237"/>
        <v>14.183617774696369</v>
      </c>
      <c r="BN93" s="254">
        <f t="shared" si="237"/>
        <v>14.183617774696369</v>
      </c>
      <c r="BO93" s="254">
        <f t="shared" si="237"/>
        <v>14.183617774696369</v>
      </c>
      <c r="BP93" s="254">
        <f t="shared" si="237"/>
        <v>14.183617774696369</v>
      </c>
      <c r="BQ93" s="254">
        <f t="shared" si="237"/>
        <v>14.183617774696369</v>
      </c>
      <c r="BR93" s="254">
        <f t="shared" si="237"/>
        <v>14.183617774696369</v>
      </c>
      <c r="BS93" s="254">
        <f t="shared" si="237"/>
        <v>14.183617774696369</v>
      </c>
      <c r="BT93" s="254">
        <f t="shared" si="237"/>
        <v>14.183617774696369</v>
      </c>
      <c r="BU93" s="254">
        <f t="shared" si="237"/>
        <v>14.183617774696369</v>
      </c>
      <c r="BV93" s="728">
        <f t="shared" si="237"/>
        <v>14.183617774696369</v>
      </c>
      <c r="BW93" s="1077">
        <f>+BV93*BW$136/BV$136</f>
        <v>14.230711556264829</v>
      </c>
      <c r="BX93" s="1077">
        <f t="shared" ref="BX93:CZ93" si="238">+BW93*BX$136/BW$136</f>
        <v>14.277961703035571</v>
      </c>
      <c r="BY93" s="1077">
        <f t="shared" si="238"/>
        <v>14.325368734187041</v>
      </c>
      <c r="BZ93" s="1077">
        <f t="shared" si="238"/>
        <v>14.372933170621517</v>
      </c>
      <c r="CA93" s="1077">
        <f t="shared" si="238"/>
        <v>14.420655534970821</v>
      </c>
      <c r="CB93" s="1077">
        <f t="shared" si="238"/>
        <v>14.451428179067991</v>
      </c>
      <c r="CC93" s="1077">
        <f t="shared" si="238"/>
        <v>14.482266489779443</v>
      </c>
      <c r="CD93" s="1077">
        <f t="shared" si="238"/>
        <v>14.51317060723302</v>
      </c>
      <c r="CE93" s="1077">
        <f t="shared" si="238"/>
        <v>14.54414067185559</v>
      </c>
      <c r="CF93" s="1077">
        <f t="shared" si="238"/>
        <v>14.575176824373679</v>
      </c>
      <c r="CG93" s="1077">
        <f t="shared" si="238"/>
        <v>14.585254066221541</v>
      </c>
      <c r="CH93" s="1077">
        <f t="shared" si="238"/>
        <v>14.595338275449933</v>
      </c>
      <c r="CI93" s="1077">
        <f t="shared" si="238"/>
        <v>14.605429456876088</v>
      </c>
      <c r="CJ93" s="1077">
        <f t="shared" si="238"/>
        <v>14.615527615320566</v>
      </c>
      <c r="CK93" s="1077">
        <f t="shared" si="238"/>
        <v>14.625632755607262</v>
      </c>
      <c r="CL93" s="1077">
        <f t="shared" si="238"/>
        <v>14.629057949594106</v>
      </c>
      <c r="CM93" s="1077">
        <f t="shared" si="238"/>
        <v>14.632483945731124</v>
      </c>
      <c r="CN93" s="1077">
        <f t="shared" si="238"/>
        <v>14.635910744206171</v>
      </c>
      <c r="CO93" s="1077">
        <f t="shared" si="238"/>
        <v>14.639338345207147</v>
      </c>
      <c r="CP93" s="1077">
        <f t="shared" si="238"/>
        <v>14.642766748922</v>
      </c>
      <c r="CQ93" s="1077">
        <f t="shared" si="238"/>
        <v>14.647962823919764</v>
      </c>
      <c r="CR93" s="1077">
        <f t="shared" si="238"/>
        <v>14.6531607427764</v>
      </c>
      <c r="CS93" s="1077">
        <f t="shared" si="238"/>
        <v>14.658360506146211</v>
      </c>
      <c r="CT93" s="1077">
        <f t="shared" si="238"/>
        <v>14.663562114683737</v>
      </c>
      <c r="CU93" s="1077">
        <f t="shared" si="238"/>
        <v>14.668765569043746</v>
      </c>
      <c r="CV93" s="1077">
        <f t="shared" si="238"/>
        <v>14.676773707333766</v>
      </c>
      <c r="CW93" s="1077">
        <f t="shared" si="238"/>
        <v>14.68478621751715</v>
      </c>
      <c r="CX93" s="1077">
        <f t="shared" si="238"/>
        <v>14.692803101980653</v>
      </c>
      <c r="CY93" s="1077">
        <f t="shared" si="238"/>
        <v>14.700824363112332</v>
      </c>
      <c r="CZ93" s="1077">
        <f t="shared" si="238"/>
        <v>14.708850003301547</v>
      </c>
    </row>
    <row r="94" spans="1:104" x14ac:dyDescent="0.25">
      <c r="A94" s="806" t="str">
        <f>'HyARC Physical Property Data'!A85</f>
        <v>Woody Biomass</v>
      </c>
      <c r="B94" s="254">
        <v>2005</v>
      </c>
      <c r="C94" s="726">
        <f t="shared" si="221"/>
        <v>1.208440716126562</v>
      </c>
      <c r="D94" s="1030" t="str">
        <f>+'HyARC Physical Property Data'!$H$85</f>
        <v>kg</v>
      </c>
      <c r="E94" s="726" t="s">
        <v>1040</v>
      </c>
      <c r="F94" s="254">
        <f>'HyARC Physical Property Data'!$E$45</f>
        <v>19.551069237418005</v>
      </c>
      <c r="G94" s="254">
        <f>'HyARC Physical Property Data'!$I$45</f>
        <v>20.588656379262464</v>
      </c>
      <c r="H94" s="852">
        <v>1.3438238843289665</v>
      </c>
      <c r="I94" s="852">
        <v>1.3438238843289665</v>
      </c>
      <c r="J94" s="852">
        <v>1.3438238843289665</v>
      </c>
      <c r="K94" s="852">
        <v>1.3438238843289665</v>
      </c>
      <c r="L94" s="852">
        <v>1.3438238843289665</v>
      </c>
      <c r="M94" s="852">
        <v>1.3438238843289665</v>
      </c>
      <c r="N94" s="852">
        <v>1.3438238843289665</v>
      </c>
      <c r="O94" s="254">
        <f>1.27*($C$94)</f>
        <v>1.5347197094807337</v>
      </c>
      <c r="P94" s="254">
        <f>1.28*($C$94)</f>
        <v>1.5468041166419995</v>
      </c>
      <c r="Q94" s="254">
        <f>1.32*($C$94)</f>
        <v>1.595141745287062</v>
      </c>
      <c r="R94" s="254">
        <f>1.32*($C$94)</f>
        <v>1.595141745287062</v>
      </c>
      <c r="S94" s="254">
        <f>1.34*($C$94)</f>
        <v>1.6193105596095931</v>
      </c>
      <c r="T94" s="254">
        <f>1.34*($C$94)</f>
        <v>1.6193105596095931</v>
      </c>
      <c r="U94" s="254">
        <f>1.36*($C$94)</f>
        <v>1.6434793739321245</v>
      </c>
      <c r="V94" s="254">
        <f>1.36*($C$94)</f>
        <v>1.6434793739321245</v>
      </c>
      <c r="W94" s="254">
        <f>1.38*($C$94)</f>
        <v>1.6676481882546554</v>
      </c>
      <c r="X94" s="254">
        <f>1.4*($C$94)</f>
        <v>1.6918170025771868</v>
      </c>
      <c r="Y94" s="254">
        <f>1.46*($C$94)</f>
        <v>1.7643234455447805</v>
      </c>
      <c r="Z94" s="254">
        <f>1.48*($C$94)</f>
        <v>1.7884922598673119</v>
      </c>
      <c r="AA94" s="254">
        <f>1.48*($C$94)</f>
        <v>1.7884922598673119</v>
      </c>
      <c r="AB94" s="254">
        <f>1.51*($C$94)</f>
        <v>1.8247454813511086</v>
      </c>
      <c r="AC94" s="254">
        <f>1.52*($C$94)</f>
        <v>1.8368298885123742</v>
      </c>
      <c r="AD94" s="254">
        <f>1.62*($C$94)</f>
        <v>1.9576739601250306</v>
      </c>
      <c r="AE94" s="254">
        <f>1.72*($C$94)</f>
        <v>2.0785180317376866</v>
      </c>
      <c r="AF94" s="254">
        <f>1.82*($C$94)</f>
        <v>2.1993621033503428</v>
      </c>
      <c r="AG94" s="254">
        <f>1.91*($C$94)</f>
        <v>2.3081217678017332</v>
      </c>
      <c r="AH94" s="254">
        <f>2.01*($C$94)</f>
        <v>2.4289658394143894</v>
      </c>
      <c r="AI94" s="254">
        <f>2.11*($C$94)</f>
        <v>2.5498099110270456</v>
      </c>
      <c r="AJ94" s="254">
        <f>2.2*($C$94)</f>
        <v>2.6585695754784364</v>
      </c>
      <c r="AK94" s="254">
        <f>2.3*($C$94)</f>
        <v>2.7794136470910926</v>
      </c>
      <c r="AL94" s="254">
        <f>2.4*($C$94)</f>
        <v>2.9002577187037488</v>
      </c>
      <c r="AM94" s="254">
        <f>2.5*($C$94)</f>
        <v>3.021101790316405</v>
      </c>
      <c r="AN94" s="254">
        <f>2.57*($C$94)</f>
        <v>3.1056926404452643</v>
      </c>
      <c r="AO94" s="254">
        <f>2.64*($C$94)</f>
        <v>3.190283490574124</v>
      </c>
      <c r="AP94" s="254">
        <f>2.71*($C$94)</f>
        <v>3.2748743407029832</v>
      </c>
      <c r="AQ94" s="254">
        <f>2.78*($C$94)</f>
        <v>3.359465190831842</v>
      </c>
      <c r="AR94" s="254">
        <f>2.85*($C$94)</f>
        <v>3.4440560409607017</v>
      </c>
      <c r="AS94" s="254">
        <f>2.92*($C$94)</f>
        <v>3.528646891089561</v>
      </c>
      <c r="AT94" s="254">
        <f>2.99*($C$94)</f>
        <v>3.6132377412184207</v>
      </c>
      <c r="AU94" s="254">
        <f>3.07*($C$94)</f>
        <v>3.7099129985085453</v>
      </c>
      <c r="AV94" s="254">
        <f>3.14*($C$94)</f>
        <v>3.794503848637405</v>
      </c>
      <c r="AW94" s="254">
        <f>3.21*($C$94)</f>
        <v>3.8790946987662642</v>
      </c>
      <c r="AX94" s="254">
        <f>3.28*($C$94)</f>
        <v>3.963685548895123</v>
      </c>
      <c r="AY94" s="254">
        <f>3.35*($C$94)</f>
        <v>4.0482763990239832</v>
      </c>
      <c r="AZ94" s="254">
        <f>3.42*($C$94)</f>
        <v>4.1328672491528424</v>
      </c>
      <c r="BA94" s="254">
        <f>3.49*($C$94)</f>
        <v>4.2174580992817017</v>
      </c>
      <c r="BB94" s="254">
        <f>3.56*($C$94)</f>
        <v>4.3020489494105609</v>
      </c>
      <c r="BC94" s="254">
        <f>3.64*($C$94)</f>
        <v>4.3987242067006855</v>
      </c>
      <c r="BD94" s="254">
        <f>3.71*($C$94)</f>
        <v>4.4833150568295448</v>
      </c>
      <c r="BE94" s="254">
        <f>3.78*($C$94)</f>
        <v>4.567905906958404</v>
      </c>
      <c r="BF94" s="254">
        <f>3.85*($C$94)</f>
        <v>4.6524967570872642</v>
      </c>
      <c r="BG94" s="254">
        <f>3.92*($C$94)</f>
        <v>4.7370876072161234</v>
      </c>
      <c r="BH94" s="254">
        <f>3.99*($C$94)</f>
        <v>4.8216784573449827</v>
      </c>
      <c r="BI94" s="254">
        <f>4.06*($C$94)</f>
        <v>4.906269307473841</v>
      </c>
      <c r="BJ94" s="254">
        <f>4.14*($C$94)</f>
        <v>5.0029445647639665</v>
      </c>
      <c r="BK94" s="254">
        <f>4.21*($C$94)</f>
        <v>5.0875354148928258</v>
      </c>
      <c r="BL94" s="254">
        <f>4.28*($C$94)</f>
        <v>5.1721262650216859</v>
      </c>
      <c r="BM94" s="254">
        <f>4.35*($C$94)</f>
        <v>5.2567171151505443</v>
      </c>
      <c r="BN94" s="254">
        <f>4.42*($C$94)</f>
        <v>5.3413079652794044</v>
      </c>
      <c r="BO94" s="254">
        <f>4.49*($C$94)</f>
        <v>5.4258988154082637</v>
      </c>
      <c r="BP94" s="254">
        <f>4.56*($C$94)</f>
        <v>5.5104896655371221</v>
      </c>
      <c r="BQ94" s="254">
        <f>4.63*($C$94)</f>
        <v>5.5950805156659822</v>
      </c>
      <c r="BR94" s="254">
        <f>4.71*($C$94)</f>
        <v>5.6917557729561068</v>
      </c>
      <c r="BS94" s="254">
        <f>4.78*($C$94)</f>
        <v>5.7763466230849669</v>
      </c>
      <c r="BT94" s="254">
        <f>4.85*($C$94)</f>
        <v>5.8609374732138253</v>
      </c>
      <c r="BU94" s="254">
        <f>4.92*($C$94)</f>
        <v>5.9455283233426854</v>
      </c>
      <c r="BV94" s="728">
        <f>4.99*($C$94)</f>
        <v>6.0301191734715447</v>
      </c>
      <c r="BW94" s="1077">
        <f>+BV94*BW$138/BV$138</f>
        <v>6.0446132076616896</v>
      </c>
      <c r="BX94" s="1077">
        <f t="shared" ref="BX94:CZ94" si="239">+BW94*BX$138/BW$138</f>
        <v>6.0591420798079438</v>
      </c>
      <c r="BY94" s="1077">
        <f t="shared" si="239"/>
        <v>6.0737058736470511</v>
      </c>
      <c r="BZ94" s="1077">
        <f t="shared" si="239"/>
        <v>6.0883046731170198</v>
      </c>
      <c r="CA94" s="1077">
        <f t="shared" si="239"/>
        <v>6.1029385623576156</v>
      </c>
      <c r="CB94" s="1077">
        <f t="shared" si="239"/>
        <v>6.1157485681116217</v>
      </c>
      <c r="CC94" s="1077">
        <f t="shared" si="239"/>
        <v>6.1285854619369617</v>
      </c>
      <c r="CD94" s="1077">
        <f t="shared" si="239"/>
        <v>6.1414493002714252</v>
      </c>
      <c r="CE94" s="1077">
        <f t="shared" si="239"/>
        <v>6.1543401396712598</v>
      </c>
      <c r="CF94" s="1077">
        <f t="shared" si="239"/>
        <v>6.167258036811428</v>
      </c>
      <c r="CG94" s="1077">
        <f t="shared" si="239"/>
        <v>6.183149548139812</v>
      </c>
      <c r="CH94" s="1077">
        <f t="shared" si="239"/>
        <v>6.1990820079952069</v>
      </c>
      <c r="CI94" s="1077">
        <f t="shared" si="239"/>
        <v>6.215055521891923</v>
      </c>
      <c r="CJ94" s="1077">
        <f t="shared" si="239"/>
        <v>6.2310701956161552</v>
      </c>
      <c r="CK94" s="1077">
        <f t="shared" si="239"/>
        <v>6.2471261352266838</v>
      </c>
      <c r="CL94" s="1077">
        <f t="shared" si="239"/>
        <v>6.2604975997429575</v>
      </c>
      <c r="CM94" s="1077">
        <f t="shared" si="239"/>
        <v>6.2738976847896071</v>
      </c>
      <c r="CN94" s="1077">
        <f t="shared" si="239"/>
        <v>6.2873264516265444</v>
      </c>
      <c r="CO94" s="1077">
        <f t="shared" si="239"/>
        <v>6.3007839616448056</v>
      </c>
      <c r="CP94" s="1077">
        <f t="shared" si="239"/>
        <v>6.3142702763668277</v>
      </c>
      <c r="CQ94" s="1077">
        <f t="shared" si="239"/>
        <v>6.326614172551615</v>
      </c>
      <c r="CR94" s="1077">
        <f t="shared" si="239"/>
        <v>6.3389822000716718</v>
      </c>
      <c r="CS94" s="1077">
        <f t="shared" si="239"/>
        <v>6.3513744061018391</v>
      </c>
      <c r="CT94" s="1077">
        <f t="shared" si="239"/>
        <v>6.3637908379091801</v>
      </c>
      <c r="CU94" s="1077">
        <f t="shared" si="239"/>
        <v>6.376231542853164</v>
      </c>
      <c r="CV94" s="1077">
        <f t="shared" si="239"/>
        <v>6.3909193633613004</v>
      </c>
      <c r="CW94" s="1077">
        <f t="shared" si="239"/>
        <v>6.4056410176582252</v>
      </c>
      <c r="CX94" s="1077">
        <f t="shared" si="239"/>
        <v>6.4203965836809767</v>
      </c>
      <c r="CY94" s="1077">
        <f t="shared" si="239"/>
        <v>6.4351861395461265</v>
      </c>
      <c r="CZ94" s="1077">
        <f t="shared" si="239"/>
        <v>6.450009763550189</v>
      </c>
    </row>
    <row r="95" spans="1:104" x14ac:dyDescent="0.25">
      <c r="A95" s="753" t="str">
        <f>'HyARC Physical Property Data'!A80</f>
        <v>Metallurgical Coal</v>
      </c>
      <c r="B95" s="254">
        <v>2012</v>
      </c>
      <c r="C95" s="726">
        <f t="shared" si="221"/>
        <v>1.0573833607504113</v>
      </c>
      <c r="D95" s="1029" t="str">
        <f>+'HyARC Physical Property Data'!H80</f>
        <v>kg</v>
      </c>
      <c r="E95" s="747" t="s">
        <v>1034</v>
      </c>
      <c r="F95" s="254">
        <f>'HyARC Physical Property Data'!$E$44</f>
        <v>28.610197070281195</v>
      </c>
      <c r="G95" s="254">
        <f>'HyARC Physical Property Data'!$I$44</f>
        <v>29.865267156269461</v>
      </c>
      <c r="H95" s="853">
        <v>3.3844321322674711</v>
      </c>
      <c r="I95" s="853">
        <v>3.3844321322674711</v>
      </c>
      <c r="J95" s="853">
        <v>3.3844321322674711</v>
      </c>
      <c r="K95" s="853">
        <v>3.3844321322674711</v>
      </c>
      <c r="L95" s="853">
        <v>4.1181843560652975</v>
      </c>
      <c r="M95" s="853">
        <v>4.3291381204071717</v>
      </c>
      <c r="N95" s="853">
        <v>4.4025133427869543</v>
      </c>
      <c r="O95" s="807">
        <f t="shared" ref="O95:AR95" si="240">O111*($C95/mmBTU_to_GJ*$G95/$F95)</f>
        <v>7.4646268248681658</v>
      </c>
      <c r="P95" s="807">
        <f t="shared" si="240"/>
        <v>7.5851395215871422</v>
      </c>
      <c r="Q95" s="807">
        <f t="shared" si="240"/>
        <v>7.7775593409707655</v>
      </c>
      <c r="R95" s="807">
        <f t="shared" si="240"/>
        <v>7.8596002100362519</v>
      </c>
      <c r="S95" s="807">
        <f t="shared" si="240"/>
        <v>8.1180797941829823</v>
      </c>
      <c r="T95" s="807">
        <f t="shared" si="240"/>
        <v>8.3154796499973287</v>
      </c>
      <c r="U95" s="807">
        <f t="shared" si="240"/>
        <v>8.4204203168350222</v>
      </c>
      <c r="V95" s="807">
        <f t="shared" si="240"/>
        <v>8.5695650843522451</v>
      </c>
      <c r="W95" s="807">
        <f t="shared" si="240"/>
        <v>8.6847148258729252</v>
      </c>
      <c r="X95" s="807">
        <f t="shared" si="240"/>
        <v>8.8178648881479358</v>
      </c>
      <c r="Y95" s="807">
        <f t="shared" si="240"/>
        <v>8.9203207679009697</v>
      </c>
      <c r="Z95" s="807">
        <f t="shared" si="240"/>
        <v>9.032455285683552</v>
      </c>
      <c r="AA95" s="807">
        <f t="shared" si="240"/>
        <v>9.1423770351781108</v>
      </c>
      <c r="AB95" s="807">
        <f t="shared" si="240"/>
        <v>9.254374497336233</v>
      </c>
      <c r="AC95" s="807">
        <f t="shared" si="240"/>
        <v>9.3655611342351488</v>
      </c>
      <c r="AD95" s="807">
        <f t="shared" si="240"/>
        <v>9.4622292909766781</v>
      </c>
      <c r="AE95" s="807">
        <f t="shared" si="240"/>
        <v>9.5719166858156743</v>
      </c>
      <c r="AF95" s="807">
        <f t="shared" si="240"/>
        <v>9.6949560186649464</v>
      </c>
      <c r="AG95" s="807">
        <f t="shared" si="240"/>
        <v>9.8138135856290027</v>
      </c>
      <c r="AH95" s="807">
        <f t="shared" si="240"/>
        <v>9.952872733147867</v>
      </c>
      <c r="AI95" s="807">
        <f t="shared" si="240"/>
        <v>10.036208830175799</v>
      </c>
      <c r="AJ95" s="807">
        <f t="shared" si="240"/>
        <v>10.120782612728425</v>
      </c>
      <c r="AK95" s="807">
        <f t="shared" si="240"/>
        <v>10.210359448686875</v>
      </c>
      <c r="AL95" s="807">
        <f t="shared" si="240"/>
        <v>10.292143992347839</v>
      </c>
      <c r="AM95" s="807">
        <f t="shared" si="240"/>
        <v>10.394155225990989</v>
      </c>
      <c r="AN95" s="254">
        <f t="shared" si="240"/>
        <v>10.475670889533738</v>
      </c>
      <c r="AO95" s="254">
        <f t="shared" si="240"/>
        <v>10.567574532429569</v>
      </c>
      <c r="AP95" s="254">
        <f t="shared" si="240"/>
        <v>10.574325829716853</v>
      </c>
      <c r="AQ95" s="254">
        <f t="shared" si="240"/>
        <v>10.604382860519015</v>
      </c>
      <c r="AR95" s="254">
        <f t="shared" si="240"/>
        <v>10.668415039021042</v>
      </c>
      <c r="AS95" s="254">
        <f>($BB95-$AR95)/10+AR95</f>
        <v>10.691118846164347</v>
      </c>
      <c r="AT95" s="254">
        <f t="shared" ref="AT95:BA95" si="241">($BB95-$AR95)/10+AS95</f>
        <v>10.713822653307652</v>
      </c>
      <c r="AU95" s="254">
        <f t="shared" si="241"/>
        <v>10.736526460450957</v>
      </c>
      <c r="AV95" s="254">
        <f t="shared" si="241"/>
        <v>10.759230267594262</v>
      </c>
      <c r="AW95" s="254">
        <f t="shared" si="241"/>
        <v>10.781934074737567</v>
      </c>
      <c r="AX95" s="254">
        <f t="shared" si="241"/>
        <v>10.804637881880872</v>
      </c>
      <c r="AY95" s="254">
        <f t="shared" si="241"/>
        <v>10.827341689024177</v>
      </c>
      <c r="AZ95" s="254">
        <f t="shared" si="241"/>
        <v>10.850045496167482</v>
      </c>
      <c r="BA95" s="254">
        <f t="shared" si="241"/>
        <v>10.872749303310787</v>
      </c>
      <c r="BB95" s="781">
        <f>('AEO Data'!$B$28*AM95)</f>
        <v>10.895453110454083</v>
      </c>
      <c r="BC95" s="254">
        <f t="shared" ref="BC95:BP95" si="242">($BQ95-$BB95)/15+BB95</f>
        <v>10.933690011458628</v>
      </c>
      <c r="BD95" s="254">
        <f t="shared" si="242"/>
        <v>10.971926912463173</v>
      </c>
      <c r="BE95" s="254">
        <f t="shared" si="242"/>
        <v>11.010163813467718</v>
      </c>
      <c r="BF95" s="254">
        <f t="shared" si="242"/>
        <v>11.048400714472264</v>
      </c>
      <c r="BG95" s="254">
        <f t="shared" si="242"/>
        <v>11.086637615476809</v>
      </c>
      <c r="BH95" s="254">
        <f t="shared" si="242"/>
        <v>11.124874516481354</v>
      </c>
      <c r="BI95" s="254">
        <f t="shared" si="242"/>
        <v>11.163111417485899</v>
      </c>
      <c r="BJ95" s="254">
        <f t="shared" si="242"/>
        <v>11.201348318490444</v>
      </c>
      <c r="BK95" s="254">
        <f t="shared" si="242"/>
        <v>11.239585219494989</v>
      </c>
      <c r="BL95" s="254">
        <f t="shared" si="242"/>
        <v>11.277822120499534</v>
      </c>
      <c r="BM95" s="254">
        <f t="shared" si="242"/>
        <v>11.316059021504079</v>
      </c>
      <c r="BN95" s="254">
        <f t="shared" si="242"/>
        <v>11.354295922508625</v>
      </c>
      <c r="BO95" s="254">
        <f t="shared" si="242"/>
        <v>11.39253282351317</v>
      </c>
      <c r="BP95" s="254">
        <f t="shared" si="242"/>
        <v>11.430769724517715</v>
      </c>
      <c r="BQ95" s="781">
        <f>('AEO Data'!$C$28*BB95)</f>
        <v>11.469006625522269</v>
      </c>
      <c r="BR95" s="254">
        <f t="shared" ref="BR95:BU100" si="243">($BV95-$BQ95)/5+BQ95</f>
        <v>11.505775124501078</v>
      </c>
      <c r="BS95" s="254">
        <f t="shared" si="243"/>
        <v>11.542543623479887</v>
      </c>
      <c r="BT95" s="254">
        <f t="shared" si="243"/>
        <v>11.579312122458695</v>
      </c>
      <c r="BU95" s="254">
        <f t="shared" si="243"/>
        <v>11.616080621437504</v>
      </c>
      <c r="BV95" s="805">
        <f>('AEO Data'!$D$28*BQ95)</f>
        <v>11.65284912041631</v>
      </c>
      <c r="BW95" s="1077">
        <f t="shared" ref="BW95:CZ95" si="244">+BV95*BW$139/BV$139</f>
        <v>11.692246881776873</v>
      </c>
      <c r="BX95" s="1077">
        <f t="shared" si="244"/>
        <v>11.731777845205377</v>
      </c>
      <c r="BY95" s="1077">
        <f t="shared" si="244"/>
        <v>11.771442461052049</v>
      </c>
      <c r="BZ95" s="1077">
        <f t="shared" si="244"/>
        <v>11.811241181189736</v>
      </c>
      <c r="CA95" s="1077">
        <f t="shared" si="244"/>
        <v>11.851174459019044</v>
      </c>
      <c r="CB95" s="1077">
        <f t="shared" si="244"/>
        <v>11.88510623212686</v>
      </c>
      <c r="CC95" s="1077">
        <f t="shared" si="244"/>
        <v>11.919135157228366</v>
      </c>
      <c r="CD95" s="1077">
        <f t="shared" si="244"/>
        <v>11.953261512484969</v>
      </c>
      <c r="CE95" s="1077">
        <f t="shared" si="244"/>
        <v>11.987485576854503</v>
      </c>
      <c r="CF95" s="1077">
        <f t="shared" si="244"/>
        <v>12.021807630093496</v>
      </c>
      <c r="CG95" s="1077">
        <f t="shared" si="244"/>
        <v>12.048012553487283</v>
      </c>
      <c r="CH95" s="1077">
        <f t="shared" si="244"/>
        <v>12.074274597909055</v>
      </c>
      <c r="CI95" s="1077">
        <f t="shared" si="244"/>
        <v>12.100593887870218</v>
      </c>
      <c r="CJ95" s="1077">
        <f t="shared" si="244"/>
        <v>12.126970548153587</v>
      </c>
      <c r="CK95" s="1077">
        <f t="shared" si="244"/>
        <v>12.153404703813971</v>
      </c>
      <c r="CL95" s="1077">
        <f t="shared" si="244"/>
        <v>12.171324857241729</v>
      </c>
      <c r="CM95" s="1077">
        <f t="shared" si="244"/>
        <v>12.189271433874072</v>
      </c>
      <c r="CN95" s="1077">
        <f t="shared" si="244"/>
        <v>12.207244472671922</v>
      </c>
      <c r="CO95" s="1077">
        <f t="shared" si="244"/>
        <v>12.225244012653652</v>
      </c>
      <c r="CP95" s="1077">
        <f t="shared" si="244"/>
        <v>12.243270092895166</v>
      </c>
      <c r="CQ95" s="1077">
        <f t="shared" si="244"/>
        <v>12.249306745274442</v>
      </c>
      <c r="CR95" s="1077">
        <f t="shared" si="244"/>
        <v>12.255346374078453</v>
      </c>
      <c r="CS95" s="1077">
        <f t="shared" si="244"/>
        <v>12.261388980774752</v>
      </c>
      <c r="CT95" s="1077">
        <f t="shared" si="244"/>
        <v>12.267434566831614</v>
      </c>
      <c r="CU95" s="1077">
        <f t="shared" si="244"/>
        <v>12.273483133718042</v>
      </c>
      <c r="CV95" s="1077">
        <f t="shared" si="244"/>
        <v>12.264790038675994</v>
      </c>
      <c r="CW95" s="1077">
        <f t="shared" si="244"/>
        <v>12.256103100802259</v>
      </c>
      <c r="CX95" s="1077">
        <f t="shared" si="244"/>
        <v>12.247422315735818</v>
      </c>
      <c r="CY95" s="1077">
        <f t="shared" si="244"/>
        <v>12.238747679118744</v>
      </c>
      <c r="CZ95" s="1077">
        <f t="shared" si="244"/>
        <v>12.2300791865962</v>
      </c>
    </row>
    <row r="96" spans="1:104" x14ac:dyDescent="0.25">
      <c r="A96" s="753" t="str">
        <f>'HyARC Physical Property Data'!A81</f>
        <v>Other Industrial Coal</v>
      </c>
      <c r="B96" s="254">
        <v>2012</v>
      </c>
      <c r="C96" s="726">
        <f t="shared" si="221"/>
        <v>1.0573833607504113</v>
      </c>
      <c r="D96" s="1029" t="str">
        <f>+'HyARC Physical Property Data'!H81</f>
        <v>kg</v>
      </c>
      <c r="E96" s="747" t="s">
        <v>1034</v>
      </c>
      <c r="F96" s="254">
        <f>'HyARC Physical Property Data'!$E$42</f>
        <v>22.7322030001394</v>
      </c>
      <c r="G96" s="254">
        <f>'HyARC Physical Property Data'!$I$42</f>
        <v>23.967615189707661</v>
      </c>
      <c r="H96" s="853">
        <v>1.7045706620386931</v>
      </c>
      <c r="I96" s="853">
        <v>1.7045706620386931</v>
      </c>
      <c r="J96" s="853">
        <v>1.7045706620386931</v>
      </c>
      <c r="K96" s="853">
        <v>1.7045706620386931</v>
      </c>
      <c r="L96" s="853">
        <v>1.9454339077615519</v>
      </c>
      <c r="M96" s="853">
        <v>2.0288096466656182</v>
      </c>
      <c r="N96" s="853">
        <v>1.8805861108361666</v>
      </c>
      <c r="O96" s="807">
        <f t="shared" ref="O96:AR96" si="245">O112*($C96/mmBTU_to_GJ*$G96/$F96)</f>
        <v>3.4949975895838294</v>
      </c>
      <c r="P96" s="807">
        <f t="shared" si="245"/>
        <v>3.4233926279260714</v>
      </c>
      <c r="Q96" s="807">
        <f t="shared" si="245"/>
        <v>3.5031491911574184</v>
      </c>
      <c r="R96" s="807">
        <f t="shared" si="245"/>
        <v>3.4679009642856751</v>
      </c>
      <c r="S96" s="807">
        <f t="shared" si="245"/>
        <v>3.5676645631136981</v>
      </c>
      <c r="T96" s="807">
        <f t="shared" si="245"/>
        <v>3.6321947292652106</v>
      </c>
      <c r="U96" s="807">
        <f t="shared" si="245"/>
        <v>3.657322669869095</v>
      </c>
      <c r="V96" s="807">
        <f t="shared" si="245"/>
        <v>3.7204040616159686</v>
      </c>
      <c r="W96" s="807">
        <f t="shared" si="245"/>
        <v>3.7630990523312531</v>
      </c>
      <c r="X96" s="807">
        <f t="shared" si="245"/>
        <v>3.7970908293363905</v>
      </c>
      <c r="Y96" s="807">
        <f t="shared" si="245"/>
        <v>3.8194247804976293</v>
      </c>
      <c r="Z96" s="807">
        <f t="shared" si="245"/>
        <v>3.8460511617330089</v>
      </c>
      <c r="AA96" s="807">
        <f t="shared" si="245"/>
        <v>3.8731023477172322</v>
      </c>
      <c r="AB96" s="807">
        <f t="shared" si="245"/>
        <v>3.9067337803956139</v>
      </c>
      <c r="AC96" s="807">
        <f t="shared" si="245"/>
        <v>3.938949197244515</v>
      </c>
      <c r="AD96" s="807">
        <f t="shared" si="245"/>
        <v>3.9691747948345282</v>
      </c>
      <c r="AE96" s="807">
        <f t="shared" si="245"/>
        <v>3.9994574557490128</v>
      </c>
      <c r="AF96" s="807">
        <f t="shared" si="245"/>
        <v>4.0328902235199751</v>
      </c>
      <c r="AG96" s="807">
        <f t="shared" si="245"/>
        <v>4.0631242749358352</v>
      </c>
      <c r="AH96" s="807">
        <f t="shared" si="245"/>
        <v>4.1048449622221792</v>
      </c>
      <c r="AI96" s="807">
        <f t="shared" si="245"/>
        <v>4.1376658843474177</v>
      </c>
      <c r="AJ96" s="807">
        <f t="shared" si="245"/>
        <v>4.1685794120157826</v>
      </c>
      <c r="AK96" s="807">
        <f t="shared" si="245"/>
        <v>4.201707842056229</v>
      </c>
      <c r="AL96" s="807">
        <f t="shared" si="245"/>
        <v>4.2273873947966729</v>
      </c>
      <c r="AM96" s="807">
        <f t="shared" si="245"/>
        <v>4.2580071520168321</v>
      </c>
      <c r="AN96" s="254">
        <f t="shared" si="245"/>
        <v>4.2903546598946027</v>
      </c>
      <c r="AO96" s="254">
        <f t="shared" si="245"/>
        <v>4.3224348155299417</v>
      </c>
      <c r="AP96" s="254">
        <f t="shared" si="245"/>
        <v>4.3507255437290757</v>
      </c>
      <c r="AQ96" s="254">
        <f t="shared" si="245"/>
        <v>4.3846898458002084</v>
      </c>
      <c r="AR96" s="254">
        <f t="shared" si="245"/>
        <v>4.4275856148793746</v>
      </c>
      <c r="AS96" s="254">
        <f t="shared" ref="AS96:BA96" si="246">($BB96-$AR96)/10+AR96</f>
        <v>4.4311636364046505</v>
      </c>
      <c r="AT96" s="254">
        <f t="shared" si="246"/>
        <v>4.4347416579299264</v>
      </c>
      <c r="AU96" s="254">
        <f t="shared" si="246"/>
        <v>4.4383196794552022</v>
      </c>
      <c r="AV96" s="254">
        <f t="shared" si="246"/>
        <v>4.4418977009804781</v>
      </c>
      <c r="AW96" s="254">
        <f t="shared" si="246"/>
        <v>4.445475722505754</v>
      </c>
      <c r="AX96" s="254">
        <f t="shared" si="246"/>
        <v>4.4490537440310298</v>
      </c>
      <c r="AY96" s="254">
        <f t="shared" si="246"/>
        <v>4.4526317655563057</v>
      </c>
      <c r="AZ96" s="254">
        <f t="shared" si="246"/>
        <v>4.4562097870815816</v>
      </c>
      <c r="BA96" s="254">
        <f t="shared" si="246"/>
        <v>4.4597878086068574</v>
      </c>
      <c r="BB96" s="781">
        <f>('AEO Data'!$B$28*AM96)</f>
        <v>4.4633658301321333</v>
      </c>
      <c r="BC96" s="254">
        <f t="shared" ref="BC96:BP96" si="247">($BQ96-$BB96)/15+BB96</f>
        <v>4.4790297291608097</v>
      </c>
      <c r="BD96" s="254">
        <f t="shared" si="247"/>
        <v>4.494693628189486</v>
      </c>
      <c r="BE96" s="254">
        <f t="shared" si="247"/>
        <v>4.5103575272181624</v>
      </c>
      <c r="BF96" s="254">
        <f t="shared" si="247"/>
        <v>4.5260214262468388</v>
      </c>
      <c r="BG96" s="254">
        <f t="shared" si="247"/>
        <v>4.5416853252755152</v>
      </c>
      <c r="BH96" s="254">
        <f t="shared" si="247"/>
        <v>4.5573492243041915</v>
      </c>
      <c r="BI96" s="254">
        <f t="shared" si="247"/>
        <v>4.5730131233328679</v>
      </c>
      <c r="BJ96" s="254">
        <f t="shared" si="247"/>
        <v>4.5886770223615443</v>
      </c>
      <c r="BK96" s="254">
        <f t="shared" si="247"/>
        <v>4.6043409213902207</v>
      </c>
      <c r="BL96" s="254">
        <f t="shared" si="247"/>
        <v>4.620004820418897</v>
      </c>
      <c r="BM96" s="254">
        <f t="shared" si="247"/>
        <v>4.6356687194475734</v>
      </c>
      <c r="BN96" s="254">
        <f t="shared" si="247"/>
        <v>4.6513326184762498</v>
      </c>
      <c r="BO96" s="254">
        <f t="shared" si="247"/>
        <v>4.6669965175049262</v>
      </c>
      <c r="BP96" s="254">
        <f t="shared" si="247"/>
        <v>4.6826604165336025</v>
      </c>
      <c r="BQ96" s="781">
        <f>('AEO Data'!$C$28*BB96)</f>
        <v>4.6983243155622842</v>
      </c>
      <c r="BR96" s="254">
        <f t="shared" si="243"/>
        <v>4.7133866778434639</v>
      </c>
      <c r="BS96" s="254">
        <f t="shared" si="243"/>
        <v>4.7284490401246435</v>
      </c>
      <c r="BT96" s="254">
        <f t="shared" si="243"/>
        <v>4.7435114024058231</v>
      </c>
      <c r="BU96" s="254">
        <f t="shared" si="243"/>
        <v>4.7585737646870028</v>
      </c>
      <c r="BV96" s="805">
        <f>('AEO Data'!$D$28*BQ96)</f>
        <v>4.7736361269681806</v>
      </c>
      <c r="BW96" s="1077">
        <f t="shared" ref="BW96:CZ96" si="248">+BV96*BW$139/BV$139</f>
        <v>4.789775577072529</v>
      </c>
      <c r="BX96" s="1077">
        <f t="shared" si="248"/>
        <v>4.8059695939353695</v>
      </c>
      <c r="BY96" s="1077">
        <f t="shared" si="248"/>
        <v>4.8222183620444703</v>
      </c>
      <c r="BZ96" s="1077">
        <f t="shared" si="248"/>
        <v>4.838522066511346</v>
      </c>
      <c r="CA96" s="1077">
        <f t="shared" si="248"/>
        <v>4.8548808930733625</v>
      </c>
      <c r="CB96" s="1077">
        <f t="shared" si="248"/>
        <v>4.8687811792854072</v>
      </c>
      <c r="CC96" s="1077">
        <f t="shared" si="248"/>
        <v>4.882721264199219</v>
      </c>
      <c r="CD96" s="1077">
        <f t="shared" si="248"/>
        <v>4.8967012617647283</v>
      </c>
      <c r="CE96" s="1077">
        <f t="shared" si="248"/>
        <v>4.9107212862581244</v>
      </c>
      <c r="CF96" s="1077">
        <f t="shared" si="248"/>
        <v>4.9247814522827849</v>
      </c>
      <c r="CG96" s="1077">
        <f t="shared" si="248"/>
        <v>4.9355164036860302</v>
      </c>
      <c r="CH96" s="1077">
        <f t="shared" si="248"/>
        <v>4.9462747549462529</v>
      </c>
      <c r="CI96" s="1077">
        <f t="shared" si="248"/>
        <v>4.9570565570700476</v>
      </c>
      <c r="CJ96" s="1077">
        <f t="shared" si="248"/>
        <v>4.9678618611751908</v>
      </c>
      <c r="CK96" s="1077">
        <f t="shared" si="248"/>
        <v>4.9786907184908857</v>
      </c>
      <c r="CL96" s="1077">
        <f t="shared" si="248"/>
        <v>4.9860317808284806</v>
      </c>
      <c r="CM96" s="1077">
        <f t="shared" si="248"/>
        <v>4.9933836675372394</v>
      </c>
      <c r="CN96" s="1077">
        <f t="shared" si="248"/>
        <v>5.0007463945776598</v>
      </c>
      <c r="CO96" s="1077">
        <f t="shared" si="248"/>
        <v>5.0081199779337728</v>
      </c>
      <c r="CP96" s="1077">
        <f t="shared" si="248"/>
        <v>5.0155044336131782</v>
      </c>
      <c r="CQ96" s="1077">
        <f t="shared" si="248"/>
        <v>5.0179773723413712</v>
      </c>
      <c r="CR96" s="1077">
        <f t="shared" si="248"/>
        <v>5.0204515303738297</v>
      </c>
      <c r="CS96" s="1077">
        <f t="shared" si="248"/>
        <v>5.0229269083117432</v>
      </c>
      <c r="CT96" s="1077">
        <f t="shared" si="248"/>
        <v>5.0254035067565965</v>
      </c>
      <c r="CU96" s="1077">
        <f t="shared" si="248"/>
        <v>5.0278813263101725</v>
      </c>
      <c r="CV96" s="1077">
        <f t="shared" si="248"/>
        <v>5.024320165248267</v>
      </c>
      <c r="CW96" s="1077">
        <f t="shared" si="248"/>
        <v>5.0207615264949217</v>
      </c>
      <c r="CX96" s="1077">
        <f t="shared" si="248"/>
        <v>5.0172054082636297</v>
      </c>
      <c r="CY96" s="1077">
        <f t="shared" si="248"/>
        <v>5.013651808769148</v>
      </c>
      <c r="CZ96" s="1077">
        <f t="shared" si="248"/>
        <v>5.010100726227499</v>
      </c>
    </row>
    <row r="97" spans="1:104" x14ac:dyDescent="0.25">
      <c r="A97" s="753" t="str">
        <f>'HyARC Physical Property Data'!A79</f>
        <v>Electric Utility Steam Coal</v>
      </c>
      <c r="B97" s="254">
        <v>2012</v>
      </c>
      <c r="C97" s="726">
        <f t="shared" si="221"/>
        <v>1.0573833607504113</v>
      </c>
      <c r="D97" s="1030" t="str">
        <f>+'HyARC Physical Property Data'!$H$79</f>
        <v>kg</v>
      </c>
      <c r="E97" s="747" t="s">
        <v>1034</v>
      </c>
      <c r="F97" s="254">
        <f>'HyARC Physical Property Data'!$E$42</f>
        <v>22.7322030001394</v>
      </c>
      <c r="G97" s="254">
        <f>'HyARC Physical Property Data'!$I$42</f>
        <v>23.967615189707661</v>
      </c>
      <c r="H97" s="852">
        <v>1.6675147780813302</v>
      </c>
      <c r="I97" s="852">
        <v>1.6675147780813302</v>
      </c>
      <c r="J97" s="852">
        <v>1.6675147780813302</v>
      </c>
      <c r="K97" s="852">
        <v>1.6675147780813302</v>
      </c>
      <c r="L97" s="852">
        <v>1.899114052814848</v>
      </c>
      <c r="M97" s="852">
        <v>1.9917537627082553</v>
      </c>
      <c r="N97" s="852">
        <v>1.8435302268788039</v>
      </c>
      <c r="O97" s="254">
        <f t="shared" ref="O97:AR97" si="249">O113*($C97/mmBTU_to_GJ*$G97/$F97)</f>
        <v>2.5597920484602081</v>
      </c>
      <c r="P97" s="254">
        <f t="shared" si="249"/>
        <v>2.5255804719830319</v>
      </c>
      <c r="Q97" s="254">
        <f t="shared" si="249"/>
        <v>2.508514311053105</v>
      </c>
      <c r="R97" s="254">
        <f t="shared" si="249"/>
        <v>2.4620013612393787</v>
      </c>
      <c r="S97" s="254">
        <f t="shared" si="249"/>
        <v>2.5403070366096241</v>
      </c>
      <c r="T97" s="254">
        <f t="shared" si="249"/>
        <v>2.5596198017585623</v>
      </c>
      <c r="U97" s="254">
        <f t="shared" si="249"/>
        <v>2.6274226552413431</v>
      </c>
      <c r="V97" s="254">
        <f t="shared" si="249"/>
        <v>2.6949877448721598</v>
      </c>
      <c r="W97" s="254">
        <f t="shared" si="249"/>
        <v>2.7359771762226828</v>
      </c>
      <c r="X97" s="254">
        <f t="shared" si="249"/>
        <v>2.7594809255355894</v>
      </c>
      <c r="Y97" s="254">
        <f t="shared" si="249"/>
        <v>2.7929327144147083</v>
      </c>
      <c r="Z97" s="254">
        <f t="shared" si="249"/>
        <v>2.8274782170128665</v>
      </c>
      <c r="AA97" s="254">
        <f t="shared" si="249"/>
        <v>2.8557773990378479</v>
      </c>
      <c r="AB97" s="254">
        <f t="shared" si="249"/>
        <v>2.8944082129768782</v>
      </c>
      <c r="AC97" s="254">
        <f t="shared" si="249"/>
        <v>2.9312151139892806</v>
      </c>
      <c r="AD97" s="254">
        <f t="shared" si="249"/>
        <v>2.966511950359648</v>
      </c>
      <c r="AE97" s="254">
        <f t="shared" si="249"/>
        <v>2.9977467234102231</v>
      </c>
      <c r="AF97" s="254">
        <f t="shared" si="249"/>
        <v>3.0275126442197702</v>
      </c>
      <c r="AG97" s="254">
        <f t="shared" si="249"/>
        <v>3.0554092127887573</v>
      </c>
      <c r="AH97" s="254">
        <f t="shared" si="249"/>
        <v>3.0915672826673535</v>
      </c>
      <c r="AI97" s="254">
        <f t="shared" si="249"/>
        <v>3.1167332654875524</v>
      </c>
      <c r="AJ97" s="254">
        <f t="shared" si="249"/>
        <v>3.1431165992298116</v>
      </c>
      <c r="AK97" s="254">
        <f t="shared" si="249"/>
        <v>3.1708409210971538</v>
      </c>
      <c r="AL97" s="254">
        <f t="shared" si="249"/>
        <v>3.1960671374265175</v>
      </c>
      <c r="AM97" s="254">
        <f t="shared" si="249"/>
        <v>3.2230993023025833</v>
      </c>
      <c r="AN97" s="254">
        <f t="shared" si="249"/>
        <v>3.2506534909247415</v>
      </c>
      <c r="AO97" s="254">
        <f t="shared" si="249"/>
        <v>3.2748293193925355</v>
      </c>
      <c r="AP97" s="254">
        <f t="shared" si="249"/>
        <v>3.2978596544579739</v>
      </c>
      <c r="AQ97" s="254">
        <f t="shared" si="249"/>
        <v>3.3327063246019542</v>
      </c>
      <c r="AR97" s="254">
        <f t="shared" si="249"/>
        <v>3.3706196200721661</v>
      </c>
      <c r="AS97" s="254">
        <f t="shared" ref="AS97:BA97" si="250">($BB97-$AR97)/10+AR97</f>
        <v>3.3714122172383907</v>
      </c>
      <c r="AT97" s="254">
        <f t="shared" si="250"/>
        <v>3.3722048144046153</v>
      </c>
      <c r="AU97" s="254">
        <f t="shared" si="250"/>
        <v>3.3729974115708399</v>
      </c>
      <c r="AV97" s="254">
        <f t="shared" si="250"/>
        <v>3.3737900087370645</v>
      </c>
      <c r="AW97" s="254">
        <f t="shared" si="250"/>
        <v>3.3745826059032891</v>
      </c>
      <c r="AX97" s="254">
        <f t="shared" si="250"/>
        <v>3.3753752030695137</v>
      </c>
      <c r="AY97" s="254">
        <f t="shared" si="250"/>
        <v>3.3761678002357383</v>
      </c>
      <c r="AZ97" s="254">
        <f t="shared" si="250"/>
        <v>3.3769603974019629</v>
      </c>
      <c r="BA97" s="254">
        <f t="shared" si="250"/>
        <v>3.3777529945681875</v>
      </c>
      <c r="BB97" s="781">
        <f>('AEO Data'!$B$28*AM97)</f>
        <v>3.3785455917344129</v>
      </c>
      <c r="BC97" s="254">
        <f t="shared" ref="BC97:BP97" si="251">($BQ97-$BB97)/15+BB97</f>
        <v>3.3904023830051258</v>
      </c>
      <c r="BD97" s="254">
        <f t="shared" si="251"/>
        <v>3.4022591742758386</v>
      </c>
      <c r="BE97" s="254">
        <f t="shared" si="251"/>
        <v>3.4141159655465514</v>
      </c>
      <c r="BF97" s="254">
        <f t="shared" si="251"/>
        <v>3.4259727568172642</v>
      </c>
      <c r="BG97" s="254">
        <f t="shared" si="251"/>
        <v>3.437829548087977</v>
      </c>
      <c r="BH97" s="254">
        <f t="shared" si="251"/>
        <v>3.4496863393586898</v>
      </c>
      <c r="BI97" s="254">
        <f t="shared" si="251"/>
        <v>3.4615431306294027</v>
      </c>
      <c r="BJ97" s="254">
        <f t="shared" si="251"/>
        <v>3.4733999219001155</v>
      </c>
      <c r="BK97" s="254">
        <f t="shared" si="251"/>
        <v>3.4852567131708283</v>
      </c>
      <c r="BL97" s="254">
        <f t="shared" si="251"/>
        <v>3.4971135044415411</v>
      </c>
      <c r="BM97" s="254">
        <f t="shared" si="251"/>
        <v>3.5089702957122539</v>
      </c>
      <c r="BN97" s="254">
        <f t="shared" si="251"/>
        <v>3.5208270869829668</v>
      </c>
      <c r="BO97" s="254">
        <f t="shared" si="251"/>
        <v>3.5326838782536796</v>
      </c>
      <c r="BP97" s="254">
        <f t="shared" si="251"/>
        <v>3.5445406695243924</v>
      </c>
      <c r="BQ97" s="781">
        <f>('AEO Data'!$C$28*BB97)</f>
        <v>3.5563974607951057</v>
      </c>
      <c r="BR97" s="254">
        <f t="shared" si="243"/>
        <v>3.5677989187133954</v>
      </c>
      <c r="BS97" s="254">
        <f t="shared" si="243"/>
        <v>3.5792003766316851</v>
      </c>
      <c r="BT97" s="254">
        <f t="shared" si="243"/>
        <v>3.5906018345499748</v>
      </c>
      <c r="BU97" s="254">
        <f t="shared" si="243"/>
        <v>3.6020032924682646</v>
      </c>
      <c r="BV97" s="805">
        <f>('AEO Data'!$D$28*BQ97)</f>
        <v>3.6134047503865552</v>
      </c>
      <c r="BW97" s="1077">
        <f t="shared" ref="BW97:CZ97" si="252">+BV97*BW$139/BV$139</f>
        <v>3.6256215101320701</v>
      </c>
      <c r="BX97" s="1077">
        <f t="shared" si="252"/>
        <v>3.6378795741955314</v>
      </c>
      <c r="BY97" s="1077">
        <f t="shared" si="252"/>
        <v>3.6501790822249895</v>
      </c>
      <c r="BZ97" s="1077">
        <f t="shared" si="252"/>
        <v>3.6625201743406386</v>
      </c>
      <c r="CA97" s="1077">
        <f t="shared" si="252"/>
        <v>3.6749029911364137</v>
      </c>
      <c r="CB97" s="1077">
        <f t="shared" si="252"/>
        <v>3.6854248153589553</v>
      </c>
      <c r="CC97" s="1077">
        <f t="shared" si="252"/>
        <v>3.6959767652161704</v>
      </c>
      <c r="CD97" s="1077">
        <f t="shared" si="252"/>
        <v>3.7065589269624799</v>
      </c>
      <c r="CE97" s="1077">
        <f t="shared" si="252"/>
        <v>3.7171713870992669</v>
      </c>
      <c r="CF97" s="1077">
        <f t="shared" si="252"/>
        <v>3.7278142323755787</v>
      </c>
      <c r="CG97" s="1077">
        <f t="shared" si="252"/>
        <v>3.7359400558283795</v>
      </c>
      <c r="CH97" s="1077">
        <f t="shared" si="252"/>
        <v>3.7440835918072533</v>
      </c>
      <c r="CI97" s="1077">
        <f t="shared" si="252"/>
        <v>3.7522448789216503</v>
      </c>
      <c r="CJ97" s="1077">
        <f t="shared" si="252"/>
        <v>3.760423955865182</v>
      </c>
      <c r="CK97" s="1077">
        <f t="shared" si="252"/>
        <v>3.768620861415803</v>
      </c>
      <c r="CL97" s="1077">
        <f t="shared" si="252"/>
        <v>3.7741776799118107</v>
      </c>
      <c r="CM97" s="1077">
        <f t="shared" si="252"/>
        <v>3.7797426919175763</v>
      </c>
      <c r="CN97" s="1077">
        <f t="shared" si="252"/>
        <v>3.7853159095144004</v>
      </c>
      <c r="CO97" s="1077">
        <f t="shared" si="252"/>
        <v>3.7908973448013987</v>
      </c>
      <c r="CP97" s="1077">
        <f t="shared" si="252"/>
        <v>3.796487009895527</v>
      </c>
      <c r="CQ97" s="1077">
        <f t="shared" si="252"/>
        <v>3.7983589013238204</v>
      </c>
      <c r="CR97" s="1077">
        <f t="shared" si="252"/>
        <v>3.8002317157047045</v>
      </c>
      <c r="CS97" s="1077">
        <f t="shared" si="252"/>
        <v>3.8021054534932484</v>
      </c>
      <c r="CT97" s="1077">
        <f t="shared" si="252"/>
        <v>3.8039801151447463</v>
      </c>
      <c r="CU97" s="1077">
        <f t="shared" si="252"/>
        <v>3.805855701114718</v>
      </c>
      <c r="CV97" s="1077">
        <f t="shared" si="252"/>
        <v>3.803160079589381</v>
      </c>
      <c r="CW97" s="1077">
        <f t="shared" si="252"/>
        <v>3.8004663673259764</v>
      </c>
      <c r="CX97" s="1077">
        <f t="shared" si="252"/>
        <v>3.7977745629722066</v>
      </c>
      <c r="CY97" s="1077">
        <f t="shared" si="252"/>
        <v>3.7950846651767312</v>
      </c>
      <c r="CZ97" s="1077">
        <f t="shared" si="252"/>
        <v>3.7923966725891693</v>
      </c>
    </row>
    <row r="98" spans="1:104" x14ac:dyDescent="0.25">
      <c r="A98" s="729" t="str">
        <f>'HyARC Physical Property Data'!A76</f>
        <v>Commercial Electricity</v>
      </c>
      <c r="B98" s="254">
        <v>2012</v>
      </c>
      <c r="C98" s="726">
        <f t="shared" si="221"/>
        <v>1.0573833607504113</v>
      </c>
      <c r="D98" s="1018" t="str">
        <f>'HyARC Physical Property Data'!$H$76</f>
        <v>kWh</v>
      </c>
      <c r="E98" s="726" t="s">
        <v>1053</v>
      </c>
      <c r="F98" s="730"/>
      <c r="G98" s="726"/>
      <c r="H98" s="852">
        <v>26.706046857142852</v>
      </c>
      <c r="I98" s="852">
        <v>26.706046857142852</v>
      </c>
      <c r="J98" s="852">
        <v>26.706046857142852</v>
      </c>
      <c r="K98" s="852">
        <v>26.706046857142852</v>
      </c>
      <c r="L98" s="852">
        <v>28.244819428571425</v>
      </c>
      <c r="M98" s="852">
        <v>26.82655314285714</v>
      </c>
      <c r="N98" s="852">
        <v>25.371207999999996</v>
      </c>
      <c r="O98" s="254">
        <f>O114*($C98)</f>
        <v>32.283135281491724</v>
      </c>
      <c r="P98" s="254">
        <f t="shared" ref="P98:AR98" si="253">P114*($C98)</f>
        <v>31.249217372283084</v>
      </c>
      <c r="Q98" s="254">
        <f t="shared" si="253"/>
        <v>31.153358168947534</v>
      </c>
      <c r="R98" s="254">
        <f t="shared" si="253"/>
        <v>31.319492127821917</v>
      </c>
      <c r="S98" s="254">
        <f t="shared" si="253"/>
        <v>31.713042813009693</v>
      </c>
      <c r="T98" s="254">
        <f t="shared" si="253"/>
        <v>31.867220938224076</v>
      </c>
      <c r="U98" s="254">
        <f t="shared" si="253"/>
        <v>32.111549454009307</v>
      </c>
      <c r="V98" s="254">
        <f t="shared" si="253"/>
        <v>32.486400314462216</v>
      </c>
      <c r="W98" s="254">
        <f t="shared" si="253"/>
        <v>32.794032257288862</v>
      </c>
      <c r="X98" s="254">
        <f t="shared" si="253"/>
        <v>32.56691477046656</v>
      </c>
      <c r="Y98" s="254">
        <f t="shared" si="253"/>
        <v>32.389706835655034</v>
      </c>
      <c r="Z98" s="254">
        <f t="shared" si="253"/>
        <v>32.033284052413286</v>
      </c>
      <c r="AA98" s="254">
        <f t="shared" si="253"/>
        <v>31.890145009485142</v>
      </c>
      <c r="AB98" s="254">
        <f t="shared" si="253"/>
        <v>32.24751415083476</v>
      </c>
      <c r="AC98" s="254">
        <f t="shared" si="253"/>
        <v>32.302516061110914</v>
      </c>
      <c r="AD98" s="254">
        <f t="shared" si="253"/>
        <v>32.38566340168353</v>
      </c>
      <c r="AE98" s="254">
        <f t="shared" si="253"/>
        <v>32.600838800829514</v>
      </c>
      <c r="AF98" s="254">
        <f t="shared" si="253"/>
        <v>32.680488317244759</v>
      </c>
      <c r="AG98" s="254">
        <f t="shared" si="253"/>
        <v>32.795928145654685</v>
      </c>
      <c r="AH98" s="254">
        <f t="shared" si="253"/>
        <v>33.053412625214378</v>
      </c>
      <c r="AI98" s="254">
        <f t="shared" si="253"/>
        <v>33.31428601844528</v>
      </c>
      <c r="AJ98" s="254">
        <f t="shared" si="253"/>
        <v>33.35913704845823</v>
      </c>
      <c r="AK98" s="254">
        <f t="shared" si="253"/>
        <v>33.34702472206083</v>
      </c>
      <c r="AL98" s="254">
        <f t="shared" si="253"/>
        <v>33.547734059448395</v>
      </c>
      <c r="AM98" s="254">
        <f t="shared" si="253"/>
        <v>33.819217237321062</v>
      </c>
      <c r="AN98" s="254">
        <f t="shared" si="253"/>
        <v>34.102738724755874</v>
      </c>
      <c r="AO98" s="254">
        <f t="shared" si="253"/>
        <v>34.318819244058659</v>
      </c>
      <c r="AP98" s="254">
        <f t="shared" si="253"/>
        <v>34.39246810990165</v>
      </c>
      <c r="AQ98" s="254">
        <f t="shared" si="253"/>
        <v>34.626804352927799</v>
      </c>
      <c r="AR98" s="254">
        <f t="shared" si="253"/>
        <v>34.901427959381891</v>
      </c>
      <c r="AS98" s="254">
        <f t="shared" ref="AS98:BA98" si="254">($BB98-$AR98)/10+AR98</f>
        <v>34.70890076364649</v>
      </c>
      <c r="AT98" s="254">
        <f t="shared" si="254"/>
        <v>34.516373567911089</v>
      </c>
      <c r="AU98" s="254">
        <f t="shared" si="254"/>
        <v>34.323846372175687</v>
      </c>
      <c r="AV98" s="254">
        <f t="shared" si="254"/>
        <v>34.131319176440286</v>
      </c>
      <c r="AW98" s="254">
        <f t="shared" si="254"/>
        <v>33.938791980704885</v>
      </c>
      <c r="AX98" s="254">
        <f t="shared" si="254"/>
        <v>33.746264784969483</v>
      </c>
      <c r="AY98" s="254">
        <f t="shared" si="254"/>
        <v>33.553737589234082</v>
      </c>
      <c r="AZ98" s="254">
        <f t="shared" si="254"/>
        <v>33.361210393498681</v>
      </c>
      <c r="BA98" s="254">
        <f t="shared" si="254"/>
        <v>33.168683197763279</v>
      </c>
      <c r="BB98" s="781">
        <f>'AEO Data'!$B$33*AM98</f>
        <v>32.976156002027878</v>
      </c>
      <c r="BC98" s="254">
        <f t="shared" ref="BC98:BP98" si="255">($BQ98-$BB98)/15+BB98</f>
        <v>32.995368695731926</v>
      </c>
      <c r="BD98" s="254">
        <f t="shared" si="255"/>
        <v>33.014581389435975</v>
      </c>
      <c r="BE98" s="254">
        <f t="shared" si="255"/>
        <v>33.033794083140023</v>
      </c>
      <c r="BF98" s="254">
        <f t="shared" si="255"/>
        <v>33.053006776844072</v>
      </c>
      <c r="BG98" s="254">
        <f t="shared" si="255"/>
        <v>33.07221947054812</v>
      </c>
      <c r="BH98" s="254">
        <f t="shared" si="255"/>
        <v>33.091432164252168</v>
      </c>
      <c r="BI98" s="254">
        <f t="shared" si="255"/>
        <v>33.110644857956217</v>
      </c>
      <c r="BJ98" s="254">
        <f t="shared" si="255"/>
        <v>33.129857551660265</v>
      </c>
      <c r="BK98" s="254">
        <f t="shared" si="255"/>
        <v>33.149070245364314</v>
      </c>
      <c r="BL98" s="254">
        <f t="shared" si="255"/>
        <v>33.168282939068362</v>
      </c>
      <c r="BM98" s="254">
        <f t="shared" si="255"/>
        <v>33.187495632772411</v>
      </c>
      <c r="BN98" s="254">
        <f t="shared" si="255"/>
        <v>33.206708326476459</v>
      </c>
      <c r="BO98" s="254">
        <f t="shared" si="255"/>
        <v>33.225921020180508</v>
      </c>
      <c r="BP98" s="254">
        <f t="shared" si="255"/>
        <v>33.245133713884556</v>
      </c>
      <c r="BQ98" s="781">
        <f>'AEO Data'!$C$33*BB98</f>
        <v>33.264346407588576</v>
      </c>
      <c r="BR98" s="254">
        <f t="shared" si="243"/>
        <v>33.241947852661184</v>
      </c>
      <c r="BS98" s="254">
        <f t="shared" si="243"/>
        <v>33.219549297733792</v>
      </c>
      <c r="BT98" s="254">
        <f t="shared" si="243"/>
        <v>33.1971507428064</v>
      </c>
      <c r="BU98" s="254">
        <f t="shared" si="243"/>
        <v>33.174752187879008</v>
      </c>
      <c r="BV98" s="805">
        <f>'AEO Data'!$D$33*BQ98</f>
        <v>33.152353632951616</v>
      </c>
      <c r="BW98" s="1077">
        <f>+BV98*BW$140/BV$140</f>
        <v>33.137756526643614</v>
      </c>
      <c r="BX98" s="1077">
        <f t="shared" ref="BX98:CZ98" si="256">+BW98*BX$140/BW$140</f>
        <v>33.123165847496566</v>
      </c>
      <c r="BY98" s="1077">
        <f t="shared" si="256"/>
        <v>33.108581592680558</v>
      </c>
      <c r="BZ98" s="1077">
        <f t="shared" si="256"/>
        <v>33.094003759366935</v>
      </c>
      <c r="CA98" s="1077">
        <f t="shared" si="256"/>
        <v>33.079432344728289</v>
      </c>
      <c r="CB98" s="1077">
        <f t="shared" si="256"/>
        <v>33.052936236007881</v>
      </c>
      <c r="CC98" s="1077">
        <f t="shared" si="256"/>
        <v>33.026461350256774</v>
      </c>
      <c r="CD98" s="1077">
        <f t="shared" si="256"/>
        <v>33.000007670475696</v>
      </c>
      <c r="CE98" s="1077">
        <f t="shared" si="256"/>
        <v>32.973575179679017</v>
      </c>
      <c r="CF98" s="1077">
        <f t="shared" si="256"/>
        <v>32.947163860894676</v>
      </c>
      <c r="CG98" s="1077">
        <f t="shared" si="256"/>
        <v>32.91078078916545</v>
      </c>
      <c r="CH98" s="1077">
        <f t="shared" si="256"/>
        <v>32.874437894730825</v>
      </c>
      <c r="CI98" s="1077">
        <f t="shared" si="256"/>
        <v>32.838135133223581</v>
      </c>
      <c r="CJ98" s="1077">
        <f t="shared" si="256"/>
        <v>32.801872460325534</v>
      </c>
      <c r="CK98" s="1077">
        <f t="shared" si="256"/>
        <v>32.765649831767405</v>
      </c>
      <c r="CL98" s="1077">
        <f t="shared" si="256"/>
        <v>32.726158314166163</v>
      </c>
      <c r="CM98" s="1077">
        <f t="shared" si="256"/>
        <v>32.686714394582069</v>
      </c>
      <c r="CN98" s="1077">
        <f t="shared" si="256"/>
        <v>32.647318015646562</v>
      </c>
      <c r="CO98" s="1077">
        <f t="shared" si="256"/>
        <v>32.60796912006024</v>
      </c>
      <c r="CP98" s="1077">
        <f t="shared" si="256"/>
        <v>32.568667650592751</v>
      </c>
      <c r="CQ98" s="1077">
        <f t="shared" si="256"/>
        <v>32.523146286411503</v>
      </c>
      <c r="CR98" s="1077">
        <f t="shared" si="256"/>
        <v>32.477688547633022</v>
      </c>
      <c r="CS98" s="1077">
        <f t="shared" si="256"/>
        <v>32.432294345327811</v>
      </c>
      <c r="CT98" s="1077">
        <f t="shared" si="256"/>
        <v>32.386963590690684</v>
      </c>
      <c r="CU98" s="1077">
        <f t="shared" si="256"/>
        <v>32.341696195040562</v>
      </c>
      <c r="CV98" s="1077">
        <f t="shared" si="256"/>
        <v>32.297507157866328</v>
      </c>
      <c r="CW98" s="1077">
        <f t="shared" si="256"/>
        <v>32.25337849696286</v>
      </c>
      <c r="CX98" s="1077">
        <f t="shared" si="256"/>
        <v>32.209310129836972</v>
      </c>
      <c r="CY98" s="1077">
        <f t="shared" si="256"/>
        <v>32.16530197410821</v>
      </c>
      <c r="CZ98" s="1077">
        <f t="shared" si="256"/>
        <v>32.121353947508659</v>
      </c>
    </row>
    <row r="99" spans="1:104" x14ac:dyDescent="0.25">
      <c r="A99" s="729" t="str">
        <f>'HyARC Physical Property Data'!A77</f>
        <v>Industrial Electricity</v>
      </c>
      <c r="B99" s="254">
        <v>2012</v>
      </c>
      <c r="C99" s="726">
        <f t="shared" si="221"/>
        <v>1.0573833607504113</v>
      </c>
      <c r="D99" s="1018" t="str">
        <f>'HyARC Physical Property Data'!$H$77</f>
        <v>kWh</v>
      </c>
      <c r="E99" s="726" t="s">
        <v>1053</v>
      </c>
      <c r="F99" s="737"/>
      <c r="G99" s="220"/>
      <c r="H99" s="852">
        <v>17.630996571428568</v>
      </c>
      <c r="I99" s="852">
        <v>17.630996571428568</v>
      </c>
      <c r="J99" s="852">
        <v>17.630996571428568</v>
      </c>
      <c r="K99" s="852">
        <v>17.630996571428568</v>
      </c>
      <c r="L99" s="852">
        <v>18.734092571428569</v>
      </c>
      <c r="M99" s="852">
        <v>18.576507428571425</v>
      </c>
      <c r="N99" s="852">
        <v>17.751502857142853</v>
      </c>
      <c r="O99" s="254">
        <f t="shared" ref="O99:AR99" si="257">O115*($C99)</f>
        <v>21.515674690350355</v>
      </c>
      <c r="P99" s="254">
        <f t="shared" si="257"/>
        <v>20.614325162612442</v>
      </c>
      <c r="Q99" s="254">
        <f t="shared" si="257"/>
        <v>21.234320838805083</v>
      </c>
      <c r="R99" s="254">
        <f t="shared" si="257"/>
        <v>21.012944943631656</v>
      </c>
      <c r="S99" s="254">
        <f t="shared" si="257"/>
        <v>21.260067066255996</v>
      </c>
      <c r="T99" s="254">
        <f t="shared" si="257"/>
        <v>21.264334665499984</v>
      </c>
      <c r="U99" s="254">
        <f t="shared" si="257"/>
        <v>21.45053776056141</v>
      </c>
      <c r="V99" s="254">
        <f t="shared" si="257"/>
        <v>21.773568377270657</v>
      </c>
      <c r="W99" s="254">
        <f t="shared" si="257"/>
        <v>22.056475524972875</v>
      </c>
      <c r="X99" s="254">
        <f t="shared" si="257"/>
        <v>21.961455884025764</v>
      </c>
      <c r="Y99" s="254">
        <f t="shared" si="257"/>
        <v>21.942053956739354</v>
      </c>
      <c r="Z99" s="254">
        <f t="shared" si="257"/>
        <v>21.839343966609501</v>
      </c>
      <c r="AA99" s="254">
        <f t="shared" si="257"/>
        <v>21.848738817769767</v>
      </c>
      <c r="AB99" s="254">
        <f t="shared" si="257"/>
        <v>22.148172867400511</v>
      </c>
      <c r="AC99" s="254">
        <f t="shared" si="257"/>
        <v>22.288834461114416</v>
      </c>
      <c r="AD99" s="254">
        <f t="shared" si="257"/>
        <v>22.455557382520738</v>
      </c>
      <c r="AE99" s="254">
        <f t="shared" si="257"/>
        <v>22.693200063315949</v>
      </c>
      <c r="AF99" s="254">
        <f t="shared" si="257"/>
        <v>22.825154105054075</v>
      </c>
      <c r="AG99" s="254">
        <f t="shared" si="257"/>
        <v>22.985164756886352</v>
      </c>
      <c r="AH99" s="254">
        <f t="shared" si="257"/>
        <v>23.25006678072171</v>
      </c>
      <c r="AI99" s="254">
        <f t="shared" si="257"/>
        <v>23.513378499982501</v>
      </c>
      <c r="AJ99" s="254">
        <f t="shared" si="257"/>
        <v>23.624497859980398</v>
      </c>
      <c r="AK99" s="254">
        <f t="shared" si="257"/>
        <v>23.72471031061216</v>
      </c>
      <c r="AL99" s="254">
        <f t="shared" si="257"/>
        <v>23.954574879405691</v>
      </c>
      <c r="AM99" s="254">
        <f t="shared" si="257"/>
        <v>24.226613183542757</v>
      </c>
      <c r="AN99" s="254">
        <f t="shared" si="257"/>
        <v>24.521924495449934</v>
      </c>
      <c r="AO99" s="254">
        <f t="shared" si="257"/>
        <v>24.752620167565013</v>
      </c>
      <c r="AP99" s="254">
        <f t="shared" si="257"/>
        <v>24.871397097861468</v>
      </c>
      <c r="AQ99" s="254">
        <f t="shared" si="257"/>
        <v>25.127647611039166</v>
      </c>
      <c r="AR99" s="254">
        <f t="shared" si="257"/>
        <v>25.43300195010675</v>
      </c>
      <c r="AS99" s="254">
        <f t="shared" ref="AS99:BA99" si="258">($BB99-$AR99)/10+AR99</f>
        <v>25.251969841122818</v>
      </c>
      <c r="AT99" s="254">
        <f t="shared" si="258"/>
        <v>25.070937732138887</v>
      </c>
      <c r="AU99" s="254">
        <f t="shared" si="258"/>
        <v>24.889905623154956</v>
      </c>
      <c r="AV99" s="254">
        <f t="shared" si="258"/>
        <v>24.708873514171025</v>
      </c>
      <c r="AW99" s="254">
        <f t="shared" si="258"/>
        <v>24.527841405187093</v>
      </c>
      <c r="AX99" s="254">
        <f t="shared" si="258"/>
        <v>24.346809296203162</v>
      </c>
      <c r="AY99" s="254">
        <f t="shared" si="258"/>
        <v>24.165777187219231</v>
      </c>
      <c r="AZ99" s="254">
        <f t="shared" si="258"/>
        <v>23.984745078235299</v>
      </c>
      <c r="BA99" s="254">
        <f t="shared" si="258"/>
        <v>23.803712969251368</v>
      </c>
      <c r="BB99" s="781">
        <f>'AEO Data'!$B$33*AM99</f>
        <v>23.622680860267447</v>
      </c>
      <c r="BC99" s="254">
        <f t="shared" ref="BC99:BP99" si="259">($BQ99-$BB99)/15+BB99</f>
        <v>23.636443996632064</v>
      </c>
      <c r="BD99" s="254">
        <f t="shared" si="259"/>
        <v>23.65020713299668</v>
      </c>
      <c r="BE99" s="254">
        <f t="shared" si="259"/>
        <v>23.663970269361297</v>
      </c>
      <c r="BF99" s="254">
        <f t="shared" si="259"/>
        <v>23.677733405725913</v>
      </c>
      <c r="BG99" s="254">
        <f t="shared" si="259"/>
        <v>23.69149654209053</v>
      </c>
      <c r="BH99" s="254">
        <f t="shared" si="259"/>
        <v>23.705259678455146</v>
      </c>
      <c r="BI99" s="254">
        <f t="shared" si="259"/>
        <v>23.719022814819763</v>
      </c>
      <c r="BJ99" s="254">
        <f t="shared" si="259"/>
        <v>23.732785951184379</v>
      </c>
      <c r="BK99" s="254">
        <f t="shared" si="259"/>
        <v>23.746549087548996</v>
      </c>
      <c r="BL99" s="254">
        <f t="shared" si="259"/>
        <v>23.760312223913612</v>
      </c>
      <c r="BM99" s="254">
        <f t="shared" si="259"/>
        <v>23.774075360278228</v>
      </c>
      <c r="BN99" s="254">
        <f t="shared" si="259"/>
        <v>23.787838496642845</v>
      </c>
      <c r="BO99" s="254">
        <f t="shared" si="259"/>
        <v>23.801601633007461</v>
      </c>
      <c r="BP99" s="254">
        <f t="shared" si="259"/>
        <v>23.815364769372078</v>
      </c>
      <c r="BQ99" s="781">
        <f>'AEO Data'!$C$33*BB99</f>
        <v>23.829127905736687</v>
      </c>
      <c r="BR99" s="254">
        <f t="shared" si="243"/>
        <v>23.813082557250695</v>
      </c>
      <c r="BS99" s="254">
        <f t="shared" si="243"/>
        <v>23.797037208764703</v>
      </c>
      <c r="BT99" s="254">
        <f t="shared" si="243"/>
        <v>23.780991860278711</v>
      </c>
      <c r="BU99" s="254">
        <f t="shared" si="243"/>
        <v>23.764946511792719</v>
      </c>
      <c r="BV99" s="805">
        <f>'AEO Data'!$D$33*BQ99</f>
        <v>23.748901163306734</v>
      </c>
      <c r="BW99" s="1077">
        <f>+BV99*BW$141/BV$141</f>
        <v>23.75607712303141</v>
      </c>
      <c r="BX99" s="1077">
        <f t="shared" ref="BX99:CZ99" si="260">+BW99*BX$141/BW$141</f>
        <v>23.763255251041588</v>
      </c>
      <c r="BY99" s="1077">
        <f t="shared" si="260"/>
        <v>23.770435547992431</v>
      </c>
      <c r="BZ99" s="1077">
        <f t="shared" si="260"/>
        <v>23.777618014539303</v>
      </c>
      <c r="CA99" s="1077">
        <f t="shared" si="260"/>
        <v>23.78480265133777</v>
      </c>
      <c r="CB99" s="1077">
        <f t="shared" si="260"/>
        <v>23.782112772933441</v>
      </c>
      <c r="CC99" s="1077">
        <f t="shared" si="260"/>
        <v>23.779423198733689</v>
      </c>
      <c r="CD99" s="1077">
        <f t="shared" si="260"/>
        <v>23.776733928704111</v>
      </c>
      <c r="CE99" s="1077">
        <f t="shared" si="260"/>
        <v>23.774044962810308</v>
      </c>
      <c r="CF99" s="1077">
        <f t="shared" si="260"/>
        <v>23.771356301017885</v>
      </c>
      <c r="CG99" s="1077">
        <f t="shared" si="260"/>
        <v>23.76057340337865</v>
      </c>
      <c r="CH99" s="1077">
        <f t="shared" si="260"/>
        <v>23.749795396957229</v>
      </c>
      <c r="CI99" s="1077">
        <f t="shared" si="260"/>
        <v>23.739022279534925</v>
      </c>
      <c r="CJ99" s="1077">
        <f t="shared" si="260"/>
        <v>23.728254048894051</v>
      </c>
      <c r="CK99" s="1077">
        <f t="shared" si="260"/>
        <v>23.717490702817912</v>
      </c>
      <c r="CL99" s="1077">
        <f t="shared" si="260"/>
        <v>23.704286288042756</v>
      </c>
      <c r="CM99" s="1077">
        <f t="shared" si="260"/>
        <v>23.691089224659521</v>
      </c>
      <c r="CN99" s="1077">
        <f t="shared" si="260"/>
        <v>23.677899508575415</v>
      </c>
      <c r="CO99" s="1077">
        <f t="shared" si="260"/>
        <v>23.664717135699917</v>
      </c>
      <c r="CP99" s="1077">
        <f t="shared" si="260"/>
        <v>23.651542101944788</v>
      </c>
      <c r="CQ99" s="1077">
        <f t="shared" si="260"/>
        <v>23.633491650128491</v>
      </c>
      <c r="CR99" s="1077">
        <f t="shared" si="260"/>
        <v>23.615454974107841</v>
      </c>
      <c r="CS99" s="1077">
        <f t="shared" si="260"/>
        <v>23.597432063369389</v>
      </c>
      <c r="CT99" s="1077">
        <f t="shared" si="260"/>
        <v>23.579422907407711</v>
      </c>
      <c r="CU99" s="1077">
        <f t="shared" si="260"/>
        <v>23.561427495725386</v>
      </c>
      <c r="CV99" s="1077">
        <f t="shared" si="260"/>
        <v>23.544508396580287</v>
      </c>
      <c r="CW99" s="1077">
        <f t="shared" si="260"/>
        <v>23.52760144678038</v>
      </c>
      <c r="CX99" s="1077">
        <f t="shared" si="260"/>
        <v>23.510706637601409</v>
      </c>
      <c r="CY99" s="1077">
        <f t="shared" si="260"/>
        <v>23.493823960325379</v>
      </c>
      <c r="CZ99" s="1077">
        <f t="shared" si="260"/>
        <v>23.476953406240558</v>
      </c>
    </row>
    <row r="100" spans="1:104" ht="13.8" thickBot="1" x14ac:dyDescent="0.3">
      <c r="A100" s="731" t="str">
        <f>'HyARC Physical Property Data'!A78</f>
        <v>Residential Electricity</v>
      </c>
      <c r="B100" s="732">
        <v>2012</v>
      </c>
      <c r="C100" s="733">
        <f t="shared" si="221"/>
        <v>1.0573833607504113</v>
      </c>
      <c r="D100" s="1019" t="str">
        <f>'HyARC Physical Property Data'!$H$78</f>
        <v>kWh</v>
      </c>
      <c r="E100" s="733" t="s">
        <v>1053</v>
      </c>
      <c r="F100" s="738"/>
      <c r="G100" s="482"/>
      <c r="H100" s="854">
        <v>29.496230857142855</v>
      </c>
      <c r="I100" s="854">
        <v>29.496230857142855</v>
      </c>
      <c r="J100" s="854">
        <v>29.496230857142855</v>
      </c>
      <c r="K100" s="854">
        <v>29.496230857142855</v>
      </c>
      <c r="L100" s="854">
        <v>30.858878857142852</v>
      </c>
      <c r="M100" s="854">
        <v>29.96898628571428</v>
      </c>
      <c r="N100" s="854">
        <v>28.680495999999998</v>
      </c>
      <c r="O100" s="732">
        <f t="shared" ref="O100:AR100" si="261">O116*($C100)</f>
        <v>36.958599009222638</v>
      </c>
      <c r="P100" s="732">
        <f t="shared" si="261"/>
        <v>36.829914396835953</v>
      </c>
      <c r="Q100" s="732">
        <f t="shared" si="261"/>
        <v>35.967931251618772</v>
      </c>
      <c r="R100" s="732">
        <f t="shared" si="261"/>
        <v>36.384210392145889</v>
      </c>
      <c r="S100" s="732">
        <f t="shared" si="261"/>
        <v>36.946828217650761</v>
      </c>
      <c r="T100" s="732">
        <f t="shared" si="261"/>
        <v>37.180918090353856</v>
      </c>
      <c r="U100" s="732">
        <f t="shared" si="261"/>
        <v>37.557365599681496</v>
      </c>
      <c r="V100" s="732">
        <f t="shared" si="261"/>
        <v>37.974121620104306</v>
      </c>
      <c r="W100" s="732">
        <f t="shared" si="261"/>
        <v>38.254262652934798</v>
      </c>
      <c r="X100" s="732">
        <f t="shared" si="261"/>
        <v>38.221123201025513</v>
      </c>
      <c r="Y100" s="732">
        <f t="shared" si="261"/>
        <v>38.131149393475901</v>
      </c>
      <c r="Z100" s="732">
        <f t="shared" si="261"/>
        <v>37.858692365527979</v>
      </c>
      <c r="AA100" s="732">
        <f t="shared" si="261"/>
        <v>37.743955697052961</v>
      </c>
      <c r="AB100" s="732">
        <f t="shared" si="261"/>
        <v>38.1089157935494</v>
      </c>
      <c r="AC100" s="732">
        <f t="shared" si="261"/>
        <v>38.215330854975328</v>
      </c>
      <c r="AD100" s="732">
        <f t="shared" si="261"/>
        <v>38.326908061968432</v>
      </c>
      <c r="AE100" s="732">
        <f t="shared" si="261"/>
        <v>38.563554687637811</v>
      </c>
      <c r="AF100" s="732">
        <f t="shared" si="261"/>
        <v>38.678694219173288</v>
      </c>
      <c r="AG100" s="732">
        <f t="shared" si="261"/>
        <v>38.832728540250606</v>
      </c>
      <c r="AH100" s="732">
        <f t="shared" si="261"/>
        <v>39.103972749483745</v>
      </c>
      <c r="AI100" s="732">
        <f t="shared" si="261"/>
        <v>39.394125087973819</v>
      </c>
      <c r="AJ100" s="732">
        <f t="shared" si="261"/>
        <v>39.478120450001747</v>
      </c>
      <c r="AK100" s="732">
        <f t="shared" si="261"/>
        <v>39.513366209565646</v>
      </c>
      <c r="AL100" s="732">
        <f t="shared" si="261"/>
        <v>39.723129920671305</v>
      </c>
      <c r="AM100" s="732">
        <f t="shared" si="261"/>
        <v>39.988020313289695</v>
      </c>
      <c r="AN100" s="732">
        <f t="shared" si="261"/>
        <v>40.267543834237514</v>
      </c>
      <c r="AO100" s="732">
        <f t="shared" si="261"/>
        <v>40.49663228364426</v>
      </c>
      <c r="AP100" s="732">
        <f t="shared" si="261"/>
        <v>40.571116482342241</v>
      </c>
      <c r="AQ100" s="732">
        <f t="shared" si="261"/>
        <v>40.796195334045009</v>
      </c>
      <c r="AR100" s="732">
        <f t="shared" si="261"/>
        <v>41.063070435231531</v>
      </c>
      <c r="AS100" s="732">
        <f t="shared" ref="AS100:BA100" si="262">($BB100-$AR100)/10+AR100</f>
        <v>40.855881419218811</v>
      </c>
      <c r="AT100" s="732">
        <f t="shared" si="262"/>
        <v>40.648692403206091</v>
      </c>
      <c r="AU100" s="732">
        <f t="shared" si="262"/>
        <v>40.441503387193372</v>
      </c>
      <c r="AV100" s="732">
        <f t="shared" si="262"/>
        <v>40.234314371180652</v>
      </c>
      <c r="AW100" s="732">
        <f t="shared" si="262"/>
        <v>40.027125355167932</v>
      </c>
      <c r="AX100" s="732">
        <f t="shared" si="262"/>
        <v>39.819936339155213</v>
      </c>
      <c r="AY100" s="732">
        <f t="shared" si="262"/>
        <v>39.612747323142493</v>
      </c>
      <c r="AZ100" s="732">
        <f t="shared" si="262"/>
        <v>39.405558307129773</v>
      </c>
      <c r="BA100" s="732">
        <f t="shared" si="262"/>
        <v>39.198369291117054</v>
      </c>
      <c r="BB100" s="810">
        <f>'AEO Data'!$B$33*AM100</f>
        <v>38.991180275104313</v>
      </c>
      <c r="BC100" s="732">
        <f t="shared" ref="BC100:BP100" si="263">($BQ100-$BB100)/15+BB100</f>
        <v>39.013897465177614</v>
      </c>
      <c r="BD100" s="732">
        <f t="shared" si="263"/>
        <v>39.036614655250915</v>
      </c>
      <c r="BE100" s="732">
        <f t="shared" si="263"/>
        <v>39.059331845324216</v>
      </c>
      <c r="BF100" s="732">
        <f t="shared" si="263"/>
        <v>39.082049035397517</v>
      </c>
      <c r="BG100" s="732">
        <f t="shared" si="263"/>
        <v>39.104766225470819</v>
      </c>
      <c r="BH100" s="732">
        <f t="shared" si="263"/>
        <v>39.12748341554412</v>
      </c>
      <c r="BI100" s="732">
        <f t="shared" si="263"/>
        <v>39.150200605617421</v>
      </c>
      <c r="BJ100" s="732">
        <f t="shared" si="263"/>
        <v>39.172917795690722</v>
      </c>
      <c r="BK100" s="732">
        <f t="shared" si="263"/>
        <v>39.195634985764023</v>
      </c>
      <c r="BL100" s="732">
        <f t="shared" si="263"/>
        <v>39.218352175837325</v>
      </c>
      <c r="BM100" s="732">
        <f t="shared" si="263"/>
        <v>39.241069365910626</v>
      </c>
      <c r="BN100" s="732">
        <f t="shared" si="263"/>
        <v>39.263786555983927</v>
      </c>
      <c r="BO100" s="732">
        <f t="shared" si="263"/>
        <v>39.286503746057228</v>
      </c>
      <c r="BP100" s="732">
        <f t="shared" si="263"/>
        <v>39.309220936130529</v>
      </c>
      <c r="BQ100" s="810">
        <f>'AEO Data'!$C$33*BB100</f>
        <v>39.331938126203802</v>
      </c>
      <c r="BR100" s="732">
        <f t="shared" si="243"/>
        <v>39.305453957065893</v>
      </c>
      <c r="BS100" s="732">
        <f t="shared" si="243"/>
        <v>39.278969787927984</v>
      </c>
      <c r="BT100" s="732">
        <f t="shared" si="243"/>
        <v>39.252485618790075</v>
      </c>
      <c r="BU100" s="732">
        <f t="shared" si="243"/>
        <v>39.226001449652166</v>
      </c>
      <c r="BV100" s="811">
        <f>'AEO Data'!$D$33*BQ100</f>
        <v>39.199517280514264</v>
      </c>
      <c r="BW100" s="1077">
        <f>+BV100*BW$142/BV$142</f>
        <v>39.182257585250959</v>
      </c>
      <c r="BX100" s="1077">
        <f t="shared" ref="BX100:CZ100" si="264">+BW100*BX$142/BW$142</f>
        <v>39.165005489496558</v>
      </c>
      <c r="BY100" s="1077">
        <f t="shared" si="264"/>
        <v>39.147760989904967</v>
      </c>
      <c r="BZ100" s="1077">
        <f t="shared" si="264"/>
        <v>39.130524083131569</v>
      </c>
      <c r="CA100" s="1077">
        <f t="shared" si="264"/>
        <v>39.113294765833224</v>
      </c>
      <c r="CB100" s="1077">
        <f t="shared" si="264"/>
        <v>39.08196562754182</v>
      </c>
      <c r="CC100" s="1077">
        <f t="shared" si="264"/>
        <v>39.050661583400931</v>
      </c>
      <c r="CD100" s="1077">
        <f t="shared" si="264"/>
        <v>39.01938261331054</v>
      </c>
      <c r="CE100" s="1077">
        <f t="shared" si="264"/>
        <v>38.988128697186724</v>
      </c>
      <c r="CF100" s="1077">
        <f t="shared" si="264"/>
        <v>38.956899814961638</v>
      </c>
      <c r="CG100" s="1077">
        <f t="shared" si="264"/>
        <v>38.913880279614062</v>
      </c>
      <c r="CH100" s="1077">
        <f t="shared" si="264"/>
        <v>38.870908250110908</v>
      </c>
      <c r="CI100" s="1077">
        <f t="shared" si="264"/>
        <v>38.827983673992158</v>
      </c>
      <c r="CJ100" s="1077">
        <f t="shared" si="264"/>
        <v>38.785106498855733</v>
      </c>
      <c r="CK100" s="1077">
        <f t="shared" si="264"/>
        <v>38.74227667235742</v>
      </c>
      <c r="CL100" s="1077">
        <f t="shared" si="264"/>
        <v>38.695581694263772</v>
      </c>
      <c r="CM100" s="1077">
        <f t="shared" si="264"/>
        <v>38.64894299631591</v>
      </c>
      <c r="CN100" s="1077">
        <f t="shared" si="264"/>
        <v>38.60236051068096</v>
      </c>
      <c r="CO100" s="1077">
        <f t="shared" si="264"/>
        <v>38.555834169607792</v>
      </c>
      <c r="CP100" s="1077">
        <f t="shared" si="264"/>
        <v>38.509363905426945</v>
      </c>
      <c r="CQ100" s="1077">
        <f t="shared" si="264"/>
        <v>38.455539205026732</v>
      </c>
      <c r="CR100" s="1077">
        <f t="shared" si="264"/>
        <v>38.401789735637358</v>
      </c>
      <c r="CS100" s="1077">
        <f t="shared" si="264"/>
        <v>38.348115392108113</v>
      </c>
      <c r="CT100" s="1077">
        <f t="shared" si="264"/>
        <v>38.294516069435261</v>
      </c>
      <c r="CU100" s="1077">
        <f t="shared" si="264"/>
        <v>38.24099166276185</v>
      </c>
      <c r="CV100" s="1077">
        <f t="shared" si="264"/>
        <v>38.188742312821311</v>
      </c>
      <c r="CW100" s="1077">
        <f t="shared" si="264"/>
        <v>38.136564352100841</v>
      </c>
      <c r="CX100" s="1077">
        <f t="shared" si="264"/>
        <v>38.084457683060059</v>
      </c>
      <c r="CY100" s="1077">
        <f t="shared" si="264"/>
        <v>38.032422208291884</v>
      </c>
      <c r="CZ100" s="1077">
        <f t="shared" si="264"/>
        <v>37.980457830522298</v>
      </c>
    </row>
    <row r="101" spans="1:104" ht="13.8" thickTop="1" x14ac:dyDescent="0.25">
      <c r="D101" s="879"/>
    </row>
    <row r="102" spans="1:104" ht="13.8" thickBot="1" x14ac:dyDescent="0.3">
      <c r="D102" s="879"/>
    </row>
    <row r="103" spans="1:104" s="836" customFormat="1" x14ac:dyDescent="0.25">
      <c r="A103" s="832" t="s">
        <v>1139</v>
      </c>
      <c r="B103" s="833"/>
      <c r="C103" s="834"/>
      <c r="D103" s="1022"/>
      <c r="E103" s="834"/>
      <c r="F103" s="833"/>
      <c r="G103" s="833"/>
      <c r="H103" s="833"/>
      <c r="I103" s="833"/>
      <c r="J103" s="833"/>
      <c r="K103" s="833"/>
      <c r="L103" s="833"/>
      <c r="M103" s="833"/>
      <c r="N103" s="833"/>
      <c r="O103" s="833"/>
      <c r="P103" s="833"/>
      <c r="Q103" s="833"/>
      <c r="R103" s="833"/>
      <c r="S103" s="833"/>
      <c r="T103" s="833"/>
      <c r="U103" s="833"/>
      <c r="V103" s="833"/>
      <c r="W103" s="833"/>
      <c r="X103" s="833"/>
      <c r="Y103" s="833"/>
      <c r="Z103" s="833"/>
      <c r="AA103" s="833"/>
      <c r="AB103" s="833"/>
      <c r="AC103" s="833"/>
      <c r="AD103" s="833"/>
      <c r="AE103" s="833"/>
      <c r="AF103" s="833"/>
      <c r="AG103" s="833"/>
      <c r="AH103" s="833"/>
      <c r="AI103" s="833"/>
      <c r="AJ103" s="833"/>
      <c r="AK103" s="833"/>
      <c r="AL103" s="833"/>
      <c r="AM103" s="833"/>
      <c r="AN103" s="833"/>
      <c r="AO103" s="833"/>
      <c r="AP103" s="833"/>
      <c r="AQ103" s="833"/>
      <c r="AR103" s="833"/>
      <c r="AS103" s="833"/>
      <c r="AT103" s="833"/>
      <c r="AU103" s="833"/>
      <c r="AV103" s="833"/>
      <c r="AW103" s="833"/>
      <c r="AX103" s="833"/>
      <c r="AY103" s="833"/>
      <c r="AZ103" s="833"/>
      <c r="BA103" s="833"/>
      <c r="BB103" s="833"/>
      <c r="BC103" s="833"/>
      <c r="BD103" s="833"/>
      <c r="BE103" s="833"/>
      <c r="BF103" s="833"/>
      <c r="BG103" s="833"/>
      <c r="BH103" s="833"/>
      <c r="BI103" s="833"/>
      <c r="BJ103" s="833"/>
      <c r="BK103" s="833"/>
      <c r="BL103" s="833"/>
      <c r="BM103" s="833"/>
      <c r="BN103" s="833"/>
      <c r="BO103" s="833"/>
      <c r="BP103" s="833"/>
      <c r="BQ103" s="833"/>
      <c r="BR103" s="833"/>
      <c r="BS103" s="833"/>
      <c r="BT103" s="833"/>
      <c r="BU103" s="833"/>
      <c r="BV103" s="835"/>
    </row>
    <row r="104" spans="1:104" s="836" customFormat="1" x14ac:dyDescent="0.25">
      <c r="A104" s="837" t="s">
        <v>1093</v>
      </c>
      <c r="B104" s="838"/>
      <c r="C104" s="839"/>
      <c r="D104" s="1023"/>
      <c r="E104" s="839"/>
      <c r="F104" s="838"/>
      <c r="G104" s="838"/>
      <c r="H104" s="838"/>
      <c r="I104" s="838"/>
      <c r="J104" s="838"/>
      <c r="K104" s="838"/>
      <c r="L104" s="838"/>
      <c r="M104" s="838"/>
      <c r="N104" s="838"/>
      <c r="O104" s="838"/>
      <c r="P104" s="838"/>
      <c r="Q104" s="838"/>
      <c r="R104" s="838"/>
      <c r="S104" s="838"/>
      <c r="T104" s="838"/>
      <c r="U104" s="838"/>
      <c r="V104" s="838"/>
      <c r="W104" s="838"/>
      <c r="X104" s="838"/>
      <c r="Y104" s="838"/>
      <c r="Z104" s="838"/>
      <c r="AA104" s="838"/>
      <c r="AB104" s="838"/>
      <c r="AC104" s="838"/>
      <c r="AD104" s="838"/>
      <c r="AE104" s="838"/>
      <c r="AF104" s="838"/>
      <c r="AG104" s="838"/>
      <c r="AH104" s="838"/>
      <c r="AI104" s="838"/>
      <c r="AJ104" s="838"/>
      <c r="AK104" s="838"/>
      <c r="AL104" s="838"/>
      <c r="AM104" s="838"/>
      <c r="AN104" s="838"/>
      <c r="AO104" s="838"/>
      <c r="AP104" s="838"/>
      <c r="AQ104" s="838"/>
      <c r="AR104" s="838"/>
      <c r="AS104" s="838"/>
      <c r="AT104" s="838"/>
      <c r="AU104" s="838"/>
      <c r="AV104" s="838"/>
      <c r="AW104" s="838"/>
      <c r="AX104" s="838"/>
      <c r="AY104" s="838"/>
      <c r="AZ104" s="838"/>
      <c r="BA104" s="838"/>
      <c r="BB104" s="838"/>
      <c r="BC104" s="838"/>
      <c r="BD104" s="838"/>
      <c r="BE104" s="838"/>
      <c r="BF104" s="838"/>
      <c r="BG104" s="838"/>
      <c r="BH104" s="838"/>
      <c r="BI104" s="838"/>
      <c r="BJ104" s="838"/>
      <c r="BK104" s="838"/>
      <c r="BL104" s="838"/>
      <c r="BM104" s="838"/>
      <c r="BN104" s="838"/>
      <c r="BO104" s="838"/>
      <c r="BP104" s="838"/>
      <c r="BQ104" s="838"/>
      <c r="BR104" s="838"/>
      <c r="BS104" s="838"/>
      <c r="BT104" s="838"/>
      <c r="BU104" s="838"/>
      <c r="BV104" s="840"/>
    </row>
    <row r="105" spans="1:104" s="836" customFormat="1" x14ac:dyDescent="0.25">
      <c r="A105" s="841"/>
      <c r="B105" s="838"/>
      <c r="C105" s="839"/>
      <c r="D105" s="1023"/>
      <c r="E105" s="839"/>
      <c r="F105" s="838"/>
      <c r="G105" s="838"/>
      <c r="H105" s="838"/>
      <c r="I105" s="838"/>
      <c r="J105" s="838"/>
      <c r="K105" s="838"/>
      <c r="L105" s="838"/>
      <c r="M105" s="838"/>
      <c r="N105" s="838"/>
      <c r="O105" s="838"/>
      <c r="P105" s="838"/>
      <c r="Q105" s="838"/>
      <c r="R105" s="838"/>
      <c r="S105" s="838"/>
      <c r="T105" s="838"/>
      <c r="U105" s="838"/>
      <c r="V105" s="838"/>
      <c r="W105" s="838"/>
      <c r="X105" s="838"/>
      <c r="Y105" s="838"/>
      <c r="Z105" s="838"/>
      <c r="AA105" s="838"/>
      <c r="AB105" s="838"/>
      <c r="AC105" s="838"/>
      <c r="AD105" s="838"/>
      <c r="AE105" s="838"/>
      <c r="AF105" s="838"/>
      <c r="AG105" s="838"/>
      <c r="AH105" s="838"/>
      <c r="AI105" s="838"/>
      <c r="AJ105" s="838"/>
      <c r="AK105" s="838"/>
      <c r="AL105" s="838"/>
      <c r="AM105" s="838"/>
      <c r="AN105" s="838"/>
      <c r="AO105" s="838"/>
      <c r="AP105" s="838"/>
      <c r="AQ105" s="838"/>
      <c r="AR105" s="838"/>
      <c r="AS105" s="838"/>
      <c r="AT105" s="838"/>
      <c r="AU105" s="838"/>
      <c r="AV105" s="838"/>
      <c r="AW105" s="838"/>
      <c r="AX105" s="838"/>
      <c r="AY105" s="838"/>
      <c r="AZ105" s="838"/>
      <c r="BA105" s="838"/>
      <c r="BB105" s="838"/>
      <c r="BC105" s="838"/>
      <c r="BD105" s="838"/>
      <c r="BE105" s="838"/>
      <c r="BF105" s="838"/>
      <c r="BG105" s="838"/>
      <c r="BH105" s="838"/>
      <c r="BI105" s="838"/>
      <c r="BJ105" s="838"/>
      <c r="BK105" s="838"/>
      <c r="BL105" s="838"/>
      <c r="BM105" s="838"/>
      <c r="BN105" s="838"/>
      <c r="BO105" s="838"/>
      <c r="BP105" s="838"/>
      <c r="BQ105" s="838"/>
      <c r="BR105" s="838"/>
      <c r="BS105" s="838"/>
      <c r="BT105" s="838"/>
      <c r="BU105" s="838"/>
      <c r="BV105" s="840"/>
    </row>
    <row r="106" spans="1:104" s="836" customFormat="1" x14ac:dyDescent="0.25">
      <c r="A106" s="841" t="s">
        <v>670</v>
      </c>
      <c r="B106" s="838"/>
      <c r="C106" s="839"/>
      <c r="D106" s="1023"/>
      <c r="E106" s="839"/>
      <c r="F106" s="838"/>
      <c r="G106" s="838"/>
      <c r="H106" s="838"/>
      <c r="I106" s="838"/>
      <c r="J106" s="838"/>
      <c r="K106" s="838"/>
      <c r="L106" s="838"/>
      <c r="M106" s="838"/>
      <c r="N106" s="838"/>
      <c r="O106" s="842">
        <v>10.979644</v>
      </c>
      <c r="P106" s="842">
        <v>10.458463</v>
      </c>
      <c r="Q106" s="842">
        <v>10.386789</v>
      </c>
      <c r="R106" s="842">
        <v>11.197535999999999</v>
      </c>
      <c r="S106" s="842">
        <v>10.997512</v>
      </c>
      <c r="T106" s="842">
        <v>10.684602</v>
      </c>
      <c r="U106" s="842">
        <v>11.01057</v>
      </c>
      <c r="V106" s="842">
        <v>11.455973999999999</v>
      </c>
      <c r="W106" s="842">
        <v>11.627091999999999</v>
      </c>
      <c r="X106" s="842">
        <v>11.591965</v>
      </c>
      <c r="Y106" s="842">
        <v>11.804651</v>
      </c>
      <c r="Z106" s="842">
        <v>11.896172</v>
      </c>
      <c r="AA106" s="842">
        <v>12.056948999999999</v>
      </c>
      <c r="AB106" s="842">
        <v>12.305148000000001</v>
      </c>
      <c r="AC106" s="842">
        <v>12.475469</v>
      </c>
      <c r="AD106" s="842">
        <v>12.579926</v>
      </c>
      <c r="AE106" s="842">
        <v>12.716393999999999</v>
      </c>
      <c r="AF106" s="842">
        <v>12.897914999999999</v>
      </c>
      <c r="AG106" s="842">
        <v>13.184208999999999</v>
      </c>
      <c r="AH106" s="842">
        <v>13.502886999999999</v>
      </c>
      <c r="AI106" s="842">
        <v>13.64997</v>
      </c>
      <c r="AJ106" s="842">
        <v>13.712135</v>
      </c>
      <c r="AK106" s="842">
        <v>13.943460999999999</v>
      </c>
      <c r="AL106" s="842">
        <v>14.339456999999999</v>
      </c>
      <c r="AM106" s="842">
        <v>14.605688000000001</v>
      </c>
      <c r="AN106" s="842">
        <v>14.994783</v>
      </c>
      <c r="AO106" s="842">
        <v>15.152347000000001</v>
      </c>
      <c r="AP106" s="842">
        <v>15.279963</v>
      </c>
      <c r="AQ106" s="842">
        <v>15.618371</v>
      </c>
      <c r="AR106" s="842">
        <v>15.977807</v>
      </c>
      <c r="AS106" s="838"/>
      <c r="AT106" s="838"/>
      <c r="AU106" s="838"/>
      <c r="AV106" s="838"/>
      <c r="AW106" s="838"/>
      <c r="AX106" s="838"/>
      <c r="AY106" s="838"/>
      <c r="AZ106" s="838"/>
      <c r="BA106" s="838"/>
      <c r="BB106" s="838"/>
      <c r="BC106" s="838"/>
      <c r="BD106" s="838"/>
      <c r="BE106" s="838"/>
      <c r="BF106" s="838"/>
      <c r="BG106" s="838"/>
      <c r="BH106" s="838"/>
      <c r="BI106" s="838"/>
      <c r="BJ106" s="838"/>
      <c r="BK106" s="838"/>
      <c r="BL106" s="838"/>
      <c r="BM106" s="838"/>
      <c r="BN106" s="838"/>
      <c r="BO106" s="838"/>
      <c r="BP106" s="838"/>
      <c r="BQ106" s="838"/>
      <c r="BR106" s="838"/>
      <c r="BS106" s="838"/>
      <c r="BT106" s="838"/>
      <c r="BU106" s="838"/>
      <c r="BV106" s="840"/>
    </row>
    <row r="107" spans="1:104" s="836" customFormat="1" x14ac:dyDescent="0.25">
      <c r="A107" s="841" t="s">
        <v>1067</v>
      </c>
      <c r="B107" s="838"/>
      <c r="C107" s="839"/>
      <c r="D107" s="1023"/>
      <c r="E107" s="839"/>
      <c r="F107" s="838"/>
      <c r="G107" s="838"/>
      <c r="H107" s="838"/>
      <c r="I107" s="838"/>
      <c r="J107" s="838"/>
      <c r="K107" s="838"/>
      <c r="L107" s="838"/>
      <c r="M107" s="838"/>
      <c r="N107" s="838"/>
      <c r="O107" s="842">
        <v>8.9608349999999994</v>
      </c>
      <c r="P107" s="842">
        <v>8.1128640000000001</v>
      </c>
      <c r="Q107" s="842">
        <v>8.3120530000000006</v>
      </c>
      <c r="R107" s="842">
        <v>9.0860579999999995</v>
      </c>
      <c r="S107" s="842">
        <v>8.9185510000000008</v>
      </c>
      <c r="T107" s="842">
        <v>8.7230709999999991</v>
      </c>
      <c r="U107" s="842">
        <v>9.0072580000000002</v>
      </c>
      <c r="V107" s="842">
        <v>9.4091780000000007</v>
      </c>
      <c r="W107" s="842">
        <v>9.5464699999999993</v>
      </c>
      <c r="X107" s="842">
        <v>9.490774</v>
      </c>
      <c r="Y107" s="842">
        <v>9.6849690000000006</v>
      </c>
      <c r="Z107" s="842">
        <v>9.7584820000000008</v>
      </c>
      <c r="AA107" s="842">
        <v>9.8987529999999992</v>
      </c>
      <c r="AB107" s="842">
        <v>10.127039999999999</v>
      </c>
      <c r="AC107" s="842">
        <v>10.286922000000001</v>
      </c>
      <c r="AD107" s="842">
        <v>10.380953999999999</v>
      </c>
      <c r="AE107" s="842">
        <v>10.496881999999999</v>
      </c>
      <c r="AF107" s="842">
        <v>10.657225</v>
      </c>
      <c r="AG107" s="842">
        <v>10.911016</v>
      </c>
      <c r="AH107" s="842">
        <v>11.192325</v>
      </c>
      <c r="AI107" s="842">
        <v>11.294316</v>
      </c>
      <c r="AJ107" s="842">
        <v>11.292712999999999</v>
      </c>
      <c r="AK107" s="842">
        <v>11.478382999999999</v>
      </c>
      <c r="AL107" s="842">
        <v>11.747921</v>
      </c>
      <c r="AM107" s="842">
        <v>11.953430000000001</v>
      </c>
      <c r="AN107" s="842">
        <v>12.263629999999999</v>
      </c>
      <c r="AO107" s="842">
        <v>12.368285999999999</v>
      </c>
      <c r="AP107" s="842">
        <v>12.459205000000001</v>
      </c>
      <c r="AQ107" s="842">
        <v>12.755896</v>
      </c>
      <c r="AR107" s="842">
        <v>13.077387</v>
      </c>
      <c r="AS107" s="838"/>
      <c r="AT107" s="838"/>
      <c r="AU107" s="838"/>
      <c r="AV107" s="838"/>
      <c r="AW107" s="838"/>
      <c r="AX107" s="838"/>
      <c r="AY107" s="838"/>
      <c r="AZ107" s="838"/>
      <c r="BA107" s="838"/>
      <c r="BB107" s="838"/>
      <c r="BC107" s="838"/>
      <c r="BD107" s="838"/>
      <c r="BE107" s="838"/>
      <c r="BF107" s="838"/>
      <c r="BG107" s="838"/>
      <c r="BH107" s="838"/>
      <c r="BI107" s="838"/>
      <c r="BJ107" s="838"/>
      <c r="BK107" s="838"/>
      <c r="BL107" s="838"/>
      <c r="BM107" s="838"/>
      <c r="BN107" s="838"/>
      <c r="BO107" s="838"/>
      <c r="BP107" s="838"/>
      <c r="BQ107" s="838"/>
      <c r="BR107" s="838"/>
      <c r="BS107" s="838"/>
      <c r="BT107" s="838"/>
      <c r="BU107" s="838"/>
      <c r="BV107" s="840"/>
    </row>
    <row r="108" spans="1:104" s="836" customFormat="1" x14ac:dyDescent="0.25">
      <c r="A108" s="841" t="s">
        <v>282</v>
      </c>
      <c r="B108" s="838"/>
      <c r="C108" s="839"/>
      <c r="D108" s="1023"/>
      <c r="E108" s="839"/>
      <c r="F108" s="838"/>
      <c r="G108" s="838"/>
      <c r="H108" s="838"/>
      <c r="I108" s="838"/>
      <c r="J108" s="838"/>
      <c r="K108" s="838"/>
      <c r="L108" s="838"/>
      <c r="M108" s="838"/>
      <c r="N108" s="838"/>
      <c r="O108" s="842">
        <v>5.093718</v>
      </c>
      <c r="P108" s="842">
        <v>3.77142</v>
      </c>
      <c r="Q108" s="842">
        <v>4.594805</v>
      </c>
      <c r="R108" s="842">
        <v>4.7995720000000004</v>
      </c>
      <c r="S108" s="842">
        <v>4.9392990000000001</v>
      </c>
      <c r="T108" s="842">
        <v>5.148549</v>
      </c>
      <c r="U108" s="842">
        <v>5.425808</v>
      </c>
      <c r="V108" s="842">
        <v>5.8458810000000003</v>
      </c>
      <c r="W108" s="842">
        <v>5.9476060000000004</v>
      </c>
      <c r="X108" s="842">
        <v>5.7923239999999998</v>
      </c>
      <c r="Y108" s="842">
        <v>5.9347989999999999</v>
      </c>
      <c r="Z108" s="842">
        <v>5.9545320000000004</v>
      </c>
      <c r="AA108" s="842">
        <v>6.0522600000000004</v>
      </c>
      <c r="AB108" s="842">
        <v>6.2273719999999999</v>
      </c>
      <c r="AC108" s="842">
        <v>6.3209530000000003</v>
      </c>
      <c r="AD108" s="842">
        <v>6.356109</v>
      </c>
      <c r="AE108" s="842">
        <v>6.4293370000000003</v>
      </c>
      <c r="AF108" s="842">
        <v>6.531498</v>
      </c>
      <c r="AG108" s="842">
        <v>6.7357209999999998</v>
      </c>
      <c r="AH108" s="842">
        <v>6.9891050000000003</v>
      </c>
      <c r="AI108" s="842">
        <v>7.1038509999999997</v>
      </c>
      <c r="AJ108" s="842">
        <v>7.224164</v>
      </c>
      <c r="AK108" s="842">
        <v>7.420331</v>
      </c>
      <c r="AL108" s="842">
        <v>7.5726420000000001</v>
      </c>
      <c r="AM108" s="842">
        <v>7.7575940000000001</v>
      </c>
      <c r="AN108" s="842">
        <v>8.0432100000000002</v>
      </c>
      <c r="AO108" s="842">
        <v>8.0942129999999999</v>
      </c>
      <c r="AP108" s="842">
        <v>8.1302479999999999</v>
      </c>
      <c r="AQ108" s="842">
        <v>8.3372609999999998</v>
      </c>
      <c r="AR108" s="842">
        <v>8.5934050000000006</v>
      </c>
      <c r="AS108" s="838"/>
      <c r="AT108" s="838"/>
      <c r="AU108" s="838"/>
      <c r="AV108" s="838"/>
      <c r="AW108" s="838"/>
      <c r="AX108" s="838"/>
      <c r="AY108" s="838"/>
      <c r="AZ108" s="838"/>
      <c r="BA108" s="838"/>
      <c r="BB108" s="838"/>
      <c r="BC108" s="838"/>
      <c r="BD108" s="838"/>
      <c r="BE108" s="838"/>
      <c r="BF108" s="838"/>
      <c r="BG108" s="838"/>
      <c r="BH108" s="838"/>
      <c r="BI108" s="838"/>
      <c r="BJ108" s="838"/>
      <c r="BK108" s="838"/>
      <c r="BL108" s="838"/>
      <c r="BM108" s="838"/>
      <c r="BN108" s="838"/>
      <c r="BO108" s="838"/>
      <c r="BP108" s="838"/>
      <c r="BQ108" s="838"/>
      <c r="BR108" s="838"/>
      <c r="BS108" s="838"/>
      <c r="BT108" s="838"/>
      <c r="BU108" s="838"/>
      <c r="BV108" s="840"/>
    </row>
    <row r="109" spans="1:104" s="836" customFormat="1" x14ac:dyDescent="0.25">
      <c r="A109" s="843" t="str">
        <f>'HyARC Physical Property Data'!$A$74</f>
        <v>Electric Utility Natural Gas</v>
      </c>
      <c r="B109" s="838"/>
      <c r="C109" s="839"/>
      <c r="D109" s="1023"/>
      <c r="E109" s="839"/>
      <c r="F109" s="838"/>
      <c r="G109" s="838"/>
      <c r="H109" s="838"/>
      <c r="I109" s="838"/>
      <c r="J109" s="838"/>
      <c r="K109" s="838"/>
      <c r="L109" s="838"/>
      <c r="M109" s="838"/>
      <c r="N109" s="838"/>
      <c r="O109" s="842">
        <v>4.881901</v>
      </c>
      <c r="P109" s="842">
        <v>3.4378730000000002</v>
      </c>
      <c r="Q109" s="842">
        <v>4.3206319999999998</v>
      </c>
      <c r="R109" s="842">
        <v>4.4694140000000004</v>
      </c>
      <c r="S109" s="842">
        <v>4.4284980000000003</v>
      </c>
      <c r="T109" s="842">
        <v>4.4748020000000004</v>
      </c>
      <c r="U109" s="842">
        <v>4.6905669999999997</v>
      </c>
      <c r="V109" s="842">
        <v>5.0621029999999996</v>
      </c>
      <c r="W109" s="842">
        <v>5.1794200000000004</v>
      </c>
      <c r="X109" s="842">
        <v>5.0744109999999996</v>
      </c>
      <c r="Y109" s="842">
        <v>5.242337</v>
      </c>
      <c r="Z109" s="842">
        <v>5.2943420000000003</v>
      </c>
      <c r="AA109" s="842">
        <v>5.4200609999999996</v>
      </c>
      <c r="AB109" s="842">
        <v>5.622217</v>
      </c>
      <c r="AC109" s="842">
        <v>5.7577170000000004</v>
      </c>
      <c r="AD109" s="842">
        <v>5.8140010000000002</v>
      </c>
      <c r="AE109" s="842">
        <v>5.9051999999999998</v>
      </c>
      <c r="AF109" s="842">
        <v>6.0276690000000004</v>
      </c>
      <c r="AG109" s="842">
        <v>6.2437040000000001</v>
      </c>
      <c r="AH109" s="842">
        <v>6.4934279999999998</v>
      </c>
      <c r="AI109" s="842">
        <v>6.6170710000000001</v>
      </c>
      <c r="AJ109" s="842">
        <v>6.726566</v>
      </c>
      <c r="AK109" s="842">
        <v>6.9305599999999998</v>
      </c>
      <c r="AL109" s="842">
        <v>7.0909170000000001</v>
      </c>
      <c r="AM109" s="842">
        <v>7.286816</v>
      </c>
      <c r="AN109" s="842">
        <v>7.5708000000000002</v>
      </c>
      <c r="AO109" s="842">
        <v>7.630439</v>
      </c>
      <c r="AP109" s="842">
        <v>7.6782940000000002</v>
      </c>
      <c r="AQ109" s="842">
        <v>7.8974500000000001</v>
      </c>
      <c r="AR109" s="842">
        <v>8.1587669999999992</v>
      </c>
      <c r="AS109" s="838"/>
      <c r="AT109" s="838"/>
      <c r="AU109" s="838"/>
      <c r="AV109" s="838"/>
      <c r="AW109" s="838"/>
      <c r="AX109" s="838"/>
      <c r="AY109" s="838"/>
      <c r="AZ109" s="838"/>
      <c r="BA109" s="838"/>
      <c r="BB109" s="838"/>
      <c r="BC109" s="838"/>
      <c r="BD109" s="838"/>
      <c r="BE109" s="838"/>
      <c r="BF109" s="838"/>
      <c r="BG109" s="838"/>
      <c r="BH109" s="838"/>
      <c r="BI109" s="838"/>
      <c r="BJ109" s="838"/>
      <c r="BK109" s="838"/>
      <c r="BL109" s="838"/>
      <c r="BM109" s="838"/>
      <c r="BN109" s="838"/>
      <c r="BO109" s="838"/>
      <c r="BP109" s="838"/>
      <c r="BQ109" s="838"/>
      <c r="BR109" s="838"/>
      <c r="BS109" s="838"/>
      <c r="BT109" s="838"/>
      <c r="BU109" s="838"/>
      <c r="BV109" s="840"/>
    </row>
    <row r="110" spans="1:104" s="836" customFormat="1" x14ac:dyDescent="0.25">
      <c r="A110" s="838" t="s">
        <v>1063</v>
      </c>
      <c r="B110" s="838"/>
      <c r="C110" s="839"/>
      <c r="D110" s="1023"/>
      <c r="E110" s="839"/>
      <c r="F110" s="838"/>
      <c r="G110" s="838"/>
      <c r="H110" s="838"/>
      <c r="I110" s="838"/>
      <c r="J110" s="838"/>
      <c r="K110" s="838"/>
      <c r="L110" s="838"/>
      <c r="M110" s="838"/>
      <c r="N110" s="838"/>
      <c r="O110" s="842"/>
      <c r="P110" s="842"/>
      <c r="Q110" s="842"/>
      <c r="R110" s="842"/>
      <c r="S110" s="842"/>
      <c r="T110" s="842"/>
      <c r="U110" s="842"/>
      <c r="V110" s="842"/>
      <c r="W110" s="842"/>
      <c r="X110" s="842"/>
      <c r="Y110" s="842"/>
      <c r="Z110" s="842"/>
      <c r="AA110" s="842"/>
      <c r="AB110" s="842"/>
      <c r="AC110" s="842"/>
      <c r="AD110" s="842"/>
      <c r="AE110" s="842"/>
      <c r="AF110" s="842"/>
      <c r="AG110" s="842"/>
      <c r="AH110" s="842"/>
      <c r="AI110" s="842"/>
      <c r="AJ110" s="842"/>
      <c r="AK110" s="842"/>
      <c r="AL110" s="842"/>
      <c r="AM110" s="842"/>
      <c r="AN110" s="842"/>
      <c r="AO110" s="842"/>
      <c r="AP110" s="842"/>
      <c r="AQ110" s="842"/>
      <c r="AR110" s="842"/>
      <c r="AS110" s="838"/>
      <c r="AT110" s="838"/>
      <c r="AU110" s="838"/>
      <c r="AV110" s="838"/>
      <c r="AW110" s="838"/>
      <c r="AX110" s="838"/>
      <c r="AY110" s="838"/>
      <c r="AZ110" s="838"/>
      <c r="BA110" s="838"/>
      <c r="BB110" s="838"/>
      <c r="BC110" s="838"/>
      <c r="BD110" s="838"/>
      <c r="BE110" s="838"/>
      <c r="BF110" s="838"/>
      <c r="BG110" s="838"/>
      <c r="BH110" s="838"/>
      <c r="BI110" s="838"/>
      <c r="BJ110" s="838"/>
      <c r="BK110" s="838"/>
      <c r="BL110" s="838"/>
      <c r="BM110" s="838"/>
      <c r="BN110" s="838"/>
      <c r="BO110" s="838"/>
      <c r="BP110" s="838"/>
      <c r="BQ110" s="838"/>
      <c r="BR110" s="838"/>
      <c r="BS110" s="838"/>
      <c r="BT110" s="838"/>
      <c r="BU110" s="838"/>
      <c r="BV110" s="840"/>
    </row>
    <row r="111" spans="1:104" s="836" customFormat="1" x14ac:dyDescent="0.25">
      <c r="A111" s="858" t="s">
        <v>705</v>
      </c>
      <c r="B111" s="838"/>
      <c r="C111" s="839"/>
      <c r="D111" s="1023"/>
      <c r="E111" s="839"/>
      <c r="F111" s="838"/>
      <c r="G111" s="838"/>
      <c r="H111" s="838"/>
      <c r="I111" s="838"/>
      <c r="J111" s="838"/>
      <c r="K111" s="838"/>
      <c r="L111" s="838"/>
      <c r="M111" s="838"/>
      <c r="N111" s="838"/>
      <c r="O111" s="842">
        <v>7.1348120000000002</v>
      </c>
      <c r="P111" s="842">
        <v>7.25</v>
      </c>
      <c r="Q111" s="842">
        <v>7.4339180000000002</v>
      </c>
      <c r="R111" s="842">
        <v>7.5123340000000001</v>
      </c>
      <c r="S111" s="842">
        <v>7.7593930000000002</v>
      </c>
      <c r="T111" s="842">
        <v>7.9480709999999997</v>
      </c>
      <c r="U111" s="842">
        <v>8.0483750000000001</v>
      </c>
      <c r="V111" s="842">
        <v>8.1909299999999998</v>
      </c>
      <c r="W111" s="842">
        <v>8.3009920000000008</v>
      </c>
      <c r="X111" s="842">
        <v>8.4282590000000006</v>
      </c>
      <c r="Y111" s="842">
        <v>8.5261879999999994</v>
      </c>
      <c r="Z111" s="842">
        <v>8.6333680000000008</v>
      </c>
      <c r="AA111" s="842">
        <v>8.7384330000000006</v>
      </c>
      <c r="AB111" s="842">
        <v>8.8454820000000005</v>
      </c>
      <c r="AC111" s="842">
        <v>8.9517559999999996</v>
      </c>
      <c r="AD111" s="842">
        <v>9.0441529999999997</v>
      </c>
      <c r="AE111" s="842">
        <v>9.1489940000000001</v>
      </c>
      <c r="AF111" s="842">
        <v>9.2665970000000009</v>
      </c>
      <c r="AG111" s="842">
        <v>9.3802029999999998</v>
      </c>
      <c r="AH111" s="842">
        <v>9.5131180000000004</v>
      </c>
      <c r="AI111" s="842">
        <v>9.5927720000000001</v>
      </c>
      <c r="AJ111" s="842">
        <v>9.6736090000000008</v>
      </c>
      <c r="AK111" s="842">
        <v>9.7592280000000002</v>
      </c>
      <c r="AL111" s="842">
        <v>9.8373989999999996</v>
      </c>
      <c r="AM111" s="842">
        <v>9.9349030000000003</v>
      </c>
      <c r="AN111" s="842">
        <v>10.012817</v>
      </c>
      <c r="AO111" s="842">
        <v>10.10066</v>
      </c>
      <c r="AP111" s="842">
        <v>10.107113</v>
      </c>
      <c r="AQ111" s="842">
        <v>10.135842</v>
      </c>
      <c r="AR111" s="842">
        <v>10.197044999999999</v>
      </c>
      <c r="AS111" s="838"/>
      <c r="AT111" s="838"/>
      <c r="AU111" s="838"/>
      <c r="AV111" s="838"/>
      <c r="AW111" s="838"/>
      <c r="AX111" s="838"/>
      <c r="AY111" s="838"/>
      <c r="AZ111" s="838"/>
      <c r="BA111" s="838"/>
      <c r="BB111" s="838"/>
      <c r="BC111" s="838"/>
      <c r="BD111" s="838"/>
      <c r="BE111" s="838"/>
      <c r="BF111" s="838"/>
      <c r="BG111" s="838"/>
      <c r="BH111" s="838"/>
      <c r="BI111" s="838"/>
      <c r="BJ111" s="838"/>
      <c r="BK111" s="838"/>
      <c r="BL111" s="838"/>
      <c r="BM111" s="838"/>
      <c r="BN111" s="838"/>
      <c r="BO111" s="838"/>
      <c r="BP111" s="838"/>
      <c r="BQ111" s="838"/>
      <c r="BR111" s="838"/>
      <c r="BS111" s="838"/>
      <c r="BT111" s="838"/>
      <c r="BU111" s="838"/>
      <c r="BV111" s="840"/>
    </row>
    <row r="112" spans="1:104" s="836" customFormat="1" x14ac:dyDescent="0.25">
      <c r="A112" s="858" t="s">
        <v>706</v>
      </c>
      <c r="B112" s="838"/>
      <c r="C112" s="839"/>
      <c r="D112" s="1023"/>
      <c r="E112" s="839"/>
      <c r="F112" s="838"/>
      <c r="G112" s="838"/>
      <c r="H112" s="838"/>
      <c r="I112" s="838"/>
      <c r="J112" s="838"/>
      <c r="K112" s="838"/>
      <c r="L112" s="838"/>
      <c r="M112" s="838"/>
      <c r="N112" s="838"/>
      <c r="O112" s="842">
        <v>3.3073760000000001</v>
      </c>
      <c r="P112" s="842">
        <v>3.2396150000000001</v>
      </c>
      <c r="Q112" s="842">
        <v>3.3150900000000001</v>
      </c>
      <c r="R112" s="842">
        <v>3.2817340000000002</v>
      </c>
      <c r="S112" s="842">
        <v>3.3761420000000002</v>
      </c>
      <c r="T112" s="842">
        <v>3.437208</v>
      </c>
      <c r="U112" s="842">
        <v>3.4609869999999998</v>
      </c>
      <c r="V112" s="842">
        <v>3.5206819999999999</v>
      </c>
      <c r="W112" s="842">
        <v>3.5610849999999998</v>
      </c>
      <c r="X112" s="842">
        <v>3.5932520000000001</v>
      </c>
      <c r="Y112" s="842">
        <v>3.6143869999999998</v>
      </c>
      <c r="Z112" s="842">
        <v>3.6395840000000002</v>
      </c>
      <c r="AA112" s="842">
        <v>3.6651829999999999</v>
      </c>
      <c r="AB112" s="842">
        <v>3.697009</v>
      </c>
      <c r="AC112" s="842">
        <v>3.7274949999999998</v>
      </c>
      <c r="AD112" s="842">
        <v>3.7560980000000002</v>
      </c>
      <c r="AE112" s="842">
        <v>3.7847550000000001</v>
      </c>
      <c r="AF112" s="842">
        <v>3.8163930000000001</v>
      </c>
      <c r="AG112" s="842">
        <v>3.8450039999999999</v>
      </c>
      <c r="AH112" s="842">
        <v>3.8844850000000002</v>
      </c>
      <c r="AI112" s="842">
        <v>3.9155440000000001</v>
      </c>
      <c r="AJ112" s="842">
        <v>3.944798</v>
      </c>
      <c r="AK112" s="842">
        <v>3.9761479999999998</v>
      </c>
      <c r="AL112" s="842">
        <v>4.0004489999999997</v>
      </c>
      <c r="AM112" s="842">
        <v>4.0294249999999998</v>
      </c>
      <c r="AN112" s="842">
        <v>4.0600360000000002</v>
      </c>
      <c r="AO112" s="842">
        <v>4.0903939999999999</v>
      </c>
      <c r="AP112" s="842">
        <v>4.1171660000000001</v>
      </c>
      <c r="AQ112" s="842">
        <v>4.1493070000000003</v>
      </c>
      <c r="AR112" s="842">
        <v>4.1898999999999997</v>
      </c>
      <c r="AS112" s="838"/>
      <c r="AT112" s="838"/>
      <c r="AU112" s="838"/>
      <c r="AV112" s="838"/>
      <c r="AW112" s="838"/>
      <c r="AX112" s="838"/>
      <c r="AY112" s="838"/>
      <c r="AZ112" s="838"/>
      <c r="BA112" s="838"/>
      <c r="BB112" s="838"/>
      <c r="BC112" s="838"/>
      <c r="BD112" s="838"/>
      <c r="BE112" s="838"/>
      <c r="BF112" s="838"/>
      <c r="BG112" s="838"/>
      <c r="BH112" s="838"/>
      <c r="BI112" s="838"/>
      <c r="BJ112" s="838"/>
      <c r="BK112" s="838"/>
      <c r="BL112" s="838"/>
      <c r="BM112" s="838"/>
      <c r="BN112" s="838"/>
      <c r="BO112" s="838"/>
      <c r="BP112" s="838"/>
      <c r="BQ112" s="838"/>
      <c r="BR112" s="838"/>
      <c r="BS112" s="838"/>
      <c r="BT112" s="838"/>
      <c r="BU112" s="838"/>
      <c r="BV112" s="840"/>
    </row>
    <row r="113" spans="1:74" s="836" customFormat="1" x14ac:dyDescent="0.25">
      <c r="A113" s="841" t="s">
        <v>1069</v>
      </c>
      <c r="B113" s="838"/>
      <c r="C113" s="839"/>
      <c r="D113" s="1023"/>
      <c r="E113" s="839"/>
      <c r="F113" s="838"/>
      <c r="G113" s="838"/>
      <c r="H113" s="838"/>
      <c r="I113" s="838"/>
      <c r="J113" s="838"/>
      <c r="K113" s="838"/>
      <c r="L113" s="838"/>
      <c r="M113" s="838"/>
      <c r="N113" s="838"/>
      <c r="O113" s="842">
        <v>2.4223750000000002</v>
      </c>
      <c r="P113" s="842">
        <v>2.39</v>
      </c>
      <c r="Q113" s="842">
        <v>2.37385</v>
      </c>
      <c r="R113" s="842">
        <v>2.329834</v>
      </c>
      <c r="S113" s="842">
        <v>2.4039359999999999</v>
      </c>
      <c r="T113" s="842">
        <v>2.422212</v>
      </c>
      <c r="U113" s="842">
        <v>2.4863749999999998</v>
      </c>
      <c r="V113" s="842">
        <v>2.5503130000000001</v>
      </c>
      <c r="W113" s="842">
        <v>2.589102</v>
      </c>
      <c r="X113" s="842">
        <v>2.6113439999999999</v>
      </c>
      <c r="Y113" s="842">
        <v>2.6429999999999998</v>
      </c>
      <c r="Z113" s="842">
        <v>2.675691</v>
      </c>
      <c r="AA113" s="842">
        <v>2.7024710000000001</v>
      </c>
      <c r="AB113" s="842">
        <v>2.7390279999999998</v>
      </c>
      <c r="AC113" s="842">
        <v>2.7738589999999999</v>
      </c>
      <c r="AD113" s="842">
        <v>2.807261</v>
      </c>
      <c r="AE113" s="842">
        <v>2.8368190000000002</v>
      </c>
      <c r="AF113" s="842">
        <v>2.8649870000000002</v>
      </c>
      <c r="AG113" s="842">
        <v>2.8913859999999998</v>
      </c>
      <c r="AH113" s="842">
        <v>2.9256030000000002</v>
      </c>
      <c r="AI113" s="842">
        <v>2.9494180000000001</v>
      </c>
      <c r="AJ113" s="842">
        <v>2.9743849999999998</v>
      </c>
      <c r="AK113" s="842">
        <v>3.0006210000000002</v>
      </c>
      <c r="AL113" s="842">
        <v>3.0244930000000001</v>
      </c>
      <c r="AM113" s="842">
        <v>3.050074</v>
      </c>
      <c r="AN113" s="842">
        <v>3.076149</v>
      </c>
      <c r="AO113" s="842">
        <v>3.099027</v>
      </c>
      <c r="AP113" s="842">
        <v>3.1208209999999998</v>
      </c>
      <c r="AQ113" s="842">
        <v>3.153797</v>
      </c>
      <c r="AR113" s="842">
        <v>3.1896749999999998</v>
      </c>
      <c r="AS113" s="838"/>
      <c r="AT113" s="838"/>
      <c r="AU113" s="838"/>
      <c r="AV113" s="838"/>
      <c r="AW113" s="838"/>
      <c r="AX113" s="838"/>
      <c r="AY113" s="838"/>
      <c r="AZ113" s="838"/>
      <c r="BA113" s="838"/>
      <c r="BB113" s="838"/>
      <c r="BC113" s="838"/>
      <c r="BD113" s="838"/>
      <c r="BE113" s="838"/>
      <c r="BF113" s="838"/>
      <c r="BG113" s="838"/>
      <c r="BH113" s="838"/>
      <c r="BI113" s="838"/>
      <c r="BJ113" s="838"/>
      <c r="BK113" s="838"/>
      <c r="BL113" s="838"/>
      <c r="BM113" s="838"/>
      <c r="BN113" s="838"/>
      <c r="BO113" s="838"/>
      <c r="BP113" s="838"/>
      <c r="BQ113" s="838"/>
      <c r="BR113" s="838"/>
      <c r="BS113" s="838"/>
      <c r="BT113" s="838"/>
      <c r="BU113" s="838"/>
      <c r="BV113" s="840"/>
    </row>
    <row r="114" spans="1:74" s="836" customFormat="1" x14ac:dyDescent="0.25">
      <c r="A114" s="841" t="s">
        <v>672</v>
      </c>
      <c r="B114" s="838"/>
      <c r="C114" s="839"/>
      <c r="D114" s="1023"/>
      <c r="E114" s="839"/>
      <c r="F114" s="838"/>
      <c r="G114" s="838"/>
      <c r="H114" s="838"/>
      <c r="I114" s="838"/>
      <c r="J114" s="838"/>
      <c r="K114" s="838"/>
      <c r="L114" s="838"/>
      <c r="M114" s="838"/>
      <c r="N114" s="838"/>
      <c r="O114" s="842">
        <v>30.531154999999998</v>
      </c>
      <c r="P114" s="842">
        <v>29.553346999999999</v>
      </c>
      <c r="Q114" s="842">
        <v>29.462689999999998</v>
      </c>
      <c r="R114" s="842">
        <v>29.619807999999999</v>
      </c>
      <c r="S114" s="842">
        <v>29.992000999999998</v>
      </c>
      <c r="T114" s="842">
        <v>30.137812</v>
      </c>
      <c r="U114" s="842">
        <v>30.368880999999998</v>
      </c>
      <c r="V114" s="842">
        <v>30.723389000000001</v>
      </c>
      <c r="W114" s="842">
        <v>31.014326000000001</v>
      </c>
      <c r="X114" s="842">
        <v>30.799534000000001</v>
      </c>
      <c r="Y114" s="842">
        <v>30.631943</v>
      </c>
      <c r="Z114" s="842">
        <v>30.294862999999999</v>
      </c>
      <c r="AA114" s="842">
        <v>30.159492</v>
      </c>
      <c r="AB114" s="842">
        <v>30.497467</v>
      </c>
      <c r="AC114" s="842">
        <v>30.549484</v>
      </c>
      <c r="AD114" s="842">
        <v>30.628119000000002</v>
      </c>
      <c r="AE114" s="842">
        <v>30.831617000000001</v>
      </c>
      <c r="AF114" s="842">
        <v>30.906943999999999</v>
      </c>
      <c r="AG114" s="842">
        <v>31.016119</v>
      </c>
      <c r="AH114" s="842">
        <v>31.259630000000001</v>
      </c>
      <c r="AI114" s="842">
        <v>31.506346000000001</v>
      </c>
      <c r="AJ114" s="842">
        <v>31.548763000000001</v>
      </c>
      <c r="AK114" s="842">
        <v>31.537307999999999</v>
      </c>
      <c r="AL114" s="842">
        <v>31.727125000000001</v>
      </c>
      <c r="AM114" s="842">
        <v>31.983875000000001</v>
      </c>
      <c r="AN114" s="842">
        <v>32.252009999999999</v>
      </c>
      <c r="AO114" s="842">
        <v>32.456364000000001</v>
      </c>
      <c r="AP114" s="842">
        <v>32.526015999999998</v>
      </c>
      <c r="AQ114" s="842">
        <v>32.747635000000002</v>
      </c>
      <c r="AR114" s="842">
        <v>33.007354999999997</v>
      </c>
      <c r="AS114" s="838"/>
      <c r="AT114" s="838"/>
      <c r="AU114" s="838"/>
      <c r="AV114" s="838"/>
      <c r="AW114" s="838"/>
      <c r="AX114" s="838"/>
      <c r="AY114" s="838"/>
      <c r="AZ114" s="838"/>
      <c r="BA114" s="838"/>
      <c r="BB114" s="838"/>
      <c r="BC114" s="838"/>
      <c r="BD114" s="838"/>
      <c r="BE114" s="838"/>
      <c r="BF114" s="838"/>
      <c r="BG114" s="838"/>
      <c r="BH114" s="838"/>
      <c r="BI114" s="838"/>
      <c r="BJ114" s="838"/>
      <c r="BK114" s="838"/>
      <c r="BL114" s="838"/>
      <c r="BM114" s="838"/>
      <c r="BN114" s="838"/>
      <c r="BO114" s="838"/>
      <c r="BP114" s="838"/>
      <c r="BQ114" s="838"/>
      <c r="BR114" s="838"/>
      <c r="BS114" s="838"/>
      <c r="BT114" s="838"/>
      <c r="BU114" s="838"/>
      <c r="BV114" s="840"/>
    </row>
    <row r="115" spans="1:74" s="836" customFormat="1" x14ac:dyDescent="0.25">
      <c r="A115" s="841" t="s">
        <v>687</v>
      </c>
      <c r="B115" s="838"/>
      <c r="C115" s="839"/>
      <c r="D115" s="1023"/>
      <c r="E115" s="839"/>
      <c r="F115" s="838"/>
      <c r="G115" s="838"/>
      <c r="H115" s="838"/>
      <c r="I115" s="838"/>
      <c r="J115" s="838"/>
      <c r="K115" s="838"/>
      <c r="L115" s="838"/>
      <c r="M115" s="838"/>
      <c r="N115" s="838"/>
      <c r="O115" s="842">
        <v>20.348036</v>
      </c>
      <c r="P115" s="842">
        <v>19.495602000000002</v>
      </c>
      <c r="Q115" s="842">
        <v>20.081951</v>
      </c>
      <c r="R115" s="842">
        <v>19.872589000000001</v>
      </c>
      <c r="S115" s="842">
        <v>20.106300000000001</v>
      </c>
      <c r="T115" s="842">
        <v>20.110336</v>
      </c>
      <c r="U115" s="842">
        <v>20.286434</v>
      </c>
      <c r="V115" s="842">
        <v>20.591933999999998</v>
      </c>
      <c r="W115" s="842">
        <v>20.859487999999999</v>
      </c>
      <c r="X115" s="842">
        <v>20.769625000000001</v>
      </c>
      <c r="Y115" s="842">
        <v>20.751276000000001</v>
      </c>
      <c r="Z115" s="842">
        <v>20.654140000000002</v>
      </c>
      <c r="AA115" s="842">
        <v>20.663025000000001</v>
      </c>
      <c r="AB115" s="842">
        <v>20.946209</v>
      </c>
      <c r="AC115" s="842">
        <v>21.079236999999999</v>
      </c>
      <c r="AD115" s="842">
        <v>21.236912</v>
      </c>
      <c r="AE115" s="842">
        <v>21.461658</v>
      </c>
      <c r="AF115" s="842">
        <v>21.586451</v>
      </c>
      <c r="AG115" s="842">
        <v>21.737777999999999</v>
      </c>
      <c r="AH115" s="842">
        <v>21.988303999999999</v>
      </c>
      <c r="AI115" s="842">
        <v>22.237325999999999</v>
      </c>
      <c r="AJ115" s="842">
        <v>22.342414999999999</v>
      </c>
      <c r="AK115" s="842">
        <v>22.437189</v>
      </c>
      <c r="AL115" s="842">
        <v>22.654578999999998</v>
      </c>
      <c r="AM115" s="842">
        <v>22.911854000000002</v>
      </c>
      <c r="AN115" s="842">
        <v>23.191139</v>
      </c>
      <c r="AO115" s="842">
        <v>23.409314999999999</v>
      </c>
      <c r="AP115" s="842">
        <v>23.521646</v>
      </c>
      <c r="AQ115" s="842">
        <v>23.76399</v>
      </c>
      <c r="AR115" s="842">
        <v>24.052772999999998</v>
      </c>
      <c r="AS115" s="838"/>
      <c r="AT115" s="838"/>
      <c r="AU115" s="838"/>
      <c r="AV115" s="838"/>
      <c r="AW115" s="838"/>
      <c r="AX115" s="838"/>
      <c r="AY115" s="838"/>
      <c r="AZ115" s="838"/>
      <c r="BA115" s="838"/>
      <c r="BB115" s="838"/>
      <c r="BC115" s="838"/>
      <c r="BD115" s="838"/>
      <c r="BE115" s="838"/>
      <c r="BF115" s="838"/>
      <c r="BG115" s="838"/>
      <c r="BH115" s="838"/>
      <c r="BI115" s="838"/>
      <c r="BJ115" s="838"/>
      <c r="BK115" s="838"/>
      <c r="BL115" s="838"/>
      <c r="BM115" s="838"/>
      <c r="BN115" s="838"/>
      <c r="BO115" s="838"/>
      <c r="BP115" s="838"/>
      <c r="BQ115" s="838"/>
      <c r="BR115" s="838"/>
      <c r="BS115" s="838"/>
      <c r="BT115" s="838"/>
      <c r="BU115" s="838"/>
      <c r="BV115" s="840"/>
    </row>
    <row r="116" spans="1:74" s="836" customFormat="1" ht="13.8" thickBot="1" x14ac:dyDescent="0.3">
      <c r="A116" s="845" t="s">
        <v>673</v>
      </c>
      <c r="B116" s="846"/>
      <c r="C116" s="847"/>
      <c r="D116" s="847"/>
      <c r="E116" s="847"/>
      <c r="F116" s="846"/>
      <c r="G116" s="846"/>
      <c r="H116" s="846"/>
      <c r="I116" s="846"/>
      <c r="J116" s="846"/>
      <c r="K116" s="846"/>
      <c r="L116" s="846"/>
      <c r="M116" s="846"/>
      <c r="N116" s="846"/>
      <c r="O116" s="848">
        <v>34.952885000000002</v>
      </c>
      <c r="P116" s="848">
        <v>34.831184</v>
      </c>
      <c r="Q116" s="848">
        <v>34.015979999999999</v>
      </c>
      <c r="R116" s="848">
        <v>34.409668000000003</v>
      </c>
      <c r="S116" s="848">
        <v>34.941752999999999</v>
      </c>
      <c r="T116" s="848">
        <v>35.163139000000001</v>
      </c>
      <c r="U116" s="848">
        <v>35.519157</v>
      </c>
      <c r="V116" s="848">
        <v>35.913296000000003</v>
      </c>
      <c r="W116" s="848">
        <v>36.178234000000003</v>
      </c>
      <c r="X116" s="848">
        <v>36.146892999999999</v>
      </c>
      <c r="Y116" s="848">
        <v>36.061802</v>
      </c>
      <c r="Z116" s="848">
        <v>35.804130999999998</v>
      </c>
      <c r="AA116" s="848">
        <v>35.695621000000003</v>
      </c>
      <c r="AB116" s="848">
        <v>36.040774999999996</v>
      </c>
      <c r="AC116" s="848">
        <v>36.141415000000002</v>
      </c>
      <c r="AD116" s="848">
        <v>36.246937000000003</v>
      </c>
      <c r="AE116" s="848">
        <v>36.470740999999997</v>
      </c>
      <c r="AF116" s="848">
        <v>36.579631999999997</v>
      </c>
      <c r="AG116" s="848">
        <v>36.725307000000001</v>
      </c>
      <c r="AH116" s="848">
        <v>36.981831</v>
      </c>
      <c r="AI116" s="848">
        <v>37.256236999999999</v>
      </c>
      <c r="AJ116" s="848">
        <v>37.335673999999997</v>
      </c>
      <c r="AK116" s="848">
        <v>37.369007000000003</v>
      </c>
      <c r="AL116" s="848">
        <v>37.567386999999997</v>
      </c>
      <c r="AM116" s="848">
        <v>37.817901999999997</v>
      </c>
      <c r="AN116" s="848">
        <v>38.082256000000001</v>
      </c>
      <c r="AO116" s="848">
        <v>38.298912000000001</v>
      </c>
      <c r="AP116" s="848">
        <v>38.369354000000001</v>
      </c>
      <c r="AQ116" s="848">
        <v>38.582217999999997</v>
      </c>
      <c r="AR116" s="848">
        <v>38.834609999999998</v>
      </c>
      <c r="AS116" s="846"/>
      <c r="AT116" s="846"/>
      <c r="AU116" s="846"/>
      <c r="AV116" s="846"/>
      <c r="AW116" s="846"/>
      <c r="AX116" s="846"/>
      <c r="AY116" s="846"/>
      <c r="AZ116" s="846"/>
      <c r="BA116" s="846"/>
      <c r="BB116" s="846"/>
      <c r="BC116" s="846"/>
      <c r="BD116" s="846"/>
      <c r="BE116" s="846"/>
      <c r="BF116" s="846"/>
      <c r="BG116" s="846"/>
      <c r="BH116" s="846"/>
      <c r="BI116" s="846"/>
      <c r="BJ116" s="846"/>
      <c r="BK116" s="846"/>
      <c r="BL116" s="846"/>
      <c r="BM116" s="846"/>
      <c r="BN116" s="846"/>
      <c r="BO116" s="846"/>
      <c r="BP116" s="846"/>
      <c r="BQ116" s="846"/>
      <c r="BR116" s="846"/>
      <c r="BS116" s="846"/>
      <c r="BT116" s="846"/>
      <c r="BU116" s="846"/>
      <c r="BV116" s="849"/>
    </row>
    <row r="129" spans="1:104" ht="13.8" thickBot="1" x14ac:dyDescent="0.3"/>
    <row r="130" spans="1:104" x14ac:dyDescent="0.25">
      <c r="A130" s="1057" t="s">
        <v>1196</v>
      </c>
      <c r="B130" s="1058" t="s">
        <v>1195</v>
      </c>
      <c r="C130" s="1058"/>
      <c r="D130" s="1059"/>
      <c r="E130" s="1058"/>
      <c r="F130" s="801"/>
      <c r="G130" s="801"/>
      <c r="H130" s="801"/>
      <c r="I130" s="801"/>
      <c r="J130" s="801"/>
      <c r="K130" s="801"/>
      <c r="L130" s="801"/>
      <c r="M130" s="801"/>
      <c r="N130" s="801"/>
      <c r="O130" s="801"/>
      <c r="P130" s="801"/>
      <c r="Q130" s="801"/>
      <c r="R130" s="801"/>
      <c r="S130" s="801"/>
      <c r="T130" s="801"/>
      <c r="U130" s="801"/>
      <c r="V130" s="801"/>
      <c r="W130" s="801"/>
      <c r="X130" s="801"/>
      <c r="Y130" s="801"/>
      <c r="Z130" s="801"/>
      <c r="AA130" s="801"/>
      <c r="AB130" s="801"/>
      <c r="AC130" s="801"/>
      <c r="AD130" s="801"/>
      <c r="AE130" s="801"/>
      <c r="AF130" s="801"/>
      <c r="AG130" s="801"/>
      <c r="AH130" s="801"/>
      <c r="AI130" s="801"/>
      <c r="AJ130" s="801"/>
      <c r="AK130" s="801"/>
      <c r="AL130" s="801"/>
      <c r="AM130" s="801"/>
      <c r="AN130" s="801"/>
      <c r="AO130" s="801"/>
      <c r="AP130" s="801"/>
      <c r="AQ130" s="801"/>
      <c r="AR130" s="801"/>
      <c r="AS130" s="1060"/>
      <c r="AT130" s="1060"/>
      <c r="AU130" s="1060"/>
      <c r="AV130" s="1060"/>
      <c r="AW130" s="1060"/>
      <c r="AX130" s="1060"/>
      <c r="AY130" s="1060"/>
      <c r="AZ130" s="1060"/>
      <c r="BA130" s="1060"/>
      <c r="BB130" s="1061" t="s">
        <v>1197</v>
      </c>
      <c r="BC130" s="1062"/>
      <c r="BD130" s="1062"/>
      <c r="BE130" s="1062"/>
      <c r="BF130" s="1062"/>
      <c r="BG130" s="1062"/>
      <c r="BH130" s="1062"/>
      <c r="BI130" s="1062"/>
      <c r="BJ130" s="1062"/>
      <c r="BK130" s="1062"/>
      <c r="BL130" s="1062"/>
      <c r="BM130" s="1062"/>
      <c r="BN130" s="1062"/>
      <c r="BO130" s="1062"/>
      <c r="BP130" s="1062"/>
      <c r="BQ130" s="1062"/>
      <c r="BR130" s="1062"/>
      <c r="BS130" s="1062"/>
      <c r="BT130" s="1062"/>
      <c r="BU130" s="1062"/>
      <c r="BV130" s="1062"/>
      <c r="BW130" s="1062"/>
      <c r="BX130" s="1062"/>
      <c r="BY130" s="1062"/>
      <c r="BZ130" s="1062"/>
      <c r="CA130" s="1062"/>
      <c r="CB130" s="1062"/>
      <c r="CC130" s="1062"/>
      <c r="CD130" s="1062"/>
      <c r="CE130" s="1062"/>
      <c r="CF130" s="1062"/>
      <c r="CG130" s="1062"/>
      <c r="CH130" s="1062"/>
      <c r="CI130" s="1062"/>
      <c r="CJ130" s="1062"/>
      <c r="CK130" s="1062"/>
      <c r="CL130" s="1062"/>
      <c r="CM130" s="1062"/>
      <c r="CN130" s="1062"/>
      <c r="CO130" s="1062"/>
      <c r="CP130" s="1062"/>
      <c r="CQ130" s="1062"/>
      <c r="CR130" s="1062"/>
      <c r="CS130" s="1062"/>
      <c r="CT130" s="1062"/>
      <c r="CU130" s="1062"/>
      <c r="CV130" s="1062"/>
      <c r="CW130" s="1062"/>
      <c r="CX130" s="1062"/>
      <c r="CY130" s="1062"/>
      <c r="CZ130" s="1063"/>
    </row>
    <row r="131" spans="1:104" ht="40.200000000000003" thickBot="1" x14ac:dyDescent="0.3">
      <c r="A131" s="1064" t="s">
        <v>1066</v>
      </c>
      <c r="B131" s="906" t="s">
        <v>667</v>
      </c>
      <c r="C131" s="906" t="s">
        <v>668</v>
      </c>
      <c r="D131" s="1026" t="s">
        <v>679</v>
      </c>
      <c r="E131" s="906" t="s">
        <v>680</v>
      </c>
      <c r="F131" s="907" t="s">
        <v>669</v>
      </c>
      <c r="G131" s="907" t="s">
        <v>681</v>
      </c>
      <c r="H131" s="741">
        <v>2004</v>
      </c>
      <c r="I131" s="741">
        <f>+H131+1</f>
        <v>2005</v>
      </c>
      <c r="J131" s="741">
        <f t="shared" ref="J131:BU131" si="265">+I131+1</f>
        <v>2006</v>
      </c>
      <c r="K131" s="741">
        <f t="shared" si="265"/>
        <v>2007</v>
      </c>
      <c r="L131" s="741">
        <f t="shared" si="265"/>
        <v>2008</v>
      </c>
      <c r="M131" s="741">
        <f t="shared" si="265"/>
        <v>2009</v>
      </c>
      <c r="N131" s="741">
        <f t="shared" si="265"/>
        <v>2010</v>
      </c>
      <c r="O131" s="741">
        <f t="shared" si="265"/>
        <v>2011</v>
      </c>
      <c r="P131" s="741">
        <f t="shared" si="265"/>
        <v>2012</v>
      </c>
      <c r="Q131" s="741">
        <f t="shared" si="265"/>
        <v>2013</v>
      </c>
      <c r="R131" s="741">
        <f t="shared" si="265"/>
        <v>2014</v>
      </c>
      <c r="S131" s="741">
        <f t="shared" si="265"/>
        <v>2015</v>
      </c>
      <c r="T131" s="741">
        <f t="shared" si="265"/>
        <v>2016</v>
      </c>
      <c r="U131" s="741">
        <f t="shared" si="265"/>
        <v>2017</v>
      </c>
      <c r="V131" s="741">
        <f t="shared" si="265"/>
        <v>2018</v>
      </c>
      <c r="W131" s="741">
        <f t="shared" si="265"/>
        <v>2019</v>
      </c>
      <c r="X131" s="741">
        <f t="shared" si="265"/>
        <v>2020</v>
      </c>
      <c r="Y131" s="741">
        <f t="shared" si="265"/>
        <v>2021</v>
      </c>
      <c r="Z131" s="741">
        <f t="shared" si="265"/>
        <v>2022</v>
      </c>
      <c r="AA131" s="741">
        <f t="shared" si="265"/>
        <v>2023</v>
      </c>
      <c r="AB131" s="741">
        <f t="shared" si="265"/>
        <v>2024</v>
      </c>
      <c r="AC131" s="741">
        <f t="shared" si="265"/>
        <v>2025</v>
      </c>
      <c r="AD131" s="741">
        <f t="shared" si="265"/>
        <v>2026</v>
      </c>
      <c r="AE131" s="741">
        <f t="shared" si="265"/>
        <v>2027</v>
      </c>
      <c r="AF131" s="741">
        <f t="shared" si="265"/>
        <v>2028</v>
      </c>
      <c r="AG131" s="741">
        <f t="shared" si="265"/>
        <v>2029</v>
      </c>
      <c r="AH131" s="741">
        <f t="shared" si="265"/>
        <v>2030</v>
      </c>
      <c r="AI131" s="741">
        <f t="shared" si="265"/>
        <v>2031</v>
      </c>
      <c r="AJ131" s="741">
        <f t="shared" si="265"/>
        <v>2032</v>
      </c>
      <c r="AK131" s="741">
        <f t="shared" si="265"/>
        <v>2033</v>
      </c>
      <c r="AL131" s="741">
        <f t="shared" si="265"/>
        <v>2034</v>
      </c>
      <c r="AM131" s="741">
        <f t="shared" si="265"/>
        <v>2035</v>
      </c>
      <c r="AN131" s="741">
        <f t="shared" si="265"/>
        <v>2036</v>
      </c>
      <c r="AO131" s="741">
        <f t="shared" si="265"/>
        <v>2037</v>
      </c>
      <c r="AP131" s="741">
        <f t="shared" si="265"/>
        <v>2038</v>
      </c>
      <c r="AQ131" s="741">
        <f t="shared" si="265"/>
        <v>2039</v>
      </c>
      <c r="AR131" s="741">
        <f t="shared" si="265"/>
        <v>2040</v>
      </c>
      <c r="AS131" s="741">
        <f t="shared" si="265"/>
        <v>2041</v>
      </c>
      <c r="AT131" s="741">
        <f t="shared" si="265"/>
        <v>2042</v>
      </c>
      <c r="AU131" s="741">
        <f t="shared" si="265"/>
        <v>2043</v>
      </c>
      <c r="AV131" s="741">
        <f t="shared" si="265"/>
        <v>2044</v>
      </c>
      <c r="AW131" s="741">
        <f t="shared" si="265"/>
        <v>2045</v>
      </c>
      <c r="AX131" s="741">
        <f t="shared" si="265"/>
        <v>2046</v>
      </c>
      <c r="AY131" s="741">
        <f t="shared" si="265"/>
        <v>2047</v>
      </c>
      <c r="AZ131" s="741">
        <f t="shared" si="265"/>
        <v>2048</v>
      </c>
      <c r="BA131" s="741">
        <f t="shared" si="265"/>
        <v>2049</v>
      </c>
      <c r="BB131" s="741">
        <f t="shared" si="265"/>
        <v>2050</v>
      </c>
      <c r="BC131" s="741">
        <f t="shared" si="265"/>
        <v>2051</v>
      </c>
      <c r="BD131" s="741">
        <f t="shared" si="265"/>
        <v>2052</v>
      </c>
      <c r="BE131" s="741">
        <f t="shared" si="265"/>
        <v>2053</v>
      </c>
      <c r="BF131" s="741">
        <f t="shared" si="265"/>
        <v>2054</v>
      </c>
      <c r="BG131" s="741">
        <f t="shared" si="265"/>
        <v>2055</v>
      </c>
      <c r="BH131" s="741">
        <f t="shared" si="265"/>
        <v>2056</v>
      </c>
      <c r="BI131" s="741">
        <f t="shared" si="265"/>
        <v>2057</v>
      </c>
      <c r="BJ131" s="741">
        <f t="shared" si="265"/>
        <v>2058</v>
      </c>
      <c r="BK131" s="741">
        <f t="shared" si="265"/>
        <v>2059</v>
      </c>
      <c r="BL131" s="741">
        <f t="shared" si="265"/>
        <v>2060</v>
      </c>
      <c r="BM131" s="741">
        <f t="shared" si="265"/>
        <v>2061</v>
      </c>
      <c r="BN131" s="741">
        <f t="shared" si="265"/>
        <v>2062</v>
      </c>
      <c r="BO131" s="741">
        <f t="shared" si="265"/>
        <v>2063</v>
      </c>
      <c r="BP131" s="741">
        <f t="shared" si="265"/>
        <v>2064</v>
      </c>
      <c r="BQ131" s="741">
        <f t="shared" si="265"/>
        <v>2065</v>
      </c>
      <c r="BR131" s="741">
        <f t="shared" si="265"/>
        <v>2066</v>
      </c>
      <c r="BS131" s="741">
        <f t="shared" si="265"/>
        <v>2067</v>
      </c>
      <c r="BT131" s="741">
        <f t="shared" si="265"/>
        <v>2068</v>
      </c>
      <c r="BU131" s="741">
        <f t="shared" si="265"/>
        <v>2069</v>
      </c>
      <c r="BV131" s="741">
        <f t="shared" ref="BV131:CZ131" si="266">+BU131+1</f>
        <v>2070</v>
      </c>
      <c r="BW131" s="741">
        <f t="shared" si="266"/>
        <v>2071</v>
      </c>
      <c r="BX131" s="741">
        <f t="shared" si="266"/>
        <v>2072</v>
      </c>
      <c r="BY131" s="741">
        <f t="shared" si="266"/>
        <v>2073</v>
      </c>
      <c r="BZ131" s="741">
        <f t="shared" si="266"/>
        <v>2074</v>
      </c>
      <c r="CA131" s="741">
        <f t="shared" si="266"/>
        <v>2075</v>
      </c>
      <c r="CB131" s="741">
        <f t="shared" si="266"/>
        <v>2076</v>
      </c>
      <c r="CC131" s="741">
        <f t="shared" si="266"/>
        <v>2077</v>
      </c>
      <c r="CD131" s="741">
        <f t="shared" si="266"/>
        <v>2078</v>
      </c>
      <c r="CE131" s="741">
        <f t="shared" si="266"/>
        <v>2079</v>
      </c>
      <c r="CF131" s="741">
        <f t="shared" si="266"/>
        <v>2080</v>
      </c>
      <c r="CG131" s="741">
        <f t="shared" si="266"/>
        <v>2081</v>
      </c>
      <c r="CH131" s="741">
        <f t="shared" si="266"/>
        <v>2082</v>
      </c>
      <c r="CI131" s="741">
        <f t="shared" si="266"/>
        <v>2083</v>
      </c>
      <c r="CJ131" s="741">
        <f t="shared" si="266"/>
        <v>2084</v>
      </c>
      <c r="CK131" s="741">
        <f t="shared" si="266"/>
        <v>2085</v>
      </c>
      <c r="CL131" s="741">
        <f t="shared" si="266"/>
        <v>2086</v>
      </c>
      <c r="CM131" s="741">
        <f t="shared" si="266"/>
        <v>2087</v>
      </c>
      <c r="CN131" s="741">
        <f t="shared" si="266"/>
        <v>2088</v>
      </c>
      <c r="CO131" s="741">
        <f t="shared" si="266"/>
        <v>2089</v>
      </c>
      <c r="CP131" s="741">
        <f t="shared" si="266"/>
        <v>2090</v>
      </c>
      <c r="CQ131" s="741">
        <f t="shared" si="266"/>
        <v>2091</v>
      </c>
      <c r="CR131" s="741">
        <f t="shared" si="266"/>
        <v>2092</v>
      </c>
      <c r="CS131" s="741">
        <f t="shared" si="266"/>
        <v>2093</v>
      </c>
      <c r="CT131" s="741">
        <f t="shared" si="266"/>
        <v>2094</v>
      </c>
      <c r="CU131" s="741">
        <f t="shared" si="266"/>
        <v>2095</v>
      </c>
      <c r="CV131" s="741">
        <f t="shared" si="266"/>
        <v>2096</v>
      </c>
      <c r="CW131" s="741">
        <f t="shared" si="266"/>
        <v>2097</v>
      </c>
      <c r="CX131" s="741">
        <f t="shared" si="266"/>
        <v>2098</v>
      </c>
      <c r="CY131" s="741">
        <f t="shared" si="266"/>
        <v>2099</v>
      </c>
      <c r="CZ131" s="1065">
        <f t="shared" si="266"/>
        <v>2100</v>
      </c>
    </row>
    <row r="132" spans="1:104" ht="13.8" thickBot="1" x14ac:dyDescent="0.3">
      <c r="A132" s="1066" t="s">
        <v>1072</v>
      </c>
      <c r="B132" s="723"/>
      <c r="C132" s="723"/>
      <c r="D132" s="1027"/>
      <c r="E132" s="723"/>
      <c r="F132" s="723"/>
      <c r="G132" s="723"/>
      <c r="H132" s="801"/>
      <c r="I132" s="801"/>
      <c r="J132" s="801"/>
      <c r="K132" s="801"/>
      <c r="L132" s="801"/>
      <c r="M132" s="801"/>
      <c r="N132" s="801"/>
      <c r="O132" s="801"/>
      <c r="P132" s="801"/>
      <c r="Q132" s="801"/>
      <c r="R132" s="801"/>
      <c r="S132" s="801"/>
      <c r="T132" s="801"/>
      <c r="U132" s="801"/>
      <c r="V132" s="801"/>
      <c r="W132" s="801"/>
      <c r="X132" s="801"/>
      <c r="Y132" s="801"/>
      <c r="Z132" s="801"/>
      <c r="AA132" s="801"/>
      <c r="AB132" s="801"/>
      <c r="AC132" s="801"/>
      <c r="AD132" s="801"/>
      <c r="AE132" s="801"/>
      <c r="AF132" s="801"/>
      <c r="AG132" s="801"/>
      <c r="AH132" s="801"/>
      <c r="AI132" s="801"/>
      <c r="AJ132" s="801"/>
      <c r="AK132" s="801"/>
      <c r="AL132" s="801"/>
      <c r="AM132" s="801"/>
      <c r="AN132" s="801"/>
      <c r="AO132" s="801"/>
      <c r="AP132" s="801"/>
      <c r="AQ132" s="801"/>
      <c r="AR132" s="801"/>
      <c r="AS132" s="801"/>
      <c r="AT132" s="801"/>
      <c r="AU132" s="801"/>
      <c r="AV132" s="801"/>
      <c r="AW132" s="801"/>
      <c r="AX132" s="801"/>
      <c r="AY132" s="801"/>
      <c r="AZ132" s="801"/>
      <c r="BA132" s="801"/>
      <c r="BB132" s="801"/>
      <c r="BC132" s="801"/>
      <c r="BD132" s="801"/>
      <c r="BE132" s="801"/>
      <c r="BF132" s="801"/>
      <c r="BG132" s="801"/>
      <c r="BH132" s="801"/>
      <c r="BI132" s="801"/>
      <c r="BJ132" s="801"/>
      <c r="BK132" s="801"/>
      <c r="BL132" s="801"/>
      <c r="BM132" s="801"/>
      <c r="BN132" s="801"/>
      <c r="BO132" s="801"/>
      <c r="BP132" s="801"/>
      <c r="BQ132" s="801"/>
      <c r="BR132" s="801"/>
      <c r="BS132" s="801"/>
      <c r="BT132" s="801"/>
      <c r="BU132" s="801"/>
      <c r="BV132" s="801"/>
      <c r="BW132" s="801"/>
      <c r="BX132" s="801"/>
      <c r="BY132" s="801"/>
      <c r="BZ132" s="801"/>
      <c r="CA132" s="801"/>
      <c r="CB132" s="801"/>
      <c r="CC132" s="801"/>
      <c r="CD132" s="801"/>
      <c r="CE132" s="801"/>
      <c r="CF132" s="801"/>
      <c r="CG132" s="801"/>
      <c r="CH132" s="801"/>
      <c r="CI132" s="801"/>
      <c r="CJ132" s="801"/>
      <c r="CK132" s="801"/>
      <c r="CL132" s="801"/>
      <c r="CM132" s="801"/>
      <c r="CN132" s="801"/>
      <c r="CO132" s="801"/>
      <c r="CP132" s="801"/>
      <c r="CQ132" s="801"/>
      <c r="CR132" s="801"/>
      <c r="CS132" s="801"/>
      <c r="CT132" s="801"/>
      <c r="CU132" s="801"/>
      <c r="CV132" s="801"/>
      <c r="CW132" s="801"/>
      <c r="CX132" s="801"/>
      <c r="CY132" s="801"/>
      <c r="CZ132" s="1067"/>
    </row>
    <row r="133" spans="1:104" x14ac:dyDescent="0.25">
      <c r="A133" s="1068" t="s">
        <v>670</v>
      </c>
      <c r="B133" s="254">
        <v>2016</v>
      </c>
      <c r="C133" s="726">
        <f t="shared" ref="C133:C142" si="267">VLOOKUP(ref_year,DeflatorTable,2,FALSE)/VLOOKUP(B133,DeflatorTable,2,FALSE)</f>
        <v>1</v>
      </c>
      <c r="D133" s="1028" t="s">
        <v>851</v>
      </c>
      <c r="E133" s="726" t="s">
        <v>1040</v>
      </c>
      <c r="F133" s="254">
        <v>47.141269049911173</v>
      </c>
      <c r="G133" s="254">
        <v>52.224661236371581</v>
      </c>
      <c r="H133" s="851">
        <v>13.604875014867702</v>
      </c>
      <c r="I133" s="851">
        <v>15.571757228276402</v>
      </c>
      <c r="J133" s="851">
        <v>16.331995797204218</v>
      </c>
      <c r="K133" s="851">
        <v>15.155672177020728</v>
      </c>
      <c r="L133" s="851">
        <v>15.783516201764996</v>
      </c>
      <c r="M133" s="851">
        <v>13.69149010361817</v>
      </c>
      <c r="N133" s="851">
        <v>12.691188457250465</v>
      </c>
      <c r="O133" s="801">
        <v>12.04142243701838</v>
      </c>
      <c r="P133" s="801">
        <v>11.415954621928984</v>
      </c>
      <c r="Q133" s="801">
        <v>10.886628367710442</v>
      </c>
      <c r="R133" s="801">
        <v>11.368469484946878</v>
      </c>
      <c r="S133" s="801">
        <v>9.7183315387998359</v>
      </c>
      <c r="T133" s="801">
        <v>9.390001099467705</v>
      </c>
      <c r="U133" s="801">
        <v>10.023002570479671</v>
      </c>
      <c r="V133" s="801">
        <v>10.033707215541167</v>
      </c>
      <c r="W133" s="801">
        <v>10.158951752324048</v>
      </c>
      <c r="X133" s="801">
        <v>10.289627280447673</v>
      </c>
      <c r="Y133" s="801">
        <v>10.38663350570965</v>
      </c>
      <c r="Z133" s="801">
        <v>10.458822090960101</v>
      </c>
      <c r="AA133" s="801">
        <v>10.541361785535555</v>
      </c>
      <c r="AB133" s="801">
        <v>10.671303703310535</v>
      </c>
      <c r="AC133" s="801">
        <v>10.821196220864106</v>
      </c>
      <c r="AD133" s="801">
        <v>10.961130973142659</v>
      </c>
      <c r="AE133" s="801">
        <v>11.387951919139837</v>
      </c>
      <c r="AF133" s="801">
        <v>11.524366479125279</v>
      </c>
      <c r="AG133" s="801">
        <v>11.653679994237272</v>
      </c>
      <c r="AH133" s="801">
        <v>11.727599293307653</v>
      </c>
      <c r="AI133" s="801">
        <v>11.827238554162054</v>
      </c>
      <c r="AJ133" s="801">
        <v>11.877874728924342</v>
      </c>
      <c r="AK133" s="801">
        <v>11.891573527850655</v>
      </c>
      <c r="AL133" s="801">
        <v>11.9827791131466</v>
      </c>
      <c r="AM133" s="801">
        <v>12.163475682807357</v>
      </c>
      <c r="AN133" s="801">
        <v>12.259449735369497</v>
      </c>
      <c r="AO133" s="801">
        <v>12.356256919064013</v>
      </c>
      <c r="AP133" s="801">
        <v>12.41256198723101</v>
      </c>
      <c r="AQ133" s="801">
        <v>12.490714236969412</v>
      </c>
      <c r="AR133" s="801">
        <v>12.496378391289182</v>
      </c>
      <c r="AS133" s="801">
        <v>12.55376491863939</v>
      </c>
      <c r="AT133" s="801">
        <v>12.651412816002184</v>
      </c>
      <c r="AU133" s="801">
        <v>12.770777096192051</v>
      </c>
      <c r="AV133" s="801">
        <v>12.886454368298935</v>
      </c>
      <c r="AW133" s="801">
        <v>13.010888521557151</v>
      </c>
      <c r="AX133" s="801">
        <v>13.118997475015544</v>
      </c>
      <c r="AY133" s="801">
        <v>13.217679440712152</v>
      </c>
      <c r="AZ133" s="801">
        <v>13.363983523149482</v>
      </c>
      <c r="BA133" s="801">
        <v>13.453606254075613</v>
      </c>
      <c r="BB133" s="801">
        <v>13.593337225701765</v>
      </c>
      <c r="BC133" s="801">
        <v>13.668907227280409</v>
      </c>
      <c r="BD133" s="801">
        <v>13.744897348292845</v>
      </c>
      <c r="BE133" s="801">
        <v>13.821309924326409</v>
      </c>
      <c r="BF133" s="801">
        <v>13.898147303952761</v>
      </c>
      <c r="BG133" s="801">
        <v>13.975411848800078</v>
      </c>
      <c r="BH133" s="801">
        <v>14.050424531225174</v>
      </c>
      <c r="BI133" s="801">
        <v>14.12583984239463</v>
      </c>
      <c r="BJ133" s="801">
        <v>14.201659943408417</v>
      </c>
      <c r="BK133" s="801">
        <v>14.277887006966159</v>
      </c>
      <c r="BL133" s="801">
        <v>14.354523217429389</v>
      </c>
      <c r="BM133" s="801">
        <v>14.422221698840277</v>
      </c>
      <c r="BN133" s="801">
        <v>14.490239458315362</v>
      </c>
      <c r="BO133" s="801">
        <v>14.558578001626712</v>
      </c>
      <c r="BP133" s="801">
        <v>14.627238841647882</v>
      </c>
      <c r="BQ133" s="801">
        <v>14.696223498387408</v>
      </c>
      <c r="BR133" s="801">
        <v>14.75529333521281</v>
      </c>
      <c r="BS133" s="801">
        <v>14.814600596681556</v>
      </c>
      <c r="BT133" s="801">
        <v>14.874146237095607</v>
      </c>
      <c r="BU133" s="801">
        <v>14.933931214592636</v>
      </c>
      <c r="BV133" s="801">
        <v>14.993956491161448</v>
      </c>
      <c r="BW133" s="801">
        <v>15.043740835540882</v>
      </c>
      <c r="BX133" s="801">
        <v>15.093690478582264</v>
      </c>
      <c r="BY133" s="801">
        <v>15.143805969125756</v>
      </c>
      <c r="BZ133" s="801">
        <v>15.19408785783383</v>
      </c>
      <c r="CA133" s="801">
        <v>15.244536697197322</v>
      </c>
      <c r="CB133" s="801">
        <v>15.277067444573643</v>
      </c>
      <c r="CC133" s="801">
        <v>15.309667610230484</v>
      </c>
      <c r="CD133" s="801">
        <v>15.342337342301477</v>
      </c>
      <c r="CE133" s="801">
        <v>15.375076789236356</v>
      </c>
      <c r="CF133" s="801">
        <v>15.407886099801638</v>
      </c>
      <c r="CG133" s="801">
        <v>15.41853907481957</v>
      </c>
      <c r="CH133" s="801">
        <v>15.42919941527855</v>
      </c>
      <c r="CI133" s="801">
        <v>15.439867126271025</v>
      </c>
      <c r="CJ133" s="801">
        <v>15.450542212892964</v>
      </c>
      <c r="CK133" s="801">
        <v>15.461224680243861</v>
      </c>
      <c r="CL133" s="801">
        <v>15.464845562477739</v>
      </c>
      <c r="CM133" s="801">
        <v>15.468467292690251</v>
      </c>
      <c r="CN133" s="801">
        <v>15.472089871079984</v>
      </c>
      <c r="CO133" s="801">
        <v>15.475713297845573</v>
      </c>
      <c r="CP133" s="801">
        <v>15.479337573185701</v>
      </c>
      <c r="CQ133" s="801">
        <v>15.484830510437597</v>
      </c>
      <c r="CR133" s="801">
        <v>15.490325396891745</v>
      </c>
      <c r="CS133" s="801">
        <v>15.49582223323983</v>
      </c>
      <c r="CT133" s="801">
        <v>15.501321020173785</v>
      </c>
      <c r="CU133" s="801">
        <v>15.506821758385787</v>
      </c>
      <c r="CV133" s="801">
        <v>15.515287417782641</v>
      </c>
      <c r="CW133" s="801">
        <v>15.523757698847955</v>
      </c>
      <c r="CX133" s="801">
        <v>15.532232604104841</v>
      </c>
      <c r="CY133" s="801">
        <v>15.540712136077792</v>
      </c>
      <c r="CZ133" s="1067">
        <v>15.549196297292674</v>
      </c>
    </row>
    <row r="134" spans="1:104" x14ac:dyDescent="0.25">
      <c r="A134" s="1068" t="s">
        <v>1067</v>
      </c>
      <c r="B134" s="254">
        <v>2016</v>
      </c>
      <c r="C134" s="726">
        <f t="shared" si="267"/>
        <v>1</v>
      </c>
      <c r="D134" s="1028" t="s">
        <v>851</v>
      </c>
      <c r="E134" s="726" t="s">
        <v>1040</v>
      </c>
      <c r="F134" s="254">
        <v>47.141269049911173</v>
      </c>
      <c r="G134" s="254">
        <v>52.224661236371581</v>
      </c>
      <c r="H134" s="852">
        <v>11.934322920018829</v>
      </c>
      <c r="I134" s="852">
        <v>13.90423046997279</v>
      </c>
      <c r="J134" s="852">
        <v>14.274140536522257</v>
      </c>
      <c r="K134" s="852">
        <v>13.139550648884942</v>
      </c>
      <c r="L134" s="852">
        <v>13.897221248926272</v>
      </c>
      <c r="M134" s="852">
        <v>11.345666428533674</v>
      </c>
      <c r="N134" s="852">
        <v>10.551848524158197</v>
      </c>
      <c r="O134" s="254">
        <v>9.7270239269114924</v>
      </c>
      <c r="P134" s="254">
        <v>8.6825570363966911</v>
      </c>
      <c r="Q134" s="254">
        <v>8.5236392646415098</v>
      </c>
      <c r="R134" s="254">
        <v>9.2232797097563566</v>
      </c>
      <c r="S134" s="254">
        <v>7.6085885488542795</v>
      </c>
      <c r="T134" s="254">
        <v>6.813801352724405</v>
      </c>
      <c r="U134" s="254">
        <v>7.4731047451509687</v>
      </c>
      <c r="V134" s="254">
        <v>7.9843107853990691</v>
      </c>
      <c r="W134" s="254">
        <v>8.5650780622071245</v>
      </c>
      <c r="X134" s="254">
        <v>9.1477570858798014</v>
      </c>
      <c r="Y134" s="254">
        <v>9.2514909161219876</v>
      </c>
      <c r="Z134" s="254">
        <v>9.3094669856386769</v>
      </c>
      <c r="AA134" s="254">
        <v>9.3761326413005577</v>
      </c>
      <c r="AB134" s="254">
        <v>9.4891655040111615</v>
      </c>
      <c r="AC134" s="254">
        <v>9.6143446414218783</v>
      </c>
      <c r="AD134" s="254">
        <v>9.7258827967425425</v>
      </c>
      <c r="AE134" s="254">
        <v>10.087086372666475</v>
      </c>
      <c r="AF134" s="254">
        <v>10.198695614261233</v>
      </c>
      <c r="AG134" s="254">
        <v>10.304737378868989</v>
      </c>
      <c r="AH134" s="254">
        <v>10.357640731866367</v>
      </c>
      <c r="AI134" s="254">
        <v>10.427655972763532</v>
      </c>
      <c r="AJ134" s="254">
        <v>10.453569289213085</v>
      </c>
      <c r="AK134" s="254">
        <v>10.441948105124277</v>
      </c>
      <c r="AL134" s="254">
        <v>10.506270757192036</v>
      </c>
      <c r="AM134" s="254">
        <v>10.658282593530579</v>
      </c>
      <c r="AN134" s="254">
        <v>10.722901912315555</v>
      </c>
      <c r="AO134" s="254">
        <v>10.786351624937444</v>
      </c>
      <c r="AP134" s="254">
        <v>10.817805879498341</v>
      </c>
      <c r="AQ134" s="254">
        <v>10.86596540847121</v>
      </c>
      <c r="AR134" s="254">
        <v>10.838793391061706</v>
      </c>
      <c r="AS134" s="254">
        <v>10.868085675073171</v>
      </c>
      <c r="AT134" s="254">
        <v>10.937640276914211</v>
      </c>
      <c r="AU134" s="254">
        <v>11.027299024885883</v>
      </c>
      <c r="AV134" s="254">
        <v>11.114692490256441</v>
      </c>
      <c r="AW134" s="254">
        <v>11.212257927541287</v>
      </c>
      <c r="AX134" s="254">
        <v>11.293368314098968</v>
      </c>
      <c r="AY134" s="254">
        <v>11.35816487466068</v>
      </c>
      <c r="AZ134" s="254">
        <v>11.46581792814789</v>
      </c>
      <c r="BA134" s="254">
        <v>11.521194135666732</v>
      </c>
      <c r="BB134" s="254">
        <v>11.628119265707223</v>
      </c>
      <c r="BC134" s="254">
        <v>11.692763949840026</v>
      </c>
      <c r="BD134" s="254">
        <v>11.757768015837698</v>
      </c>
      <c r="BE134" s="254">
        <v>11.823133461626696</v>
      </c>
      <c r="BF134" s="254">
        <v>11.888862296240635</v>
      </c>
      <c r="BG134" s="254">
        <v>11.954956539882032</v>
      </c>
      <c r="BH134" s="254">
        <v>12.019124477688386</v>
      </c>
      <c r="BI134" s="254">
        <v>12.083636835336717</v>
      </c>
      <c r="BJ134" s="254">
        <v>12.148495461492134</v>
      </c>
      <c r="BK134" s="254">
        <v>12.213702214742405</v>
      </c>
      <c r="BL134" s="254">
        <v>12.279258963651227</v>
      </c>
      <c r="BM134" s="254">
        <v>12.337170130194249</v>
      </c>
      <c r="BN134" s="254">
        <v>12.395354416085945</v>
      </c>
      <c r="BO134" s="254">
        <v>12.453813109405683</v>
      </c>
      <c r="BP134" s="254">
        <v>12.512547504307637</v>
      </c>
      <c r="BQ134" s="254">
        <v>12.571558901049444</v>
      </c>
      <c r="BR134" s="254">
        <v>12.622088884688262</v>
      </c>
      <c r="BS134" s="254">
        <v>12.672821967979766</v>
      </c>
      <c r="BT134" s="254">
        <v>12.723758967260437</v>
      </c>
      <c r="BU134" s="254">
        <v>12.774900702147928</v>
      </c>
      <c r="BV134" s="254">
        <v>12.826247995554251</v>
      </c>
      <c r="BW134" s="254">
        <v>12.868834910334423</v>
      </c>
      <c r="BX134" s="254">
        <v>12.911563226193937</v>
      </c>
      <c r="BY134" s="254">
        <v>12.954433412625956</v>
      </c>
      <c r="BZ134" s="254">
        <v>12.997445940682496</v>
      </c>
      <c r="CA134" s="254">
        <v>13.040601282979605</v>
      </c>
      <c r="CB134" s="254">
        <v>13.06842899033459</v>
      </c>
      <c r="CC134" s="254">
        <v>13.096316080020177</v>
      </c>
      <c r="CD134" s="254">
        <v>13.124262678753999</v>
      </c>
      <c r="CE134" s="254">
        <v>13.152268913524093</v>
      </c>
      <c r="CF134" s="254">
        <v>13.180334911589481</v>
      </c>
      <c r="CG134" s="254">
        <v>13.189447763127433</v>
      </c>
      <c r="CH134" s="254">
        <v>13.198566915268799</v>
      </c>
      <c r="CI134" s="254">
        <v>13.207692372369801</v>
      </c>
      <c r="CJ134" s="254">
        <v>13.216824138789674</v>
      </c>
      <c r="CK134" s="254">
        <v>13.225962218890665</v>
      </c>
      <c r="CL134" s="254">
        <v>13.22905962240266</v>
      </c>
      <c r="CM134" s="254">
        <v>13.232157751299196</v>
      </c>
      <c r="CN134" s="254">
        <v>13.23525660575015</v>
      </c>
      <c r="CO134" s="254">
        <v>13.23835618592544</v>
      </c>
      <c r="CP134" s="254">
        <v>13.241456491995026</v>
      </c>
      <c r="CQ134" s="254">
        <v>13.246155303510076</v>
      </c>
      <c r="CR134" s="254">
        <v>13.250855782427021</v>
      </c>
      <c r="CS134" s="254">
        <v>13.255557929337549</v>
      </c>
      <c r="CT134" s="254">
        <v>13.260261744833558</v>
      </c>
      <c r="CU134" s="254">
        <v>13.264967229507157</v>
      </c>
      <c r="CV134" s="254">
        <v>13.272208990341527</v>
      </c>
      <c r="CW134" s="254">
        <v>13.279454704679821</v>
      </c>
      <c r="CX134" s="254">
        <v>13.286704374680379</v>
      </c>
      <c r="CY134" s="254">
        <v>13.293958002502723</v>
      </c>
      <c r="CZ134" s="423">
        <v>13.30121559030755</v>
      </c>
    </row>
    <row r="135" spans="1:104" x14ac:dyDescent="0.25">
      <c r="A135" s="1068" t="s">
        <v>282</v>
      </c>
      <c r="B135" s="254">
        <v>2016</v>
      </c>
      <c r="C135" s="726">
        <f t="shared" si="267"/>
        <v>1</v>
      </c>
      <c r="D135" s="1028" t="s">
        <v>851</v>
      </c>
      <c r="E135" s="726" t="s">
        <v>1040</v>
      </c>
      <c r="F135" s="254">
        <v>47.141269049911173</v>
      </c>
      <c r="G135" s="254">
        <v>52.224661236371581</v>
      </c>
      <c r="H135" s="852">
        <v>8.2641705904266125</v>
      </c>
      <c r="I135" s="852">
        <v>10.495609596381577</v>
      </c>
      <c r="J135" s="852">
        <v>9.3614571685358463</v>
      </c>
      <c r="K135" s="852">
        <v>8.8987432965993278</v>
      </c>
      <c r="L135" s="852">
        <v>10.965509816201024</v>
      </c>
      <c r="M135" s="852">
        <v>6.0111731674040234</v>
      </c>
      <c r="N135" s="852">
        <v>6.1171751211856922</v>
      </c>
      <c r="O135" s="254">
        <v>5.6004077154944953</v>
      </c>
      <c r="P135" s="254">
        <v>4.1590520124961925</v>
      </c>
      <c r="Q135" s="254">
        <v>4.894763142071362</v>
      </c>
      <c r="R135" s="254">
        <v>5.8241384234641265</v>
      </c>
      <c r="S135" s="254">
        <v>3.5390282601113117</v>
      </c>
      <c r="T135" s="254">
        <v>3.3168400539876552</v>
      </c>
      <c r="U135" s="254">
        <v>3.8686572087168831</v>
      </c>
      <c r="V135" s="254">
        <v>4.230424735748624</v>
      </c>
      <c r="W135" s="254">
        <v>4.6374903322667231</v>
      </c>
      <c r="X135" s="254">
        <v>5.0398775041324821</v>
      </c>
      <c r="Y135" s="254">
        <v>5.0452222441273262</v>
      </c>
      <c r="Z135" s="254">
        <v>4.9894479534735598</v>
      </c>
      <c r="AA135" s="254">
        <v>5.0008757828968315</v>
      </c>
      <c r="AB135" s="254">
        <v>5.0866427943161305</v>
      </c>
      <c r="AC135" s="254">
        <v>5.1985543895300337</v>
      </c>
      <c r="AD135" s="254">
        <v>5.3142743134013735</v>
      </c>
      <c r="AE135" s="254">
        <v>5.4069765017212355</v>
      </c>
      <c r="AF135" s="254">
        <v>5.498883471588238</v>
      </c>
      <c r="AG135" s="254">
        <v>5.5761078084954727</v>
      </c>
      <c r="AH135" s="254">
        <v>5.5953977798334869</v>
      </c>
      <c r="AI135" s="254">
        <v>5.6194116710392619</v>
      </c>
      <c r="AJ135" s="254">
        <v>5.6053299540498323</v>
      </c>
      <c r="AK135" s="254">
        <v>5.5496627667157004</v>
      </c>
      <c r="AL135" s="254">
        <v>5.5482476759527453</v>
      </c>
      <c r="AM135" s="254">
        <v>5.6344516310034729</v>
      </c>
      <c r="AN135" s="254">
        <v>5.6381945602887429</v>
      </c>
      <c r="AO135" s="254">
        <v>5.6485162872871211</v>
      </c>
      <c r="AP135" s="254">
        <v>5.6430123140383071</v>
      </c>
      <c r="AQ135" s="254">
        <v>5.6644386648670784</v>
      </c>
      <c r="AR135" s="254">
        <v>5.6215300420072483</v>
      </c>
      <c r="AS135" s="254">
        <v>5.6260767200982693</v>
      </c>
      <c r="AT135" s="254">
        <v>5.6802473044084865</v>
      </c>
      <c r="AU135" s="254">
        <v>5.7631623345111542</v>
      </c>
      <c r="AV135" s="254">
        <v>5.819991545472468</v>
      </c>
      <c r="AW135" s="254">
        <v>5.8947240715184783</v>
      </c>
      <c r="AX135" s="254">
        <v>5.9518546882819487</v>
      </c>
      <c r="AY135" s="254">
        <v>6.0145186606208574</v>
      </c>
      <c r="AZ135" s="254">
        <v>6.1247620979360331</v>
      </c>
      <c r="BA135" s="254">
        <v>6.1606322318436177</v>
      </c>
      <c r="BB135" s="254">
        <v>6.238633778680942</v>
      </c>
      <c r="BC135" s="254">
        <v>6.2733164733478626</v>
      </c>
      <c r="BD135" s="254">
        <v>6.3081919809530058</v>
      </c>
      <c r="BE135" s="254">
        <v>6.3432613734093088</v>
      </c>
      <c r="BF135" s="254">
        <v>6.3785257285888406</v>
      </c>
      <c r="BG135" s="254">
        <v>6.4139861303559274</v>
      </c>
      <c r="BH135" s="254">
        <v>6.4484130445592944</v>
      </c>
      <c r="BI135" s="254">
        <v>6.4830247443854354</v>
      </c>
      <c r="BJ135" s="254">
        <v>6.5178222216666768</v>
      </c>
      <c r="BK135" s="254">
        <v>6.5528064735589808</v>
      </c>
      <c r="BL135" s="254">
        <v>6.5879785025705191</v>
      </c>
      <c r="BM135" s="254">
        <v>6.6190485794679574</v>
      </c>
      <c r="BN135" s="254">
        <v>6.6502651883672899</v>
      </c>
      <c r="BO135" s="254">
        <v>6.6816290203394662</v>
      </c>
      <c r="BP135" s="254">
        <v>6.7131407697146503</v>
      </c>
      <c r="BQ135" s="254">
        <v>6.7448011340975915</v>
      </c>
      <c r="BR135" s="254">
        <v>6.7719111125525773</v>
      </c>
      <c r="BS135" s="254">
        <v>6.7991300565526132</v>
      </c>
      <c r="BT135" s="254">
        <v>6.8264584040725946</v>
      </c>
      <c r="BU135" s="254">
        <v>6.8538965948478108</v>
      </c>
      <c r="BV135" s="254">
        <v>6.8814450703810159</v>
      </c>
      <c r="BW135" s="254">
        <v>6.904293491437457</v>
      </c>
      <c r="BX135" s="254">
        <v>6.9272177759701634</v>
      </c>
      <c r="BY135" s="254">
        <v>6.9502181758681845</v>
      </c>
      <c r="BZ135" s="254">
        <v>6.9732949438569127</v>
      </c>
      <c r="CA135" s="254">
        <v>6.996448333500866</v>
      </c>
      <c r="CB135" s="254">
        <v>7.0113782521851409</v>
      </c>
      <c r="CC135" s="254">
        <v>7.0263400302445289</v>
      </c>
      <c r="CD135" s="254">
        <v>7.0413337356646508</v>
      </c>
      <c r="CE135" s="254">
        <v>7.0563594365762032</v>
      </c>
      <c r="CF135" s="254">
        <v>7.0714172012552687</v>
      </c>
      <c r="CG135" s="254">
        <v>7.0763063619291211</v>
      </c>
      <c r="CH135" s="254">
        <v>7.0811989029567863</v>
      </c>
      <c r="CI135" s="254">
        <v>7.0860948266754322</v>
      </c>
      <c r="CJ135" s="254">
        <v>7.090994135423843</v>
      </c>
      <c r="CK135" s="254">
        <v>7.0958968315424205</v>
      </c>
      <c r="CL135" s="254">
        <v>7.0975586278944007</v>
      </c>
      <c r="CM135" s="254">
        <v>7.0992208134244059</v>
      </c>
      <c r="CN135" s="254">
        <v>7.1008833882235782</v>
      </c>
      <c r="CO135" s="254">
        <v>7.1025463523830812</v>
      </c>
      <c r="CP135" s="254">
        <v>7.1042097059940996</v>
      </c>
      <c r="CQ135" s="254">
        <v>7.1067306780935082</v>
      </c>
      <c r="CR135" s="254">
        <v>7.1092525447752264</v>
      </c>
      <c r="CS135" s="254">
        <v>7.1117753063567024</v>
      </c>
      <c r="CT135" s="254">
        <v>7.1142989631554965</v>
      </c>
      <c r="CU135" s="254">
        <v>7.1168235154892816</v>
      </c>
      <c r="CV135" s="254">
        <v>7.1207088122192239</v>
      </c>
      <c r="CW135" s="254">
        <v>7.1245962300542702</v>
      </c>
      <c r="CX135" s="254">
        <v>7.1284857701523974</v>
      </c>
      <c r="CY135" s="254">
        <v>7.1323774336722154</v>
      </c>
      <c r="CZ135" s="423">
        <v>7.1362712217729669</v>
      </c>
    </row>
    <row r="136" spans="1:104" x14ac:dyDescent="0.25">
      <c r="A136" s="1068" t="s">
        <v>1068</v>
      </c>
      <c r="B136" s="254">
        <v>2016</v>
      </c>
      <c r="C136" s="726">
        <f t="shared" si="267"/>
        <v>1</v>
      </c>
      <c r="D136" s="1028" t="s">
        <v>851</v>
      </c>
      <c r="E136" s="726" t="s">
        <v>1040</v>
      </c>
      <c r="F136" s="254">
        <v>47.141269049911173</v>
      </c>
      <c r="G136" s="254">
        <v>52.224661236371581</v>
      </c>
      <c r="H136" s="852">
        <v>8.4160389626855991</v>
      </c>
      <c r="I136" s="852">
        <v>10.630483084185546</v>
      </c>
      <c r="J136" s="852">
        <v>10.241695834954719</v>
      </c>
      <c r="K136" s="852">
        <v>9.4549147526367854</v>
      </c>
      <c r="L136" s="852">
        <v>10.431438353650302</v>
      </c>
      <c r="M136" s="852">
        <v>7.3081429877632402</v>
      </c>
      <c r="N136" s="852">
        <v>6.8860004096407268</v>
      </c>
      <c r="O136" s="254">
        <v>6.1462564207083838</v>
      </c>
      <c r="P136" s="254">
        <v>5.0701845410069568</v>
      </c>
      <c r="Q136" s="254">
        <v>5.147940545971605</v>
      </c>
      <c r="R136" s="254">
        <v>5.9174075441245835</v>
      </c>
      <c r="S136" s="254">
        <v>4.3672641892083037</v>
      </c>
      <c r="T136" s="254">
        <v>3.755553639162041</v>
      </c>
      <c r="U136" s="254">
        <v>3.3468214009493336</v>
      </c>
      <c r="V136" s="254">
        <v>3.6078009129373227</v>
      </c>
      <c r="W136" s="254">
        <v>3.9595869792693468</v>
      </c>
      <c r="X136" s="254">
        <v>4.2992239274502966</v>
      </c>
      <c r="Y136" s="254">
        <v>4.3362295461094007</v>
      </c>
      <c r="Z136" s="254">
        <v>4.2972619462853157</v>
      </c>
      <c r="AA136" s="254">
        <v>4.3209431537283329</v>
      </c>
      <c r="AB136" s="254">
        <v>4.4388231525151278</v>
      </c>
      <c r="AC136" s="254">
        <v>4.5598555906037213</v>
      </c>
      <c r="AD136" s="254">
        <v>4.6705511366221319</v>
      </c>
      <c r="AE136" s="254">
        <v>4.7905826799714895</v>
      </c>
      <c r="AF136" s="254">
        <v>4.8909868291351355</v>
      </c>
      <c r="AG136" s="254">
        <v>4.9795195705251665</v>
      </c>
      <c r="AH136" s="254">
        <v>5.0140428564929254</v>
      </c>
      <c r="AI136" s="254">
        <v>5.034241784322349</v>
      </c>
      <c r="AJ136" s="254">
        <v>5.0303794300966009</v>
      </c>
      <c r="AK136" s="254">
        <v>4.9817061843162831</v>
      </c>
      <c r="AL136" s="254">
        <v>5.005816752854825</v>
      </c>
      <c r="AM136" s="254">
        <v>5.1117353012541518</v>
      </c>
      <c r="AN136" s="254">
        <v>5.1218001698488047</v>
      </c>
      <c r="AO136" s="254">
        <v>5.1563490468752367</v>
      </c>
      <c r="AP136" s="254">
        <v>5.1654177598155924</v>
      </c>
      <c r="AQ136" s="254">
        <v>5.1952502995101684</v>
      </c>
      <c r="AR136" s="254">
        <v>5.1548078964528896</v>
      </c>
      <c r="AS136" s="254">
        <v>5.1691436283950809</v>
      </c>
      <c r="AT136" s="254">
        <v>5.2239208155775625</v>
      </c>
      <c r="AU136" s="254">
        <v>5.3036701369405987</v>
      </c>
      <c r="AV136" s="254">
        <v>5.3698761013633396</v>
      </c>
      <c r="AW136" s="254">
        <v>5.4477553798092231</v>
      </c>
      <c r="AX136" s="254">
        <v>5.5105548899774046</v>
      </c>
      <c r="AY136" s="254">
        <v>5.5735610242489493</v>
      </c>
      <c r="AZ136" s="254">
        <v>5.6745566112130543</v>
      </c>
      <c r="BA136" s="254">
        <v>5.7069198222653581</v>
      </c>
      <c r="BB136" s="254">
        <v>5.8107835034348891</v>
      </c>
      <c r="BC136" s="254">
        <v>5.8430876323795795</v>
      </c>
      <c r="BD136" s="254">
        <v>5.8755713510037442</v>
      </c>
      <c r="BE136" s="254">
        <v>5.9082356577077126</v>
      </c>
      <c r="BF136" s="254">
        <v>5.9410815564422617</v>
      </c>
      <c r="BG136" s="254">
        <v>5.974110056739474</v>
      </c>
      <c r="BH136" s="254">
        <v>6.006175946840397</v>
      </c>
      <c r="BI136" s="254">
        <v>6.0384139498247791</v>
      </c>
      <c r="BJ136" s="254">
        <v>6.0708249895043265</v>
      </c>
      <c r="BK136" s="254">
        <v>6.1034099946492821</v>
      </c>
      <c r="BL136" s="254">
        <v>6.1361698990150408</v>
      </c>
      <c r="BM136" s="254">
        <v>6.1651091662794615</v>
      </c>
      <c r="BN136" s="254">
        <v>6.1941849162690321</v>
      </c>
      <c r="BO136" s="254">
        <v>6.2233977926605295</v>
      </c>
      <c r="BP136" s="254">
        <v>6.2527484421664239</v>
      </c>
      <c r="BQ136" s="254">
        <v>6.2822375145491964</v>
      </c>
      <c r="BR136" s="254">
        <v>6.3074882699506478</v>
      </c>
      <c r="BS136" s="254">
        <v>6.3328405179567433</v>
      </c>
      <c r="BT136" s="254">
        <v>6.3582946665057261</v>
      </c>
      <c r="BU136" s="254">
        <v>6.3838511251755019</v>
      </c>
      <c r="BV136" s="254">
        <v>6.4095103051902287</v>
      </c>
      <c r="BW136" s="254">
        <v>6.4307917640583545</v>
      </c>
      <c r="BX136" s="254">
        <v>6.4521438836275307</v>
      </c>
      <c r="BY136" s="254">
        <v>6.473566898512062</v>
      </c>
      <c r="BZ136" s="254">
        <v>6.4950610441052419</v>
      </c>
      <c r="CA136" s="254">
        <v>6.5166265565819383</v>
      </c>
      <c r="CB136" s="254">
        <v>6.5305325700258869</v>
      </c>
      <c r="CC136" s="254">
        <v>6.5444682579046409</v>
      </c>
      <c r="CD136" s="254">
        <v>6.5584336835413142</v>
      </c>
      <c r="CE136" s="254">
        <v>6.5724289103941489</v>
      </c>
      <c r="CF136" s="254">
        <v>6.5864540020568016</v>
      </c>
      <c r="CG136" s="254">
        <v>6.5910078603528843</v>
      </c>
      <c r="CH136" s="254">
        <v>6.5955648671755291</v>
      </c>
      <c r="CI136" s="254">
        <v>6.6001250247016205</v>
      </c>
      <c r="CJ136" s="254">
        <v>6.6046883351095476</v>
      </c>
      <c r="CK136" s="254">
        <v>6.6092548005792047</v>
      </c>
      <c r="CL136" s="254">
        <v>6.6108026296665843</v>
      </c>
      <c r="CM136" s="254">
        <v>6.6123508212418631</v>
      </c>
      <c r="CN136" s="254">
        <v>6.6138993753899316</v>
      </c>
      <c r="CO136" s="254">
        <v>6.6154482921957012</v>
      </c>
      <c r="CP136" s="254">
        <v>6.6169975717441041</v>
      </c>
      <c r="CQ136" s="254">
        <v>6.6193456536491393</v>
      </c>
      <c r="CR136" s="254">
        <v>6.6216945687853457</v>
      </c>
      <c r="CS136" s="254">
        <v>6.6240443174483996</v>
      </c>
      <c r="CT136" s="254">
        <v>6.6263948999340831</v>
      </c>
      <c r="CU136" s="254">
        <v>6.6287463165382841</v>
      </c>
      <c r="CV136" s="254">
        <v>6.6323651566473876</v>
      </c>
      <c r="CW136" s="254">
        <v>6.6359859723945851</v>
      </c>
      <c r="CX136" s="254">
        <v>6.6396087648584388</v>
      </c>
      <c r="CY136" s="254">
        <v>6.6432335351180996</v>
      </c>
      <c r="CZ136" s="423">
        <v>6.6468602842533091</v>
      </c>
    </row>
    <row r="137" spans="1:104" x14ac:dyDescent="0.25">
      <c r="A137" s="1454" t="s">
        <v>311</v>
      </c>
      <c r="B137">
        <v>2016</v>
      </c>
      <c r="C137" s="814">
        <v>1</v>
      </c>
      <c r="D137" s="1030" t="s">
        <v>289</v>
      </c>
      <c r="E137" s="814" t="s">
        <v>1040</v>
      </c>
      <c r="H137" s="1455"/>
      <c r="I137" s="1455"/>
      <c r="J137" s="1455"/>
      <c r="K137" s="1455"/>
      <c r="L137" s="1455"/>
      <c r="M137" s="1455"/>
      <c r="N137" s="1455"/>
      <c r="S137">
        <v>27.998010633548642</v>
      </c>
      <c r="T137">
        <v>27.568794266352821</v>
      </c>
      <c r="U137">
        <v>27.568794266352821</v>
      </c>
      <c r="V137">
        <v>36.135525279048387</v>
      </c>
      <c r="W137">
        <v>36.037261504206917</v>
      </c>
      <c r="X137">
        <v>36.337007617833024</v>
      </c>
      <c r="Y137">
        <v>36.652537032081327</v>
      </c>
      <c r="Z137">
        <v>36.507370404014004</v>
      </c>
      <c r="AA137">
        <v>35.814991403627182</v>
      </c>
      <c r="AB137">
        <v>35.344845249766706</v>
      </c>
      <c r="AC137">
        <v>35.093839856000677</v>
      </c>
      <c r="AD137">
        <v>33.951344964462741</v>
      </c>
      <c r="AE137">
        <v>33.728317364797284</v>
      </c>
      <c r="AF137">
        <v>33.231596652847486</v>
      </c>
      <c r="AG137">
        <v>33.004297255059264</v>
      </c>
      <c r="AH137">
        <v>32.448516450458627</v>
      </c>
      <c r="AI137">
        <v>30.815236659478707</v>
      </c>
      <c r="AJ137">
        <v>31.041356345576048</v>
      </c>
      <c r="AK137">
        <v>31.071544546844798</v>
      </c>
      <c r="AL137">
        <v>31.110040402020914</v>
      </c>
      <c r="AM137">
        <v>31.143817410433492</v>
      </c>
      <c r="AN137">
        <v>31.179755153943066</v>
      </c>
      <c r="AO137">
        <v>30.752314563292465</v>
      </c>
      <c r="AP137">
        <v>30.012734677252613</v>
      </c>
      <c r="AQ137">
        <v>30.324526268143508</v>
      </c>
      <c r="AR137">
        <v>30.035968788554065</v>
      </c>
      <c r="AS137">
        <v>31.293355180765982</v>
      </c>
      <c r="AT137">
        <v>31.295727022165543</v>
      </c>
      <c r="AU137">
        <v>31.296025054592718</v>
      </c>
      <c r="AV137">
        <v>31.301613162602152</v>
      </c>
      <c r="AW137">
        <v>31.660506295003675</v>
      </c>
      <c r="AX137">
        <v>31.055935098471778</v>
      </c>
      <c r="AY137">
        <v>30.462962330563911</v>
      </c>
      <c r="AZ137">
        <v>29.883984668715232</v>
      </c>
      <c r="BA137">
        <v>29.295445133161515</v>
      </c>
      <c r="BB137">
        <v>28.669316257730994</v>
      </c>
      <c r="BC137">
        <v>28.70046965895181</v>
      </c>
      <c r="BD137">
        <v>28.731656912895144</v>
      </c>
      <c r="BE137">
        <v>28.762878056346903</v>
      </c>
      <c r="BF137">
        <v>28.794133126132998</v>
      </c>
      <c r="BG137">
        <v>28.825422159119345</v>
      </c>
      <c r="BH137">
        <v>28.856745192211925</v>
      </c>
      <c r="BI137">
        <v>28.888102262356831</v>
      </c>
      <c r="BJ137">
        <v>28.91949340654028</v>
      </c>
      <c r="BK137">
        <v>28.950918661788695</v>
      </c>
      <c r="BL137">
        <v>28.982378065168749</v>
      </c>
      <c r="BM137">
        <v>29.013871653787358</v>
      </c>
      <c r="BN137">
        <v>29.045399464791785</v>
      </c>
      <c r="BO137">
        <v>29.076961535369652</v>
      </c>
      <c r="BP137">
        <v>29.108557902748995</v>
      </c>
      <c r="BQ137">
        <v>29.1401886041983</v>
      </c>
      <c r="BR137">
        <v>29.171853677026547</v>
      </c>
      <c r="BS137">
        <v>29.203553158583262</v>
      </c>
      <c r="BT137">
        <v>29.235287086258548</v>
      </c>
      <c r="BU137">
        <v>29.267055497483163</v>
      </c>
      <c r="BV137">
        <v>29.298858429728512</v>
      </c>
      <c r="BW137">
        <v>29.330695920506734</v>
      </c>
      <c r="BX137">
        <v>29.362568007370712</v>
      </c>
      <c r="BY137">
        <v>29.394474727914172</v>
      </c>
      <c r="BZ137">
        <v>29.426416119771645</v>
      </c>
      <c r="CA137">
        <v>29.458392220618595</v>
      </c>
      <c r="CB137">
        <v>29.490403068171396</v>
      </c>
      <c r="CC137">
        <v>29.522448700187429</v>
      </c>
      <c r="CD137">
        <v>29.554529154465094</v>
      </c>
      <c r="CE137">
        <v>29.586644468843872</v>
      </c>
      <c r="CF137">
        <v>29.618794681204349</v>
      </c>
      <c r="CG137">
        <v>29.650979829468291</v>
      </c>
      <c r="CH137">
        <v>29.683199951598645</v>
      </c>
      <c r="CI137">
        <v>29.715455085599643</v>
      </c>
      <c r="CJ137">
        <v>29.747745269516795</v>
      </c>
      <c r="CK137">
        <v>29.780070541436949</v>
      </c>
      <c r="CL137">
        <v>29.812430939488344</v>
      </c>
      <c r="CM137">
        <v>29.844826501840682</v>
      </c>
      <c r="CN137">
        <v>29.87725726670508</v>
      </c>
      <c r="CO137">
        <v>29.909723272334233</v>
      </c>
      <c r="CP137">
        <v>29.942224557022374</v>
      </c>
      <c r="CQ137">
        <v>29.974761159105356</v>
      </c>
      <c r="CR137">
        <v>30.007333116960684</v>
      </c>
      <c r="CS137">
        <v>30.039940469007583</v>
      </c>
      <c r="CT137">
        <v>30.072583253706998</v>
      </c>
      <c r="CU137">
        <v>30.105261509561693</v>
      </c>
      <c r="CV137">
        <v>30.137975275116265</v>
      </c>
      <c r="CW137">
        <v>30.170724588957185</v>
      </c>
      <c r="CX137">
        <v>30.203509489712854</v>
      </c>
      <c r="CY137">
        <v>30.236330016053664</v>
      </c>
      <c r="CZ137" s="1456">
        <v>30.269186206692016</v>
      </c>
    </row>
    <row r="138" spans="1:104" x14ac:dyDescent="0.25">
      <c r="A138" s="806" t="s">
        <v>1063</v>
      </c>
      <c r="B138" s="254">
        <v>2016</v>
      </c>
      <c r="C138" s="726">
        <f t="shared" si="267"/>
        <v>1</v>
      </c>
      <c r="D138" s="1030" t="s">
        <v>267</v>
      </c>
      <c r="E138" s="726" t="s">
        <v>1040</v>
      </c>
      <c r="F138" s="254">
        <v>19.551069237418005</v>
      </c>
      <c r="G138" s="254">
        <v>20.588656379262464</v>
      </c>
      <c r="H138" s="852">
        <v>5.0967849132778742</v>
      </c>
      <c r="I138" s="852">
        <v>5.0967849132778742</v>
      </c>
      <c r="J138" s="852">
        <v>5.0967849132778742</v>
      </c>
      <c r="K138" s="852">
        <v>5.0967849132778742</v>
      </c>
      <c r="L138" s="852">
        <v>5.0967849132778742</v>
      </c>
      <c r="M138" s="852">
        <v>5.0967849132778742</v>
      </c>
      <c r="N138" s="852">
        <v>5.0967849132778742</v>
      </c>
      <c r="O138" s="254">
        <v>5.0967849132778742</v>
      </c>
      <c r="P138" s="254">
        <v>5.0967849132778742</v>
      </c>
      <c r="Q138" s="254">
        <v>5.0967849132778742</v>
      </c>
      <c r="R138" s="254">
        <v>5.0967849132778742</v>
      </c>
      <c r="S138" s="254">
        <v>5.0967849132778742</v>
      </c>
      <c r="T138" s="254">
        <v>5.0967849132778742</v>
      </c>
      <c r="U138" s="254">
        <v>5.0967849132778742</v>
      </c>
      <c r="V138" s="254">
        <v>5.0967849132778742</v>
      </c>
      <c r="W138" s="254">
        <v>5.0967849132778742</v>
      </c>
      <c r="X138" s="254">
        <v>5.0967849132778742</v>
      </c>
      <c r="Y138" s="254">
        <v>5.0967849132778742</v>
      </c>
      <c r="Z138" s="254">
        <v>5.0967849132778742</v>
      </c>
      <c r="AA138" s="254">
        <v>5.0967849132778742</v>
      </c>
      <c r="AB138" s="254">
        <v>5.0967849132778742</v>
      </c>
      <c r="AC138" s="254">
        <v>5.0967849132778742</v>
      </c>
      <c r="AD138" s="254">
        <v>5.0967849132778742</v>
      </c>
      <c r="AE138" s="254">
        <v>5.0967849132778742</v>
      </c>
      <c r="AF138" s="254">
        <v>5.0967849132778742</v>
      </c>
      <c r="AG138" s="254">
        <v>5.0967849132778742</v>
      </c>
      <c r="AH138" s="254">
        <v>5.0967849132778742</v>
      </c>
      <c r="AI138" s="254">
        <v>5.0967849132778742</v>
      </c>
      <c r="AJ138" s="254">
        <v>5.0967849132778742</v>
      </c>
      <c r="AK138" s="254">
        <v>5.0967849132778742</v>
      </c>
      <c r="AL138" s="254">
        <v>5.0967849132778742</v>
      </c>
      <c r="AM138" s="254">
        <v>5.0967849132778742</v>
      </c>
      <c r="AN138" s="254">
        <v>5.0967849132778742</v>
      </c>
      <c r="AO138" s="254">
        <v>5.0967849132778742</v>
      </c>
      <c r="AP138" s="254">
        <v>5.0967849132778742</v>
      </c>
      <c r="AQ138" s="254">
        <v>5.0967849132778742</v>
      </c>
      <c r="AR138" s="254">
        <v>5.0967849132778742</v>
      </c>
      <c r="AS138" s="254">
        <v>5.0967849132778742</v>
      </c>
      <c r="AT138" s="254">
        <v>5.0967849132778742</v>
      </c>
      <c r="AU138" s="254">
        <v>5.0967849132778742</v>
      </c>
      <c r="AV138" s="254">
        <v>5.0967849132778742</v>
      </c>
      <c r="AW138" s="254">
        <v>5.0967849132778742</v>
      </c>
      <c r="AX138" s="254">
        <v>5.0967849132778742</v>
      </c>
      <c r="AY138" s="254">
        <v>5.0967849132778742</v>
      </c>
      <c r="AZ138" s="254">
        <v>5.0967849132778742</v>
      </c>
      <c r="BA138" s="254">
        <v>5.0967849132778742</v>
      </c>
      <c r="BB138" s="254">
        <v>5.0967849132778742</v>
      </c>
      <c r="BC138" s="254">
        <v>5.1179587571540939</v>
      </c>
      <c r="BD138" s="254">
        <v>5.1392205646528959</v>
      </c>
      <c r="BE138" s="254">
        <v>5.1605707012062227</v>
      </c>
      <c r="BF138" s="254">
        <v>5.1820095337641501</v>
      </c>
      <c r="BG138" s="254">
        <v>5.2035374308011946</v>
      </c>
      <c r="BH138" s="254">
        <v>5.2223240063357927</v>
      </c>
      <c r="BI138" s="254">
        <v>5.2411784079262249</v>
      </c>
      <c r="BJ138" s="254">
        <v>5.2601008804480855</v>
      </c>
      <c r="BK138" s="254">
        <v>5.2790916696610548</v>
      </c>
      <c r="BL138" s="254">
        <v>5.2981510222120916</v>
      </c>
      <c r="BM138" s="254">
        <v>5.3113630812048802</v>
      </c>
      <c r="BN138" s="254">
        <v>5.3246080872582748</v>
      </c>
      <c r="BO138" s="254">
        <v>5.3378861225327325</v>
      </c>
      <c r="BP138" s="254">
        <v>5.3511972693935945</v>
      </c>
      <c r="BQ138" s="254">
        <v>5.3645416104115968</v>
      </c>
      <c r="BR138" s="254">
        <v>5.3779717491778074</v>
      </c>
      <c r="BS138" s="254">
        <v>5.3914355103185612</v>
      </c>
      <c r="BT138" s="254">
        <v>5.4049329780075288</v>
      </c>
      <c r="BU138" s="254">
        <v>5.4184642366291094</v>
      </c>
      <c r="BV138" s="254">
        <v>5.4320293707789578</v>
      </c>
      <c r="BW138" s="254">
        <v>5.4450858323773135</v>
      </c>
      <c r="BX138" s="254">
        <v>5.458173676572823</v>
      </c>
      <c r="BY138" s="254">
        <v>5.471292978796904</v>
      </c>
      <c r="BZ138" s="254">
        <v>5.4844438146622805</v>
      </c>
      <c r="CA138" s="254">
        <v>5.4976262599634209</v>
      </c>
      <c r="CB138" s="254">
        <v>5.509165721372697</v>
      </c>
      <c r="CC138" s="254">
        <v>5.5207294039936956</v>
      </c>
      <c r="CD138" s="254">
        <v>5.5323173586664938</v>
      </c>
      <c r="CE138" s="254">
        <v>5.5439296363378796</v>
      </c>
      <c r="CF138" s="254">
        <v>5.5555662880615797</v>
      </c>
      <c r="CG138" s="254">
        <v>5.5698816197819898</v>
      </c>
      <c r="CH138" s="254">
        <v>5.5842338386011479</v>
      </c>
      <c r="CI138" s="254">
        <v>5.598623039568059</v>
      </c>
      <c r="CJ138" s="254">
        <v>5.6130493179766479</v>
      </c>
      <c r="CK138" s="254">
        <v>5.6275127693663878</v>
      </c>
      <c r="CL138" s="254">
        <v>5.6395580019552014</v>
      </c>
      <c r="CM138" s="254">
        <v>5.6516290163830023</v>
      </c>
      <c r="CN138" s="254">
        <v>5.6637258678337163</v>
      </c>
      <c r="CO138" s="254">
        <v>5.6758486116093856</v>
      </c>
      <c r="CP138" s="254">
        <v>5.6879973031304223</v>
      </c>
      <c r="CQ138" s="254">
        <v>5.6991168854631553</v>
      </c>
      <c r="CR138" s="254">
        <v>5.7102582056949531</v>
      </c>
      <c r="CS138" s="254">
        <v>5.7214213063216786</v>
      </c>
      <c r="CT138" s="254">
        <v>5.732606229922272</v>
      </c>
      <c r="CU138" s="254">
        <v>5.7438130191589121</v>
      </c>
      <c r="CV138" s="254">
        <v>5.7570440466225028</v>
      </c>
      <c r="CW138" s="254">
        <v>5.7703055521130002</v>
      </c>
      <c r="CX138" s="254">
        <v>5.7835976058373566</v>
      </c>
      <c r="CY138" s="254">
        <v>5.796920278164249</v>
      </c>
      <c r="CZ138" s="423">
        <v>5.8102736396244499</v>
      </c>
    </row>
    <row r="139" spans="1:104" x14ac:dyDescent="0.25">
      <c r="A139" s="1069" t="s">
        <v>1069</v>
      </c>
      <c r="B139" s="254">
        <v>2016</v>
      </c>
      <c r="C139" s="726">
        <f t="shared" si="267"/>
        <v>1</v>
      </c>
      <c r="D139" s="1030" t="s">
        <v>267</v>
      </c>
      <c r="E139" s="747" t="s">
        <v>1034</v>
      </c>
      <c r="F139" s="254">
        <v>22.7322030001394</v>
      </c>
      <c r="G139" s="254">
        <v>23.967615189707661</v>
      </c>
      <c r="H139" s="852" t="e">
        <v>#N/A</v>
      </c>
      <c r="I139" s="852" t="e">
        <v>#N/A</v>
      </c>
      <c r="J139" s="852" t="e">
        <v>#N/A</v>
      </c>
      <c r="K139" s="852" t="e">
        <v>#N/A</v>
      </c>
      <c r="L139" s="852">
        <v>2.2148742453355847</v>
      </c>
      <c r="M139" s="852">
        <v>2.3408877437334223</v>
      </c>
      <c r="N139" s="852">
        <v>2.3629142410275352</v>
      </c>
      <c r="O139" s="254">
        <v>2.4181318326423913</v>
      </c>
      <c r="P139" s="254">
        <v>2.3501923436687169</v>
      </c>
      <c r="Q139" s="254">
        <v>2.2749877363600257</v>
      </c>
      <c r="R139" s="254">
        <v>2.2671813119268305</v>
      </c>
      <c r="S139" s="254">
        <v>2.0920368648072634</v>
      </c>
      <c r="T139" s="254">
        <v>1.9706687398025258</v>
      </c>
      <c r="U139" s="254">
        <v>2.067600203211962</v>
      </c>
      <c r="V139" s="254">
        <v>2.1142782942327232</v>
      </c>
      <c r="W139" s="254">
        <v>2.1573963846468813</v>
      </c>
      <c r="X139" s="254">
        <v>2.1900363582596567</v>
      </c>
      <c r="Y139" s="254">
        <v>2.1929897559939948</v>
      </c>
      <c r="Z139" s="254">
        <v>2.2028650611910647</v>
      </c>
      <c r="AA139" s="254">
        <v>2.2090827406317772</v>
      </c>
      <c r="AB139" s="254">
        <v>2.2092997907220093</v>
      </c>
      <c r="AC139" s="254">
        <v>2.2079918032786887</v>
      </c>
      <c r="AD139" s="254">
        <v>2.2065492258230841</v>
      </c>
      <c r="AE139" s="254">
        <v>2.1995552842692714</v>
      </c>
      <c r="AF139" s="254">
        <v>2.1903510334996437</v>
      </c>
      <c r="AG139" s="254">
        <v>2.1795345460335755</v>
      </c>
      <c r="AH139" s="254">
        <v>2.1771697426487315</v>
      </c>
      <c r="AI139" s="254">
        <v>2.177831318906295</v>
      </c>
      <c r="AJ139" s="254">
        <v>2.1809505846135182</v>
      </c>
      <c r="AK139" s="254">
        <v>2.1861806387528246</v>
      </c>
      <c r="AL139" s="254">
        <v>2.1973402359685172</v>
      </c>
      <c r="AM139" s="254">
        <v>2.2020565733003745</v>
      </c>
      <c r="AN139" s="254">
        <v>2.2177912831167257</v>
      </c>
      <c r="AO139" s="254">
        <v>2.2206593773221517</v>
      </c>
      <c r="AP139" s="254">
        <v>2.2289385587115755</v>
      </c>
      <c r="AQ139" s="254">
        <v>2.2351116907538557</v>
      </c>
      <c r="AR139" s="254">
        <v>2.2481536525075447</v>
      </c>
      <c r="AS139" s="254">
        <v>2.2492673374683427</v>
      </c>
      <c r="AT139" s="254">
        <v>2.2496910116619402</v>
      </c>
      <c r="AU139" s="254">
        <v>2.2544263053335558</v>
      </c>
      <c r="AV139" s="254">
        <v>2.2540196918457411</v>
      </c>
      <c r="AW139" s="254">
        <v>2.2546357728878843</v>
      </c>
      <c r="AX139" s="254">
        <v>2.2490256441364247</v>
      </c>
      <c r="AY139" s="254">
        <v>2.2531477002168603</v>
      </c>
      <c r="AZ139" s="254">
        <v>2.2540841434009193</v>
      </c>
      <c r="BA139" s="254">
        <v>2.2596705767276806</v>
      </c>
      <c r="BB139" s="254">
        <v>2.2620458060993922</v>
      </c>
      <c r="BC139" s="254">
        <v>2.2703711301923084</v>
      </c>
      <c r="BD139" s="254">
        <v>2.2787270951418623</v>
      </c>
      <c r="BE139" s="254">
        <v>2.2871138137198912</v>
      </c>
      <c r="BF139" s="254">
        <v>2.2955313991132824</v>
      </c>
      <c r="BG139" s="254">
        <v>2.3039799649255008</v>
      </c>
      <c r="BH139" s="254">
        <v>2.3125787529279784</v>
      </c>
      <c r="BI139" s="254">
        <v>2.3212096328567045</v>
      </c>
      <c r="BJ139" s="254">
        <v>2.3298727244834101</v>
      </c>
      <c r="BK139" s="254">
        <v>2.338568148026833</v>
      </c>
      <c r="BL139" s="254">
        <v>2.3472960241543843</v>
      </c>
      <c r="BM139" s="254">
        <v>2.3559838582312191</v>
      </c>
      <c r="BN139" s="254">
        <v>2.3647038478010849</v>
      </c>
      <c r="BO139" s="254">
        <v>2.3734561118781943</v>
      </c>
      <c r="BP139" s="254">
        <v>2.3822407699172565</v>
      </c>
      <c r="BQ139" s="254">
        <v>2.3910579418151077</v>
      </c>
      <c r="BR139" s="254">
        <v>2.3997099382358895</v>
      </c>
      <c r="BS139" s="254">
        <v>2.4083932417365861</v>
      </c>
      <c r="BT139" s="254">
        <v>2.4171079656012542</v>
      </c>
      <c r="BU139" s="254">
        <v>2.4258542235238663</v>
      </c>
      <c r="BV139" s="254">
        <v>2.434632129609795</v>
      </c>
      <c r="BW139" s="254">
        <v>2.4428635118796533</v>
      </c>
      <c r="BX139" s="254">
        <v>2.4511227240845761</v>
      </c>
      <c r="BY139" s="254">
        <v>2.4594098603163279</v>
      </c>
      <c r="BZ139" s="254">
        <v>2.467725014984794</v>
      </c>
      <c r="CA139" s="254">
        <v>2.476068282819055</v>
      </c>
      <c r="CB139" s="254">
        <v>2.4831576550549128</v>
      </c>
      <c r="CC139" s="254">
        <v>2.4902673252765117</v>
      </c>
      <c r="CD139" s="254">
        <v>2.4973973516001715</v>
      </c>
      <c r="CE139" s="254">
        <v>2.5045477923086086</v>
      </c>
      <c r="CF139" s="254">
        <v>2.5117187058514112</v>
      </c>
      <c r="CG139" s="254">
        <v>2.5171937058097216</v>
      </c>
      <c r="CH139" s="254">
        <v>2.5226806400759916</v>
      </c>
      <c r="CI139" s="254">
        <v>2.5281795346644143</v>
      </c>
      <c r="CJ139" s="254">
        <v>2.5336904156458884</v>
      </c>
      <c r="CK139" s="254">
        <v>2.539213309148141</v>
      </c>
      <c r="CL139" s="254">
        <v>2.5429573704375228</v>
      </c>
      <c r="CM139" s="254">
        <v>2.5467069523323964</v>
      </c>
      <c r="CN139" s="254">
        <v>2.5504620629728754</v>
      </c>
      <c r="CO139" s="254">
        <v>2.554222710511076</v>
      </c>
      <c r="CP139" s="254">
        <v>2.5579889031111347</v>
      </c>
      <c r="CQ139" s="254">
        <v>2.5592501421168059</v>
      </c>
      <c r="CR139" s="254">
        <v>2.5605120029875006</v>
      </c>
      <c r="CS139" s="254">
        <v>2.5617744860298348</v>
      </c>
      <c r="CT139" s="254">
        <v>2.5630375915505756</v>
      </c>
      <c r="CU139" s="254">
        <v>2.564301319856642</v>
      </c>
      <c r="CV139" s="254">
        <v>2.5624850697467836</v>
      </c>
      <c r="CW139" s="254">
        <v>2.5606701060553489</v>
      </c>
      <c r="CX139" s="254">
        <v>2.5588564278711901</v>
      </c>
      <c r="CY139" s="254">
        <v>2.5570440342838041</v>
      </c>
      <c r="CZ139" s="423">
        <v>2.555232924383334</v>
      </c>
    </row>
    <row r="140" spans="1:104" x14ac:dyDescent="0.25">
      <c r="A140" s="806" t="s">
        <v>672</v>
      </c>
      <c r="B140" s="254">
        <v>2016</v>
      </c>
      <c r="C140" s="726">
        <f t="shared" si="267"/>
        <v>1</v>
      </c>
      <c r="D140" s="1018" t="s">
        <v>295</v>
      </c>
      <c r="E140" s="726" t="s">
        <v>1053</v>
      </c>
      <c r="F140" s="730"/>
      <c r="G140" s="726"/>
      <c r="H140" s="852">
        <v>28.373013628420669</v>
      </c>
      <c r="I140" s="852">
        <v>29.17093293229123</v>
      </c>
      <c r="J140" s="852">
        <v>30.878569780545078</v>
      </c>
      <c r="K140" s="852">
        <v>30.682595180991225</v>
      </c>
      <c r="L140" s="852">
        <v>31.992353762541459</v>
      </c>
      <c r="M140" s="852">
        <v>31.4429334181984</v>
      </c>
      <c r="N140" s="852">
        <v>31.156600892671783</v>
      </c>
      <c r="O140" s="254">
        <v>30.676058322376605</v>
      </c>
      <c r="P140" s="254">
        <v>29.679126186318804</v>
      </c>
      <c r="Q140" s="254">
        <v>29.700131988890092</v>
      </c>
      <c r="R140" s="254">
        <v>30.54196479432273</v>
      </c>
      <c r="S140" s="254">
        <v>29.932211922183079</v>
      </c>
      <c r="T140" s="254">
        <v>28.972214109999999</v>
      </c>
      <c r="U140" s="254">
        <v>29.128232055928784</v>
      </c>
      <c r="V140" s="254">
        <v>28.995688380521983</v>
      </c>
      <c r="W140" s="254">
        <v>29.39475155821113</v>
      </c>
      <c r="X140" s="254">
        <v>29.885964346916182</v>
      </c>
      <c r="Y140" s="254">
        <v>30.089071101439163</v>
      </c>
      <c r="Z140" s="254">
        <v>31.081689502737298</v>
      </c>
      <c r="AA140" s="254">
        <v>31.400245105473072</v>
      </c>
      <c r="AB140" s="254">
        <v>31.337976372818122</v>
      </c>
      <c r="AC140" s="254">
        <v>31.854564117923594</v>
      </c>
      <c r="AD140" s="254">
        <v>32.189964324168578</v>
      </c>
      <c r="AE140" s="254">
        <v>32.274661250208517</v>
      </c>
      <c r="AF140" s="254">
        <v>32.347049824843424</v>
      </c>
      <c r="AG140" s="254">
        <v>32.398275541772193</v>
      </c>
      <c r="AH140" s="254">
        <v>32.473329377777105</v>
      </c>
      <c r="AI140" s="254">
        <v>32.424485524938959</v>
      </c>
      <c r="AJ140" s="254">
        <v>32.33705604252286</v>
      </c>
      <c r="AK140" s="254">
        <v>32.213589610409308</v>
      </c>
      <c r="AL140" s="254">
        <v>32.123147965605618</v>
      </c>
      <c r="AM140" s="254">
        <v>32.189031672252469</v>
      </c>
      <c r="AN140" s="254">
        <v>32.20134665837643</v>
      </c>
      <c r="AO140" s="254">
        <v>32.137342472816606</v>
      </c>
      <c r="AP140" s="254">
        <v>32.106067355666433</v>
      </c>
      <c r="AQ140" s="254">
        <v>32.055398007309563</v>
      </c>
      <c r="AR140" s="254">
        <v>31.985796962436115</v>
      </c>
      <c r="AS140" s="254">
        <v>31.883579639374592</v>
      </c>
      <c r="AT140" s="254">
        <v>31.88043762605966</v>
      </c>
      <c r="AU140" s="254">
        <v>31.921825950470875</v>
      </c>
      <c r="AV140" s="254">
        <v>31.967798865652629</v>
      </c>
      <c r="AW140" s="254">
        <v>32.011030694105337</v>
      </c>
      <c r="AX140" s="254">
        <v>32.04019407500644</v>
      </c>
      <c r="AY140" s="254">
        <v>32.084258086774547</v>
      </c>
      <c r="AZ140" s="254">
        <v>32.12290532445671</v>
      </c>
      <c r="BA140" s="254">
        <v>32.1438833578502</v>
      </c>
      <c r="BB140" s="254">
        <v>32.210559439498944</v>
      </c>
      <c r="BC140" s="254">
        <v>32.212518425109167</v>
      </c>
      <c r="BD140" s="254">
        <v>32.214477529861206</v>
      </c>
      <c r="BE140" s="254">
        <v>32.216436753762309</v>
      </c>
      <c r="BF140" s="254">
        <v>32.218396096819724</v>
      </c>
      <c r="BG140" s="254">
        <v>32.220355559040698</v>
      </c>
      <c r="BH140" s="254">
        <v>32.225068562587758</v>
      </c>
      <c r="BI140" s="254">
        <v>32.229782255525173</v>
      </c>
      <c r="BJ140" s="254">
        <v>32.234496637953782</v>
      </c>
      <c r="BK140" s="254">
        <v>32.239211709974448</v>
      </c>
      <c r="BL140" s="254">
        <v>32.243927471688032</v>
      </c>
      <c r="BM140" s="254">
        <v>32.234738373564198</v>
      </c>
      <c r="BN140" s="254">
        <v>32.225551894213289</v>
      </c>
      <c r="BO140" s="254">
        <v>32.216368032888994</v>
      </c>
      <c r="BP140" s="254">
        <v>32.207186788845206</v>
      </c>
      <c r="BQ140" s="254">
        <v>32.198008161336034</v>
      </c>
      <c r="BR140" s="254">
        <v>32.188328675270981</v>
      </c>
      <c r="BS140" s="254">
        <v>32.178652099089362</v>
      </c>
      <c r="BT140" s="254">
        <v>32.168978431916393</v>
      </c>
      <c r="BU140" s="254">
        <v>32.15930767287756</v>
      </c>
      <c r="BV140" s="254">
        <v>32.14963982109861</v>
      </c>
      <c r="BW140" s="254">
        <v>32.135484213462775</v>
      </c>
      <c r="BX140" s="254">
        <v>32.121334838594358</v>
      </c>
      <c r="BY140" s="254">
        <v>32.107191693749044</v>
      </c>
      <c r="BZ140" s="254">
        <v>32.093054776183735</v>
      </c>
      <c r="CA140" s="254">
        <v>32.078924083156537</v>
      </c>
      <c r="CB140" s="254">
        <v>32.05322936592912</v>
      </c>
      <c r="CC140" s="254">
        <v>32.027555229768936</v>
      </c>
      <c r="CD140" s="254">
        <v>32.001901658190874</v>
      </c>
      <c r="CE140" s="254">
        <v>31.976268634723027</v>
      </c>
      <c r="CF140" s="254">
        <v>31.950656142906677</v>
      </c>
      <c r="CG140" s="254">
        <v>31.915373500092528</v>
      </c>
      <c r="CH140" s="254">
        <v>31.880129819385399</v>
      </c>
      <c r="CI140" s="254">
        <v>31.844925057760001</v>
      </c>
      <c r="CJ140" s="254">
        <v>31.809759172238564</v>
      </c>
      <c r="CK140" s="254">
        <v>31.774632119890772</v>
      </c>
      <c r="CL140" s="254">
        <v>31.736335048107414</v>
      </c>
      <c r="CM140" s="254">
        <v>31.698084134709202</v>
      </c>
      <c r="CN140" s="254">
        <v>31.659879324062725</v>
      </c>
      <c r="CO140" s="254">
        <v>31.621720560601634</v>
      </c>
      <c r="CP140" s="254">
        <v>31.583607788826551</v>
      </c>
      <c r="CQ140" s="254">
        <v>31.539463246970023</v>
      </c>
      <c r="CR140" s="254">
        <v>31.495380406125889</v>
      </c>
      <c r="CS140" s="254">
        <v>31.451359180054389</v>
      </c>
      <c r="CT140" s="254">
        <v>31.407399482636293</v>
      </c>
      <c r="CU140" s="254">
        <v>31.363501227872742</v>
      </c>
      <c r="CV140" s="254">
        <v>31.320648715953933</v>
      </c>
      <c r="CW140" s="254">
        <v>31.277854754187555</v>
      </c>
      <c r="CX140" s="254">
        <v>31.235119262575491</v>
      </c>
      <c r="CY140" s="254">
        <v>31.192442161228929</v>
      </c>
      <c r="CZ140" s="423">
        <v>31.1498233703682</v>
      </c>
    </row>
    <row r="141" spans="1:104" x14ac:dyDescent="0.25">
      <c r="A141" s="806" t="s">
        <v>687</v>
      </c>
      <c r="B141" s="254">
        <v>2016</v>
      </c>
      <c r="C141" s="726">
        <f t="shared" si="267"/>
        <v>1</v>
      </c>
      <c r="D141" s="1018" t="s">
        <v>295</v>
      </c>
      <c r="E141" s="726" t="s">
        <v>1053</v>
      </c>
      <c r="F141" s="737"/>
      <c r="G141" s="1054"/>
      <c r="H141" s="852">
        <v>18.232352698801531</v>
      </c>
      <c r="I141" s="852">
        <v>19.279059481202857</v>
      </c>
      <c r="J141" s="852">
        <v>20.106975671052609</v>
      </c>
      <c r="K141" s="852">
        <v>20.31728323383771</v>
      </c>
      <c r="L141" s="852">
        <v>21.702415417864383</v>
      </c>
      <c r="M141" s="852">
        <v>21.137326303769196</v>
      </c>
      <c r="N141" s="852">
        <v>20.699724047437488</v>
      </c>
      <c r="O141" s="254">
        <v>20.430734156114106</v>
      </c>
      <c r="P141" s="254">
        <v>19.619402543384187</v>
      </c>
      <c r="Q141" s="254">
        <v>19.94482547791937</v>
      </c>
      <c r="R141" s="254">
        <v>20.190684361237558</v>
      </c>
      <c r="S141" s="254">
        <v>19.439058682545589</v>
      </c>
      <c r="T141" s="254">
        <v>18.777772519999996</v>
      </c>
      <c r="U141" s="254">
        <v>19.537493744407882</v>
      </c>
      <c r="V141" s="254">
        <v>19.094688812726531</v>
      </c>
      <c r="W141" s="254">
        <v>19.340880484069093</v>
      </c>
      <c r="X141" s="254">
        <v>19.700726786066333</v>
      </c>
      <c r="Y141" s="254">
        <v>19.809231927025674</v>
      </c>
      <c r="Z141" s="254">
        <v>20.448628319255093</v>
      </c>
      <c r="AA141" s="254">
        <v>20.513438149254636</v>
      </c>
      <c r="AB141" s="254">
        <v>20.459361398826221</v>
      </c>
      <c r="AC141" s="254">
        <v>20.950622526197662</v>
      </c>
      <c r="AD141" s="254">
        <v>21.163384692376518</v>
      </c>
      <c r="AE141" s="254">
        <v>21.285322295688569</v>
      </c>
      <c r="AF141" s="254">
        <v>21.423623959296947</v>
      </c>
      <c r="AG141" s="254">
        <v>21.53228264660833</v>
      </c>
      <c r="AH141" s="254">
        <v>21.607771530610695</v>
      </c>
      <c r="AI141" s="254">
        <v>21.635145433038627</v>
      </c>
      <c r="AJ141" s="254">
        <v>21.585785019942069</v>
      </c>
      <c r="AK141" s="254">
        <v>21.508628925857963</v>
      </c>
      <c r="AL141" s="254">
        <v>21.446118499871098</v>
      </c>
      <c r="AM141" s="254">
        <v>21.521952389257063</v>
      </c>
      <c r="AN141" s="254">
        <v>21.600204159779199</v>
      </c>
      <c r="AO141" s="254">
        <v>21.583872325260458</v>
      </c>
      <c r="AP141" s="254">
        <v>21.588666383585327</v>
      </c>
      <c r="AQ141" s="254">
        <v>21.605374501448264</v>
      </c>
      <c r="AR141" s="254">
        <v>21.554715579078266</v>
      </c>
      <c r="AS141" s="254">
        <v>21.491324631109631</v>
      </c>
      <c r="AT141" s="254">
        <v>21.516251270074765</v>
      </c>
      <c r="AU141" s="254">
        <v>21.58191413536343</v>
      </c>
      <c r="AV141" s="254">
        <v>21.663232093841465</v>
      </c>
      <c r="AW141" s="254">
        <v>21.742367229796333</v>
      </c>
      <c r="AX141" s="254">
        <v>21.822824570449338</v>
      </c>
      <c r="AY141" s="254">
        <v>21.895024529503647</v>
      </c>
      <c r="AZ141" s="254">
        <v>21.976239175929997</v>
      </c>
      <c r="BA141" s="254">
        <v>22.046603213478718</v>
      </c>
      <c r="BB141" s="254">
        <v>22.114819497732821</v>
      </c>
      <c r="BC141" s="254">
        <v>22.13487665280584</v>
      </c>
      <c r="BD141" s="254">
        <v>22.15495199882406</v>
      </c>
      <c r="BE141" s="254">
        <v>22.175045552285859</v>
      </c>
      <c r="BF141" s="254">
        <v>22.195157329704575</v>
      </c>
      <c r="BG141" s="254">
        <v>22.215287347608523</v>
      </c>
      <c r="BH141" s="254">
        <v>22.237407284551185</v>
      </c>
      <c r="BI141" s="254">
        <v>22.259549246489641</v>
      </c>
      <c r="BJ141" s="254">
        <v>22.281713255354351</v>
      </c>
      <c r="BK141" s="254">
        <v>22.303899333097611</v>
      </c>
      <c r="BL141" s="254">
        <v>22.326107501693581</v>
      </c>
      <c r="BM141" s="254">
        <v>22.336823207612067</v>
      </c>
      <c r="BN141" s="254">
        <v>22.347544056673097</v>
      </c>
      <c r="BO141" s="254">
        <v>22.358270051345187</v>
      </c>
      <c r="BP141" s="254">
        <v>22.369001194098043</v>
      </c>
      <c r="BQ141" s="254">
        <v>22.379737487402554</v>
      </c>
      <c r="BR141" s="254">
        <v>22.390100389733625</v>
      </c>
      <c r="BS141" s="254">
        <v>22.400468090590362</v>
      </c>
      <c r="BT141" s="254">
        <v>22.410840592194713</v>
      </c>
      <c r="BU141" s="254">
        <v>22.421217896769658</v>
      </c>
      <c r="BV141" s="254">
        <v>22.431600006539206</v>
      </c>
      <c r="BW141" s="254">
        <v>22.438377931004013</v>
      </c>
      <c r="BX141" s="254">
        <v>22.44515790348412</v>
      </c>
      <c r="BY141" s="254">
        <v>22.451939924598356</v>
      </c>
      <c r="BZ141" s="254">
        <v>22.458723994965737</v>
      </c>
      <c r="CA141" s="254">
        <v>22.465510115205461</v>
      </c>
      <c r="CB141" s="254">
        <v>22.462969438648798</v>
      </c>
      <c r="CC141" s="254">
        <v>22.46042904942313</v>
      </c>
      <c r="CD141" s="254">
        <v>22.45788894749596</v>
      </c>
      <c r="CE141" s="254">
        <v>22.455349132834797</v>
      </c>
      <c r="CF141" s="254">
        <v>22.452809605407158</v>
      </c>
      <c r="CG141" s="254">
        <v>22.442624812220661</v>
      </c>
      <c r="CH141" s="254">
        <v>22.432444638946507</v>
      </c>
      <c r="CI141" s="254">
        <v>22.422269083489063</v>
      </c>
      <c r="CJ141" s="254">
        <v>22.412098143753649</v>
      </c>
      <c r="CK141" s="254">
        <v>22.401931817646531</v>
      </c>
      <c r="CL141" s="254">
        <v>22.389459823741635</v>
      </c>
      <c r="CM141" s="254">
        <v>22.376994773462549</v>
      </c>
      <c r="CN141" s="254">
        <v>22.364536662943497</v>
      </c>
      <c r="CO141" s="254">
        <v>22.352085488320853</v>
      </c>
      <c r="CP141" s="254">
        <v>22.339641245733144</v>
      </c>
      <c r="CQ141" s="254">
        <v>22.322592014179389</v>
      </c>
      <c r="CR141" s="254">
        <v>22.305555794307125</v>
      </c>
      <c r="CS141" s="254">
        <v>22.288532576186064</v>
      </c>
      <c r="CT141" s="254">
        <v>22.271522349893491</v>
      </c>
      <c r="CU141" s="254">
        <v>22.254525105514261</v>
      </c>
      <c r="CV141" s="254">
        <v>22.238544472899552</v>
      </c>
      <c r="CW141" s="254">
        <v>22.222575315731635</v>
      </c>
      <c r="CX141" s="254">
        <v>22.206617625770171</v>
      </c>
      <c r="CY141" s="254">
        <v>22.190671394780733</v>
      </c>
      <c r="CZ141" s="423">
        <v>22.174736614534808</v>
      </c>
    </row>
    <row r="142" spans="1:104" ht="13.8" thickBot="1" x14ac:dyDescent="0.3">
      <c r="A142" s="1070" t="s">
        <v>673</v>
      </c>
      <c r="B142" s="418">
        <v>2016</v>
      </c>
      <c r="C142" s="1071">
        <f t="shared" si="267"/>
        <v>1</v>
      </c>
      <c r="D142" s="1072" t="s">
        <v>295</v>
      </c>
      <c r="E142" s="1071" t="s">
        <v>1053</v>
      </c>
      <c r="F142" s="1073"/>
      <c r="G142" s="825"/>
      <c r="H142" s="1074">
        <v>31.081820315099751</v>
      </c>
      <c r="I142" s="1074">
        <v>31.795307521355493</v>
      </c>
      <c r="J142" s="1074">
        <v>33.946842042036877</v>
      </c>
      <c r="K142" s="1074">
        <v>33.862138723062856</v>
      </c>
      <c r="L142" s="1074">
        <v>35.110516897292094</v>
      </c>
      <c r="M142" s="1074">
        <v>35.620882248372396</v>
      </c>
      <c r="N142" s="1074">
        <v>35.284315436843215</v>
      </c>
      <c r="O142" s="418">
        <v>35.109707376782602</v>
      </c>
      <c r="P142" s="418">
        <v>34.944303180720262</v>
      </c>
      <c r="Q142" s="418">
        <v>35.113313940081568</v>
      </c>
      <c r="R142" s="418">
        <v>35.603854676435802</v>
      </c>
      <c r="S142" s="418">
        <v>35.586699324775935</v>
      </c>
      <c r="T142" s="418">
        <v>34.861101349999998</v>
      </c>
      <c r="U142" s="418">
        <v>34.664653819323334</v>
      </c>
      <c r="V142" s="418">
        <v>34.410290069910978</v>
      </c>
      <c r="W142" s="418">
        <v>34.908531869398402</v>
      </c>
      <c r="X142" s="418">
        <v>35.616671532127199</v>
      </c>
      <c r="Y142" s="418">
        <v>35.947520321196222</v>
      </c>
      <c r="Z142" s="418">
        <v>36.987705865849776</v>
      </c>
      <c r="AA142" s="418">
        <v>37.546039262370911</v>
      </c>
      <c r="AB142" s="418">
        <v>37.510823122184988</v>
      </c>
      <c r="AC142" s="418">
        <v>38.008797637281816</v>
      </c>
      <c r="AD142" s="418">
        <v>38.419808048103611</v>
      </c>
      <c r="AE142" s="418">
        <v>38.480927078752217</v>
      </c>
      <c r="AF142" s="418">
        <v>38.529894147798792</v>
      </c>
      <c r="AG142" s="418">
        <v>38.610432052895767</v>
      </c>
      <c r="AH142" s="418">
        <v>38.669048846696292</v>
      </c>
      <c r="AI142" s="418">
        <v>38.631731396248163</v>
      </c>
      <c r="AJ142" s="418">
        <v>38.567872226687491</v>
      </c>
      <c r="AK142" s="418">
        <v>38.465126969563705</v>
      </c>
      <c r="AL142" s="418">
        <v>38.413723063041203</v>
      </c>
      <c r="AM142" s="418">
        <v>38.515467425425761</v>
      </c>
      <c r="AN142" s="418">
        <v>38.527084818246614</v>
      </c>
      <c r="AO142" s="418">
        <v>38.521472793861179</v>
      </c>
      <c r="AP142" s="418">
        <v>38.546973809920992</v>
      </c>
      <c r="AQ142" s="418">
        <v>38.560691565187064</v>
      </c>
      <c r="AR142" s="418">
        <v>38.568356561168315</v>
      </c>
      <c r="AS142" s="418">
        <v>38.569368829711408</v>
      </c>
      <c r="AT142" s="418">
        <v>38.651143635977618</v>
      </c>
      <c r="AU142" s="418">
        <v>38.781520601750053</v>
      </c>
      <c r="AV142" s="418">
        <v>38.929117506558889</v>
      </c>
      <c r="AW142" s="418">
        <v>39.08758776785308</v>
      </c>
      <c r="AX142" s="418">
        <v>39.228047610742941</v>
      </c>
      <c r="AY142" s="418">
        <v>39.393119417357944</v>
      </c>
      <c r="AZ142" s="418">
        <v>39.595269824540118</v>
      </c>
      <c r="BA142" s="418">
        <v>39.769550621009692</v>
      </c>
      <c r="BB142" s="418">
        <v>39.980674011616443</v>
      </c>
      <c r="BC142" s="418">
        <v>39.983105560972888</v>
      </c>
      <c r="BD142" s="418">
        <v>39.985537258211586</v>
      </c>
      <c r="BE142" s="418">
        <v>39.987969103341534</v>
      </c>
      <c r="BF142" s="418">
        <v>39.990401096371727</v>
      </c>
      <c r="BG142" s="418">
        <v>39.99283323731116</v>
      </c>
      <c r="BH142" s="418">
        <v>39.998683153044055</v>
      </c>
      <c r="BI142" s="418">
        <v>40.00453392446812</v>
      </c>
      <c r="BJ142" s="418">
        <v>40.010385551708517</v>
      </c>
      <c r="BK142" s="418">
        <v>40.016238034890421</v>
      </c>
      <c r="BL142" s="418">
        <v>40.022091374139045</v>
      </c>
      <c r="BM142" s="418">
        <v>40.01068560090993</v>
      </c>
      <c r="BN142" s="418">
        <v>39.999283078177193</v>
      </c>
      <c r="BO142" s="418">
        <v>39.987883805014484</v>
      </c>
      <c r="BP142" s="418">
        <v>39.976487780495717</v>
      </c>
      <c r="BQ142" s="418">
        <v>39.965095003695069</v>
      </c>
      <c r="BR142" s="418">
        <v>39.953080546830584</v>
      </c>
      <c r="BS142" s="418">
        <v>39.941069701797218</v>
      </c>
      <c r="BT142" s="418">
        <v>39.929062467509169</v>
      </c>
      <c r="BU142" s="418">
        <v>39.917058842880955</v>
      </c>
      <c r="BV142" s="418">
        <v>39.905058826827435</v>
      </c>
      <c r="BW142" s="418">
        <v>39.887488478960996</v>
      </c>
      <c r="BX142" s="418">
        <v>39.869925867384971</v>
      </c>
      <c r="BY142" s="418">
        <v>39.852370988693046</v>
      </c>
      <c r="BZ142" s="418">
        <v>39.8348238394804</v>
      </c>
      <c r="CA142" s="418">
        <v>39.817284416343718</v>
      </c>
      <c r="CB142" s="418">
        <v>39.785391393336162</v>
      </c>
      <c r="CC142" s="418">
        <v>39.75352391614198</v>
      </c>
      <c r="CD142" s="418">
        <v>39.721681964299371</v>
      </c>
      <c r="CE142" s="418">
        <v>39.689865517362925</v>
      </c>
      <c r="CF142" s="418">
        <v>39.658074554903607</v>
      </c>
      <c r="CG142" s="418">
        <v>39.614280722534119</v>
      </c>
      <c r="CH142" s="418">
        <v>39.57053525105394</v>
      </c>
      <c r="CI142" s="418">
        <v>39.526838087058842</v>
      </c>
      <c r="CJ142" s="418">
        <v>39.48318917720357</v>
      </c>
      <c r="CK142" s="418">
        <v>39.439588468201791</v>
      </c>
      <c r="CL142" s="418">
        <v>39.392053039782866</v>
      </c>
      <c r="CM142" s="418">
        <v>39.344574904480901</v>
      </c>
      <c r="CN142" s="418">
        <v>39.297153993242112</v>
      </c>
      <c r="CO142" s="418">
        <v>39.249790237095944</v>
      </c>
      <c r="CP142" s="418">
        <v>39.202483567154964</v>
      </c>
      <c r="CQ142" s="418">
        <v>39.147690090479308</v>
      </c>
      <c r="CR142" s="418">
        <v>39.092973198877175</v>
      </c>
      <c r="CS142" s="418">
        <v>39.038332785305279</v>
      </c>
      <c r="CT142" s="418">
        <v>38.983768742869955</v>
      </c>
      <c r="CU142" s="418">
        <v>38.929280964826951</v>
      </c>
      <c r="CV142" s="418">
        <v>38.876091192919297</v>
      </c>
      <c r="CW142" s="418">
        <v>38.822974095147039</v>
      </c>
      <c r="CX142" s="418">
        <v>38.769929572214203</v>
      </c>
      <c r="CY142" s="418">
        <v>38.716957524960492</v>
      </c>
      <c r="CZ142" s="419">
        <v>38.66405785436109</v>
      </c>
    </row>
    <row r="203" spans="1:2" ht="13.8" x14ac:dyDescent="0.25">
      <c r="A203" s="2"/>
      <c r="B203" s="2"/>
    </row>
    <row r="204" spans="1:2" ht="13.8" x14ac:dyDescent="0.25">
      <c r="A204" s="2"/>
      <c r="B204" s="2"/>
    </row>
    <row r="250" spans="1:29" x14ac:dyDescent="0.25">
      <c r="A250" s="32"/>
    </row>
    <row r="252" spans="1:29" x14ac:dyDescent="0.25">
      <c r="AC252" s="28"/>
    </row>
    <row r="253" spans="1:29" x14ac:dyDescent="0.25">
      <c r="AC253" s="28"/>
    </row>
    <row r="254" spans="1:29" x14ac:dyDescent="0.25">
      <c r="AC254" s="28"/>
    </row>
    <row r="255" spans="1:29" x14ac:dyDescent="0.25">
      <c r="AC255" s="28"/>
    </row>
    <row r="258" spans="29:29" x14ac:dyDescent="0.25">
      <c r="AC258" s="28"/>
    </row>
    <row r="259" spans="29:29" x14ac:dyDescent="0.25">
      <c r="AC259" s="28"/>
    </row>
    <row r="260" spans="29:29" x14ac:dyDescent="0.25">
      <c r="AC260" s="28"/>
    </row>
    <row r="261" spans="29:29" x14ac:dyDescent="0.25">
      <c r="AC261"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69" spans="29:29" x14ac:dyDescent="0.25">
      <c r="AC269" s="28"/>
    </row>
    <row r="271" spans="29:29" x14ac:dyDescent="0.25">
      <c r="AC271"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1" spans="29:29" x14ac:dyDescent="0.25">
      <c r="AC281" s="28"/>
    </row>
    <row r="284" spans="29:29" x14ac:dyDescent="0.25">
      <c r="AC284" s="28"/>
    </row>
    <row r="285" spans="29:29" x14ac:dyDescent="0.25">
      <c r="AC285" s="28"/>
    </row>
    <row r="286" spans="29:29" x14ac:dyDescent="0.25">
      <c r="AC286" s="28"/>
    </row>
    <row r="287" spans="29:29" x14ac:dyDescent="0.25">
      <c r="AC287"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8" spans="29:29" x14ac:dyDescent="0.25">
      <c r="AC298" s="28"/>
    </row>
    <row r="300" spans="29:29" x14ac:dyDescent="0.25">
      <c r="AC300"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row r="310" spans="29:29" x14ac:dyDescent="0.25">
      <c r="AC310" s="28"/>
    </row>
  </sheetData>
  <phoneticPr fontId="3"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3.2" x14ac:dyDescent="0.25"/>
  <cols>
    <col min="1" max="1" width="27.6640625" customWidth="1"/>
    <col min="2" max="2" width="12.6640625" customWidth="1"/>
    <col min="3" max="3" width="19.6640625" customWidth="1"/>
    <col min="4" max="4" width="28.33203125" customWidth="1"/>
    <col min="5" max="5" width="16.5546875" customWidth="1"/>
    <col min="6" max="6" width="11.44140625" customWidth="1"/>
    <col min="7" max="7" width="9.6640625" customWidth="1"/>
    <col min="8" max="8" width="10.33203125" customWidth="1"/>
    <col min="9" max="9" width="10.44140625" customWidth="1"/>
    <col min="10" max="10" width="9.5546875" customWidth="1"/>
    <col min="11" max="12" width="10" customWidth="1"/>
    <col min="13" max="13" width="10.6640625" customWidth="1"/>
    <col min="14" max="14" width="9.5546875" customWidth="1"/>
    <col min="15" max="15" width="10.6640625" customWidth="1"/>
    <col min="16" max="16" width="10.33203125" customWidth="1"/>
    <col min="17" max="17" width="9.5546875" customWidth="1"/>
    <col min="18" max="18" width="9.6640625" customWidth="1"/>
    <col min="19" max="19" width="10" customWidth="1"/>
    <col min="20" max="21" width="9.6640625" customWidth="1"/>
    <col min="22" max="22" width="10" customWidth="1"/>
    <col min="23" max="24" width="9.6640625" customWidth="1"/>
    <col min="25" max="25" width="10" customWidth="1"/>
    <col min="26" max="26" width="9.6640625" customWidth="1"/>
    <col min="27" max="27" width="10.6640625" customWidth="1"/>
    <col min="28" max="28" width="10.33203125" customWidth="1"/>
    <col min="29" max="29" width="10" customWidth="1"/>
    <col min="30" max="30" width="9.6640625" customWidth="1"/>
    <col min="31" max="31" width="10.33203125" customWidth="1"/>
    <col min="32" max="32" width="10.44140625" customWidth="1"/>
    <col min="33" max="33" width="9.5546875" customWidth="1"/>
    <col min="34" max="34" width="10" customWidth="1"/>
    <col min="35" max="35" width="9.33203125" customWidth="1"/>
    <col min="36" max="36" width="10" customWidth="1"/>
    <col min="37" max="37" width="10.33203125" customWidth="1"/>
    <col min="38" max="38" width="9.6640625" customWidth="1"/>
    <col min="39" max="39" width="9.5546875" customWidth="1"/>
    <col min="40" max="40" width="9.6640625" customWidth="1"/>
    <col min="41" max="41" width="10.33203125" customWidth="1"/>
    <col min="42" max="44" width="9.6640625" customWidth="1"/>
    <col min="45" max="45" width="9.33203125" customWidth="1"/>
    <col min="46" max="46" width="9.5546875" customWidth="1"/>
    <col min="47" max="47" width="9.6640625" customWidth="1"/>
    <col min="48" max="48" width="10.33203125" customWidth="1"/>
    <col min="49" max="49" width="10.44140625" customWidth="1"/>
    <col min="50" max="50" width="9.5546875" customWidth="1"/>
    <col min="51" max="52" width="9.6640625" customWidth="1"/>
    <col min="53" max="54" width="9.5546875" customWidth="1"/>
    <col min="55" max="55" width="9.6640625" customWidth="1"/>
    <col min="56" max="56" width="9.5546875" customWidth="1"/>
    <col min="57" max="59" width="9.6640625" customWidth="1"/>
    <col min="60" max="60" width="9.5546875" customWidth="1"/>
    <col min="61" max="61" width="9.6640625" customWidth="1"/>
    <col min="62" max="62" width="9.5546875" customWidth="1"/>
    <col min="63" max="63" width="9.6640625" customWidth="1"/>
    <col min="64" max="64" width="10.33203125" customWidth="1"/>
    <col min="65" max="65" width="9.6640625" customWidth="1"/>
    <col min="66" max="66" width="10.33203125" customWidth="1"/>
    <col min="67" max="67" width="9.5546875" customWidth="1"/>
    <col min="68" max="68" width="9.6640625" customWidth="1"/>
    <col min="69" max="69" width="9.5546875" customWidth="1"/>
    <col min="70" max="70" width="9.6640625" customWidth="1"/>
    <col min="71" max="71" width="10.33203125" customWidth="1"/>
    <col min="72" max="72" width="9.6640625" customWidth="1"/>
    <col min="73" max="74" width="9.5546875" customWidth="1"/>
  </cols>
  <sheetData>
    <row r="1" spans="1:104" ht="54" thickTop="1" thickBot="1" x14ac:dyDescent="0.3">
      <c r="A1" s="221" t="s">
        <v>1032</v>
      </c>
      <c r="B1" s="222" t="s">
        <v>1031</v>
      </c>
      <c r="C1" s="748" t="s">
        <v>667</v>
      </c>
      <c r="D1" s="748" t="s">
        <v>811</v>
      </c>
      <c r="E1" s="223">
        <v>2001</v>
      </c>
      <c r="F1" s="224">
        <v>2002</v>
      </c>
      <c r="G1" s="224">
        <v>2003</v>
      </c>
      <c r="H1" s="224">
        <v>2004</v>
      </c>
      <c r="I1" s="224">
        <v>2005</v>
      </c>
      <c r="J1" s="224">
        <v>2006</v>
      </c>
      <c r="K1" s="224">
        <v>2007</v>
      </c>
      <c r="L1" s="224">
        <v>2008</v>
      </c>
      <c r="M1" s="224">
        <v>2009</v>
      </c>
      <c r="N1" s="224">
        <v>2010</v>
      </c>
      <c r="O1" s="224">
        <v>2011</v>
      </c>
      <c r="P1" s="224">
        <v>2012</v>
      </c>
      <c r="Q1" s="224">
        <v>2013</v>
      </c>
      <c r="R1" s="224">
        <v>2014</v>
      </c>
      <c r="S1" s="224">
        <v>2015</v>
      </c>
      <c r="T1" s="224">
        <v>2016</v>
      </c>
      <c r="U1" s="224">
        <v>2017</v>
      </c>
      <c r="V1" s="224">
        <v>2018</v>
      </c>
      <c r="W1" s="224">
        <v>2019</v>
      </c>
      <c r="X1" s="224">
        <v>2020</v>
      </c>
      <c r="Y1" s="224">
        <v>2021</v>
      </c>
      <c r="Z1" s="224">
        <v>2022</v>
      </c>
      <c r="AA1" s="224">
        <v>2023</v>
      </c>
      <c r="AB1" s="224">
        <v>2024</v>
      </c>
      <c r="AC1" s="224">
        <v>2025</v>
      </c>
      <c r="AD1" s="224">
        <v>2026</v>
      </c>
      <c r="AE1" s="224">
        <v>2027</v>
      </c>
      <c r="AF1" s="224">
        <v>2028</v>
      </c>
      <c r="AG1" s="224">
        <v>2029</v>
      </c>
      <c r="AH1" s="224">
        <v>2030</v>
      </c>
      <c r="AI1" s="224">
        <v>2031</v>
      </c>
      <c r="AJ1" s="224">
        <v>2032</v>
      </c>
      <c r="AK1" s="224">
        <v>2033</v>
      </c>
      <c r="AL1" s="224">
        <v>2034</v>
      </c>
      <c r="AM1" s="224">
        <v>2035</v>
      </c>
      <c r="AN1" s="224">
        <v>2036</v>
      </c>
      <c r="AO1" s="224">
        <v>2037</v>
      </c>
      <c r="AP1" s="224">
        <v>2038</v>
      </c>
      <c r="AQ1" s="224">
        <v>2039</v>
      </c>
      <c r="AR1" s="224">
        <v>2040</v>
      </c>
      <c r="AS1" s="224">
        <v>2041</v>
      </c>
      <c r="AT1" s="224">
        <v>2042</v>
      </c>
      <c r="AU1" s="224">
        <v>2043</v>
      </c>
      <c r="AV1" s="224">
        <v>2044</v>
      </c>
      <c r="AW1" s="224">
        <v>2045</v>
      </c>
      <c r="AX1" s="224">
        <v>2046</v>
      </c>
      <c r="AY1" s="224">
        <v>2047</v>
      </c>
      <c r="AZ1" s="224">
        <v>2048</v>
      </c>
      <c r="BA1" s="224">
        <v>2049</v>
      </c>
      <c r="BB1" s="224">
        <v>2050</v>
      </c>
      <c r="BC1" s="224">
        <v>2051</v>
      </c>
      <c r="BD1" s="224">
        <v>2052</v>
      </c>
      <c r="BE1" s="224">
        <v>2053</v>
      </c>
      <c r="BF1" s="224">
        <v>2054</v>
      </c>
      <c r="BG1" s="224">
        <v>2055</v>
      </c>
      <c r="BH1" s="224">
        <v>2056</v>
      </c>
      <c r="BI1" s="224">
        <v>2057</v>
      </c>
      <c r="BJ1" s="224">
        <v>2058</v>
      </c>
      <c r="BK1" s="224">
        <v>2059</v>
      </c>
      <c r="BL1" s="224">
        <v>2060</v>
      </c>
      <c r="BM1" s="224">
        <v>2061</v>
      </c>
      <c r="BN1" s="224">
        <v>2062</v>
      </c>
      <c r="BO1" s="224">
        <v>2063</v>
      </c>
      <c r="BP1" s="224">
        <v>2064</v>
      </c>
      <c r="BQ1" s="224">
        <v>2065</v>
      </c>
      <c r="BR1" s="224">
        <v>2066</v>
      </c>
      <c r="BS1" s="224">
        <v>2067</v>
      </c>
      <c r="BT1" s="224">
        <v>2068</v>
      </c>
      <c r="BU1" s="224">
        <v>2069</v>
      </c>
      <c r="BV1" s="225">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8" thickTop="1" x14ac:dyDescent="0.25">
      <c r="A2" t="s">
        <v>1027</v>
      </c>
      <c r="B2" s="434" t="s">
        <v>696</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1028</v>
      </c>
      <c r="B3" s="434" t="s">
        <v>696</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1029</v>
      </c>
      <c r="B4" s="434" t="s">
        <v>696</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1030</v>
      </c>
      <c r="B5" s="434" t="s">
        <v>267</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663</v>
      </c>
      <c r="B6" s="434" t="s">
        <v>267</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34" t="s">
        <v>1070</v>
      </c>
      <c r="B7" s="434" t="s">
        <v>267</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34" t="s">
        <v>810</v>
      </c>
      <c r="B8" s="434" t="s">
        <v>267</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3"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3.2" x14ac:dyDescent="0.25"/>
  <cols>
    <col min="1" max="1" width="27.6640625" customWidth="1"/>
    <col min="2" max="2" width="19.6640625" customWidth="1"/>
    <col min="3" max="3" width="16.5546875" customWidth="1"/>
    <col min="4" max="4" width="11.44140625" customWidth="1"/>
    <col min="5" max="5" width="9.6640625" customWidth="1"/>
    <col min="6" max="6" width="10.33203125" customWidth="1"/>
    <col min="7" max="7" width="10.44140625" customWidth="1"/>
    <col min="8" max="8" width="9.5546875" customWidth="1"/>
    <col min="9" max="10" width="10" customWidth="1"/>
    <col min="11" max="11" width="10.6640625" customWidth="1"/>
    <col min="12" max="12" width="9.5546875" customWidth="1"/>
    <col min="13" max="13" width="10.6640625" customWidth="1"/>
    <col min="14" max="14" width="10.33203125" customWidth="1"/>
    <col min="15" max="15" width="9.5546875" customWidth="1"/>
    <col min="16" max="16" width="9.6640625" customWidth="1"/>
    <col min="17" max="17" width="10" customWidth="1"/>
    <col min="18" max="19" width="9.6640625" customWidth="1"/>
    <col min="20" max="20" width="10" customWidth="1"/>
    <col min="21" max="22" width="9.6640625" customWidth="1"/>
    <col min="23" max="23" width="10" customWidth="1"/>
    <col min="24" max="24" width="9.6640625" customWidth="1"/>
    <col min="25" max="25" width="10.6640625" customWidth="1"/>
    <col min="26" max="26" width="10.33203125" customWidth="1"/>
    <col min="27" max="27" width="10" customWidth="1"/>
    <col min="28" max="28" width="9.6640625" customWidth="1"/>
    <col min="29" max="29" width="10.33203125" customWidth="1"/>
    <col min="30" max="30" width="10.44140625" customWidth="1"/>
    <col min="31" max="31" width="9.5546875" customWidth="1"/>
    <col min="32" max="32" width="10" customWidth="1"/>
    <col min="33" max="33" width="9.33203125" customWidth="1"/>
    <col min="34" max="34" width="10" customWidth="1"/>
    <col min="35" max="35" width="10.33203125" customWidth="1"/>
    <col min="36" max="36" width="9.6640625" customWidth="1"/>
    <col min="37" max="37" width="9.5546875" customWidth="1"/>
    <col min="38" max="38" width="9.6640625" customWidth="1"/>
    <col min="39" max="39" width="10.33203125" customWidth="1"/>
    <col min="40" max="42" width="9.6640625" customWidth="1"/>
    <col min="43" max="43" width="9.33203125" customWidth="1"/>
    <col min="44" max="44" width="9.5546875" customWidth="1"/>
    <col min="45" max="45" width="9.6640625" customWidth="1"/>
    <col min="46" max="46" width="10.33203125" customWidth="1"/>
    <col min="47" max="47" width="10.44140625" customWidth="1"/>
    <col min="48" max="48" width="9.5546875" customWidth="1"/>
    <col min="49" max="50" width="9.6640625" customWidth="1"/>
    <col min="51" max="52" width="9.5546875" customWidth="1"/>
    <col min="53" max="53" width="9.6640625" customWidth="1"/>
    <col min="54" max="54" width="9.5546875" customWidth="1"/>
    <col min="55" max="57" width="9.6640625" customWidth="1"/>
    <col min="58" max="58" width="9.5546875" customWidth="1"/>
    <col min="59" max="59" width="9.6640625" customWidth="1"/>
    <col min="60" max="60" width="9.5546875" customWidth="1"/>
    <col min="61" max="61" width="9.6640625" customWidth="1"/>
    <col min="62" max="62" width="10.33203125" customWidth="1"/>
    <col min="63" max="63" width="9.6640625" customWidth="1"/>
    <col min="64" max="64" width="10.33203125" customWidth="1"/>
    <col min="65" max="65" width="9.5546875" customWidth="1"/>
    <col min="66" max="66" width="9.6640625" customWidth="1"/>
    <col min="67" max="67" width="9.5546875" customWidth="1"/>
    <col min="68" max="68" width="9.6640625" customWidth="1"/>
    <col min="69" max="69" width="10.33203125" customWidth="1"/>
    <col min="70" max="70" width="9.6640625" customWidth="1"/>
    <col min="71" max="72" width="9.5546875" customWidth="1"/>
    <col min="73" max="73" width="10" customWidth="1"/>
  </cols>
  <sheetData>
    <row r="1" spans="1:72" ht="15.6" x14ac:dyDescent="0.3">
      <c r="A1" s="1667" t="s">
        <v>732</v>
      </c>
      <c r="B1" s="1667"/>
      <c r="C1" s="1667"/>
      <c r="D1" s="1667"/>
      <c r="E1" s="1667"/>
      <c r="F1" s="1667"/>
      <c r="G1" s="1667"/>
      <c r="H1" s="1667"/>
      <c r="I1" s="1667"/>
      <c r="J1" s="1667"/>
      <c r="K1" s="1667"/>
      <c r="L1" s="1667"/>
      <c r="M1" s="1667"/>
      <c r="N1" s="1667"/>
      <c r="O1" s="1667"/>
      <c r="P1" s="1667"/>
      <c r="Q1" s="1667"/>
      <c r="R1" s="1667"/>
      <c r="S1" s="1667"/>
      <c r="T1" s="1667"/>
      <c r="U1" s="1667"/>
      <c r="V1" s="1667"/>
      <c r="W1" s="1667"/>
      <c r="X1" s="1667"/>
      <c r="Y1" s="1667"/>
      <c r="Z1" s="1667"/>
      <c r="AA1" s="1667"/>
      <c r="AB1" s="1667"/>
      <c r="AC1" s="1667"/>
      <c r="AD1" s="1667"/>
      <c r="AE1" s="1667"/>
      <c r="AF1" s="1667"/>
      <c r="AG1" s="1667"/>
      <c r="AH1" s="1667"/>
      <c r="AI1" s="1667"/>
      <c r="AJ1" s="1667"/>
      <c r="AK1" s="1667"/>
      <c r="AL1" s="1667"/>
      <c r="AM1" s="1667"/>
      <c r="AN1" s="1667"/>
      <c r="AO1" s="1667"/>
      <c r="AP1" s="1667"/>
      <c r="AQ1" s="1667"/>
      <c r="AR1" s="1667"/>
      <c r="AS1" s="1667"/>
      <c r="AT1" s="1667"/>
      <c r="AU1" s="1667"/>
      <c r="AV1" s="1667"/>
      <c r="AW1" s="1667"/>
      <c r="AX1" s="1667"/>
      <c r="AY1" s="1667"/>
      <c r="AZ1" s="1667"/>
      <c r="BA1" s="1667"/>
      <c r="BB1" s="1667"/>
      <c r="BC1" s="1667"/>
      <c r="BD1" s="1667"/>
      <c r="BE1" s="1667"/>
      <c r="BF1" s="1667"/>
      <c r="BG1" s="1667"/>
      <c r="BH1" s="1667"/>
      <c r="BI1" s="1667"/>
      <c r="BJ1" s="1667"/>
      <c r="BK1" s="1667"/>
      <c r="BL1" s="1667"/>
      <c r="BM1" s="1667"/>
      <c r="BN1" s="1667"/>
      <c r="BO1" s="1667"/>
      <c r="BP1" s="1667"/>
      <c r="BQ1" s="1667"/>
      <c r="BR1" s="1667"/>
      <c r="BS1" s="1667"/>
      <c r="BT1" s="1667"/>
    </row>
    <row r="2" spans="1:72" x14ac:dyDescent="0.25">
      <c r="A2" s="1668" t="s">
        <v>733</v>
      </c>
      <c r="B2" s="1668"/>
      <c r="C2" s="1668"/>
      <c r="D2" s="1668"/>
      <c r="E2" s="1668"/>
      <c r="F2" s="1668"/>
      <c r="G2" s="1668"/>
      <c r="H2" s="1668"/>
      <c r="I2" s="1668"/>
      <c r="J2" s="1668"/>
      <c r="K2" s="1668"/>
      <c r="L2" s="1668"/>
      <c r="M2" s="1668"/>
      <c r="N2" s="1668"/>
      <c r="O2" s="1668"/>
      <c r="P2" s="1668"/>
      <c r="Q2" s="1668"/>
      <c r="R2" s="1668"/>
      <c r="S2" s="1668"/>
      <c r="T2" s="1668"/>
      <c r="U2" s="1668"/>
      <c r="V2" s="1668"/>
      <c r="W2" s="1668"/>
      <c r="X2" s="1668"/>
      <c r="Y2" s="1668"/>
      <c r="Z2" s="1668"/>
      <c r="AA2" s="1668"/>
      <c r="AB2" s="1668"/>
      <c r="AC2" s="1668"/>
      <c r="AD2" s="1668"/>
      <c r="AE2" s="1668"/>
      <c r="AF2" s="1668"/>
      <c r="AG2" s="1668"/>
      <c r="AH2" s="1668"/>
      <c r="AI2" s="1668"/>
      <c r="AJ2" s="1668"/>
      <c r="AK2" s="1668"/>
      <c r="AL2" s="1668"/>
      <c r="AM2" s="1668"/>
      <c r="AN2" s="1668"/>
      <c r="AO2" s="1668"/>
      <c r="AP2" s="1668"/>
      <c r="AQ2" s="1668"/>
      <c r="AR2" s="1668"/>
      <c r="AS2" s="1668"/>
      <c r="AT2" s="1668"/>
      <c r="AU2" s="1668"/>
      <c r="AV2" s="1668"/>
      <c r="AW2" s="1668"/>
      <c r="AX2" s="1668"/>
      <c r="AY2" s="1668"/>
      <c r="AZ2" s="1668"/>
      <c r="BA2" s="1668"/>
      <c r="BB2" s="1668"/>
      <c r="BC2" s="1668"/>
      <c r="BD2" s="1668"/>
      <c r="BE2" s="1668"/>
      <c r="BF2" s="1668"/>
      <c r="BG2" s="1668"/>
      <c r="BH2" s="1668"/>
      <c r="BI2" s="1668"/>
      <c r="BJ2" s="1668"/>
      <c r="BK2" s="1668"/>
      <c r="BL2" s="1668"/>
      <c r="BM2" s="1668"/>
      <c r="BN2" s="1668"/>
      <c r="BO2" s="1668"/>
      <c r="BP2" s="1668"/>
      <c r="BQ2" s="1668"/>
      <c r="BR2" s="1668"/>
      <c r="BS2" s="1668"/>
      <c r="BT2" s="1668"/>
    </row>
    <row r="3" spans="1:72" ht="13.8" thickBot="1" x14ac:dyDescent="0.3">
      <c r="A3" s="1669"/>
      <c r="B3" s="1669"/>
      <c r="C3" s="1669"/>
      <c r="D3" s="1669"/>
      <c r="E3" s="1669"/>
      <c r="F3" s="1669"/>
      <c r="G3" s="1669"/>
      <c r="H3" s="1669"/>
      <c r="I3" s="1669"/>
      <c r="J3" s="1669"/>
      <c r="K3" s="1669"/>
      <c r="L3" s="1669"/>
      <c r="M3" s="1669"/>
      <c r="N3" s="1669"/>
      <c r="O3" s="1669"/>
      <c r="P3" s="1669"/>
      <c r="Q3" s="1669"/>
      <c r="R3" s="1669"/>
      <c r="S3" s="1669"/>
      <c r="T3" s="1669"/>
      <c r="U3" s="1669"/>
      <c r="V3" s="1669"/>
      <c r="W3" s="1669"/>
      <c r="X3" s="1669"/>
      <c r="Y3" s="1669"/>
      <c r="Z3" s="1669"/>
      <c r="AA3" s="1669"/>
      <c r="AB3" s="1669"/>
      <c r="AC3" s="1669"/>
      <c r="AD3" s="1669"/>
      <c r="AE3" s="1669"/>
      <c r="AF3" s="1669"/>
      <c r="AG3" s="1669"/>
      <c r="AH3" s="1669"/>
      <c r="AI3" s="1669"/>
      <c r="AJ3" s="1669"/>
      <c r="AK3" s="1669"/>
      <c r="AL3" s="1669"/>
      <c r="AM3" s="1669"/>
      <c r="AN3" s="1669"/>
      <c r="AO3" s="1669"/>
      <c r="AP3" s="1669"/>
      <c r="AQ3" s="1669"/>
      <c r="AR3" s="1669"/>
      <c r="AS3" s="1669"/>
      <c r="AT3" s="1669"/>
      <c r="AU3" s="1669"/>
      <c r="AV3" s="1669"/>
      <c r="AW3" s="1669"/>
      <c r="AX3" s="1669"/>
      <c r="AY3" s="1669"/>
      <c r="AZ3" s="1669"/>
      <c r="BA3" s="1669"/>
      <c r="BB3" s="1669"/>
      <c r="BC3" s="1669"/>
      <c r="BD3" s="1669"/>
      <c r="BE3" s="1669"/>
      <c r="BF3" s="1669"/>
      <c r="BG3" s="1669"/>
      <c r="BH3" s="1669"/>
      <c r="BI3" s="1669"/>
      <c r="BJ3" s="1669"/>
      <c r="BK3" s="1669"/>
      <c r="BL3" s="1669"/>
      <c r="BM3" s="1669"/>
      <c r="BN3" s="1669"/>
      <c r="BO3" s="1669"/>
      <c r="BP3" s="1669"/>
      <c r="BQ3" s="1669"/>
      <c r="BR3" s="1669"/>
      <c r="BS3" s="1669"/>
      <c r="BT3" s="1669"/>
    </row>
    <row r="4" spans="1:72" x14ac:dyDescent="0.25">
      <c r="A4" s="757"/>
      <c r="B4" s="758" t="s">
        <v>1031</v>
      </c>
      <c r="C4" s="759">
        <v>2001</v>
      </c>
      <c r="D4" s="759">
        <v>2002</v>
      </c>
      <c r="E4" s="759">
        <v>2003</v>
      </c>
      <c r="F4" s="759">
        <v>2004</v>
      </c>
      <c r="G4" s="759">
        <v>2005</v>
      </c>
      <c r="H4" s="759">
        <v>2006</v>
      </c>
      <c r="I4" s="759">
        <v>2007</v>
      </c>
      <c r="J4" s="759">
        <v>2008</v>
      </c>
      <c r="K4" s="759">
        <v>2009</v>
      </c>
      <c r="L4" s="759">
        <v>2010</v>
      </c>
      <c r="M4" s="759">
        <v>2011</v>
      </c>
      <c r="N4" s="759">
        <v>2012</v>
      </c>
      <c r="O4" s="759">
        <v>2013</v>
      </c>
      <c r="P4" s="759">
        <v>2014</v>
      </c>
      <c r="Q4" s="759">
        <v>2015</v>
      </c>
      <c r="R4" s="759">
        <v>2016</v>
      </c>
      <c r="S4" s="759">
        <v>2017</v>
      </c>
      <c r="T4" s="759">
        <v>2018</v>
      </c>
      <c r="U4" s="759">
        <v>2019</v>
      </c>
      <c r="V4" s="759">
        <v>2020</v>
      </c>
      <c r="W4" s="759">
        <v>2021</v>
      </c>
      <c r="X4" s="759">
        <v>2022</v>
      </c>
      <c r="Y4" s="759">
        <v>2023</v>
      </c>
      <c r="Z4" s="759">
        <v>2024</v>
      </c>
      <c r="AA4" s="759">
        <v>2025</v>
      </c>
      <c r="AB4" s="759">
        <v>2026</v>
      </c>
      <c r="AC4" s="759">
        <v>2027</v>
      </c>
      <c r="AD4" s="759">
        <v>2028</v>
      </c>
      <c r="AE4" s="759">
        <v>2029</v>
      </c>
      <c r="AF4" s="759">
        <v>2030</v>
      </c>
      <c r="AG4" s="759">
        <v>2031</v>
      </c>
      <c r="AH4" s="759">
        <v>2032</v>
      </c>
      <c r="AI4" s="759">
        <v>2033</v>
      </c>
      <c r="AJ4" s="759">
        <v>2034</v>
      </c>
      <c r="AK4" s="759">
        <v>2035</v>
      </c>
      <c r="AL4" s="759">
        <v>2036</v>
      </c>
      <c r="AM4" s="759">
        <v>2037</v>
      </c>
      <c r="AN4" s="759">
        <v>2038</v>
      </c>
      <c r="AO4" s="759">
        <v>2039</v>
      </c>
      <c r="AP4" s="759">
        <v>2040</v>
      </c>
      <c r="AQ4" s="759">
        <v>2041</v>
      </c>
      <c r="AR4" s="759">
        <v>2042</v>
      </c>
      <c r="AS4" s="759">
        <v>2043</v>
      </c>
      <c r="AT4" s="759">
        <v>2044</v>
      </c>
      <c r="AU4" s="759">
        <v>2045</v>
      </c>
      <c r="AV4" s="759">
        <v>2046</v>
      </c>
      <c r="AW4" s="759">
        <v>2047</v>
      </c>
      <c r="AX4" s="759">
        <v>2048</v>
      </c>
      <c r="AY4" s="759">
        <v>2049</v>
      </c>
      <c r="AZ4" s="759">
        <v>2050</v>
      </c>
      <c r="BA4" s="759">
        <v>2051</v>
      </c>
      <c r="BB4" s="759">
        <v>2052</v>
      </c>
      <c r="BC4" s="759">
        <v>2053</v>
      </c>
      <c r="BD4" s="759">
        <v>2054</v>
      </c>
      <c r="BE4" s="759">
        <v>2056</v>
      </c>
      <c r="BF4" s="759">
        <v>2056</v>
      </c>
      <c r="BG4" s="759">
        <v>2057</v>
      </c>
      <c r="BH4" s="759">
        <v>2058</v>
      </c>
      <c r="BI4" s="759">
        <v>2059</v>
      </c>
      <c r="BJ4" s="759">
        <v>2060</v>
      </c>
      <c r="BK4" s="759">
        <v>2061</v>
      </c>
      <c r="BL4" s="759">
        <v>2062</v>
      </c>
      <c r="BM4" s="759">
        <v>2063</v>
      </c>
      <c r="BN4" s="759">
        <v>2064</v>
      </c>
      <c r="BO4" s="759">
        <v>2065</v>
      </c>
      <c r="BP4" s="759">
        <v>2066</v>
      </c>
      <c r="BQ4" s="759">
        <v>2067</v>
      </c>
      <c r="BR4" s="759">
        <v>2068</v>
      </c>
      <c r="BS4" s="759">
        <v>2069</v>
      </c>
      <c r="BT4" s="760">
        <v>2070</v>
      </c>
    </row>
    <row r="5" spans="1:72" x14ac:dyDescent="0.25">
      <c r="A5" s="1670" t="s">
        <v>734</v>
      </c>
      <c r="B5" s="1671"/>
      <c r="C5" s="1671"/>
      <c r="D5" s="1671"/>
      <c r="E5" s="1671"/>
      <c r="F5" s="1671"/>
      <c r="G5" s="1671"/>
      <c r="H5" s="1671"/>
      <c r="I5" s="1671"/>
      <c r="J5" s="1671"/>
      <c r="K5" s="1671"/>
      <c r="L5" s="1671"/>
      <c r="M5" s="1671"/>
      <c r="N5" s="1671"/>
      <c r="O5" s="1671"/>
      <c r="P5" s="1671"/>
      <c r="Q5" s="1671"/>
      <c r="R5" s="1671"/>
      <c r="S5" s="1671"/>
      <c r="T5" s="1671"/>
      <c r="U5" s="1671"/>
      <c r="V5" s="1671"/>
      <c r="W5" s="1671"/>
      <c r="X5" s="1671"/>
      <c r="Y5" s="1671"/>
      <c r="Z5" s="1671"/>
      <c r="AA5" s="1671"/>
      <c r="AB5" s="1671"/>
      <c r="AC5" s="1671"/>
      <c r="AD5" s="1671"/>
      <c r="AE5" s="1671"/>
      <c r="AF5" s="1671"/>
      <c r="AG5" s="1671"/>
      <c r="AH5" s="1671"/>
      <c r="AI5" s="1671"/>
      <c r="AJ5" s="1671"/>
      <c r="AK5" s="1671"/>
      <c r="AL5" s="1671"/>
      <c r="AM5" s="1671"/>
      <c r="AN5" s="1671"/>
      <c r="AO5" s="1671"/>
      <c r="AP5" s="1671"/>
      <c r="AQ5" s="1671"/>
      <c r="AR5" s="1671"/>
      <c r="AS5" s="1671"/>
      <c r="AT5" s="1671"/>
      <c r="AU5" s="1671"/>
      <c r="AV5" s="1671"/>
      <c r="AW5" s="1671"/>
      <c r="AX5" s="1671"/>
      <c r="AY5" s="1671"/>
      <c r="AZ5" s="1671"/>
      <c r="BA5" s="1671"/>
      <c r="BB5" s="1671"/>
      <c r="BC5" s="1671"/>
      <c r="BD5" s="1671"/>
      <c r="BE5" s="1671"/>
      <c r="BF5" s="1671"/>
      <c r="BG5" s="1671"/>
      <c r="BH5" s="1671"/>
      <c r="BI5" s="1671"/>
      <c r="BJ5" s="1671"/>
      <c r="BK5" s="1671"/>
      <c r="BL5" s="1671"/>
      <c r="BM5" s="1671"/>
      <c r="BN5" s="1671"/>
      <c r="BO5" s="1671"/>
      <c r="BP5" s="1671"/>
      <c r="BQ5" s="1671"/>
      <c r="BR5" s="1671"/>
      <c r="BS5" s="1671"/>
      <c r="BT5" s="1672"/>
    </row>
    <row r="6" spans="1:72" x14ac:dyDescent="0.25">
      <c r="A6" s="761" t="s">
        <v>735</v>
      </c>
      <c r="B6" s="762" t="s">
        <v>736</v>
      </c>
      <c r="C6" s="763">
        <v>8.9541000728991982</v>
      </c>
      <c r="D6" s="763">
        <v>6.8979457774252282</v>
      </c>
      <c r="E6" s="763">
        <v>8.4197996967243682</v>
      </c>
      <c r="F6" s="763">
        <v>8.8059982398770913</v>
      </c>
      <c r="G6" s="763">
        <v>8.8656468751295598</v>
      </c>
      <c r="H6" s="763">
        <v>8.2234977371287847</v>
      </c>
      <c r="I6" s="763">
        <v>7.8073426530046319</v>
      </c>
      <c r="J6" s="763">
        <v>7.4325694992857168</v>
      </c>
      <c r="K6" s="763">
        <v>7.297531685739191</v>
      </c>
      <c r="L6" s="763">
        <v>7.1966502441550162</v>
      </c>
      <c r="M6" s="763">
        <v>7.2405429268783017</v>
      </c>
      <c r="N6" s="763">
        <v>7.2944294079294778</v>
      </c>
      <c r="O6" s="763">
        <v>7.4037989917791105</v>
      </c>
      <c r="P6" s="763">
        <v>7.5440859727139706</v>
      </c>
      <c r="Q6" s="763">
        <v>7.6385998163583153</v>
      </c>
      <c r="R6" s="763">
        <v>7.6698249061152577</v>
      </c>
      <c r="S6" s="763">
        <v>7.596507558282819</v>
      </c>
      <c r="T6" s="763">
        <v>7.644327174942454</v>
      </c>
      <c r="U6" s="763">
        <v>7.7875295315148705</v>
      </c>
      <c r="V6" s="763">
        <v>8.0180296178133954</v>
      </c>
      <c r="W6" s="763">
        <v>8.1425457338117244</v>
      </c>
      <c r="X6" s="763">
        <v>8.1602542175436898</v>
      </c>
      <c r="Y6" s="763">
        <v>8.1927349319997838</v>
      </c>
      <c r="Z6" s="763">
        <v>8.2544961582939571</v>
      </c>
      <c r="AA6" s="763">
        <v>8.3511330316651513</v>
      </c>
      <c r="AB6" s="764">
        <v>8.4290329061652454</v>
      </c>
      <c r="AC6" s="764">
        <v>8.5069327806653394</v>
      </c>
      <c r="AD6" s="764">
        <v>8.5848326551654335</v>
      </c>
      <c r="AE6" s="764">
        <v>8.6627325296655275</v>
      </c>
      <c r="AF6" s="764">
        <v>8.7406324041656216</v>
      </c>
      <c r="AG6" s="764">
        <v>8.8185322786657157</v>
      </c>
      <c r="AH6" s="764">
        <v>8.8964321531658097</v>
      </c>
      <c r="AI6" s="764">
        <v>8.9743320276659038</v>
      </c>
      <c r="AJ6" s="764">
        <v>9.0522319021659978</v>
      </c>
      <c r="AK6" s="764">
        <v>9.1301317766660848</v>
      </c>
      <c r="AL6" s="764">
        <v>9.2578200706648097</v>
      </c>
      <c r="AM6" s="764">
        <v>9.3855083646635347</v>
      </c>
      <c r="AN6" s="764">
        <v>9.5131966586622596</v>
      </c>
      <c r="AO6" s="764">
        <v>9.6408849526609846</v>
      </c>
      <c r="AP6" s="764">
        <v>9.7685732466597095</v>
      </c>
      <c r="AQ6" s="764">
        <v>9.8962615406584344</v>
      </c>
      <c r="AR6" s="764">
        <v>10.023949834657159</v>
      </c>
      <c r="AS6" s="764">
        <v>10.151638128655884</v>
      </c>
      <c r="AT6" s="764">
        <v>10.279326422654609</v>
      </c>
      <c r="AU6" s="764">
        <v>10.407014716653334</v>
      </c>
      <c r="AV6" s="764">
        <v>10.534703010652059</v>
      </c>
      <c r="AW6" s="764">
        <v>10.662391304650784</v>
      </c>
      <c r="AX6" s="764">
        <v>10.790079598649509</v>
      </c>
      <c r="AY6" s="764">
        <v>10.917767892648234</v>
      </c>
      <c r="AZ6" s="765">
        <v>11.045456186646948</v>
      </c>
      <c r="BA6" s="764">
        <v>11.066404719719236</v>
      </c>
      <c r="BB6" s="764">
        <v>11.087353252791523</v>
      </c>
      <c r="BC6" s="764">
        <v>11.10830178586381</v>
      </c>
      <c r="BD6" s="764">
        <v>11.129250318936098</v>
      </c>
      <c r="BE6" s="764">
        <v>11.150198852008385</v>
      </c>
      <c r="BF6" s="764">
        <v>11.171147385080673</v>
      </c>
      <c r="BG6" s="764">
        <v>11.19209591815296</v>
      </c>
      <c r="BH6" s="764">
        <v>11.213044451225247</v>
      </c>
      <c r="BI6" s="764">
        <v>11.233992984297535</v>
      </c>
      <c r="BJ6" s="764">
        <v>11.254941517369822</v>
      </c>
      <c r="BK6" s="764">
        <v>11.27589005044211</v>
      </c>
      <c r="BL6" s="764">
        <v>11.296838583514397</v>
      </c>
      <c r="BM6" s="764">
        <v>11.317787116586684</v>
      </c>
      <c r="BN6" s="764">
        <v>11.338735649658972</v>
      </c>
      <c r="BO6" s="765">
        <v>11.359684182731248</v>
      </c>
      <c r="BP6" s="764">
        <v>11.381228672680008</v>
      </c>
      <c r="BQ6" s="764">
        <v>11.402773162628767</v>
      </c>
      <c r="BR6" s="764">
        <v>11.424317652577527</v>
      </c>
      <c r="BS6" s="764">
        <v>11.445862142526286</v>
      </c>
      <c r="BT6" s="766">
        <v>11.467406632475045</v>
      </c>
    </row>
    <row r="7" spans="1:72" x14ac:dyDescent="0.25">
      <c r="A7" s="767" t="s">
        <v>737</v>
      </c>
      <c r="B7" s="762" t="s">
        <v>736</v>
      </c>
      <c r="C7" s="763">
        <v>5.2088497969877503</v>
      </c>
      <c r="D7" s="763">
        <v>4.0515519538015683</v>
      </c>
      <c r="E7" s="763">
        <v>5.7953765594734321</v>
      </c>
      <c r="F7" s="763">
        <v>6.3059286733843276</v>
      </c>
      <c r="G7" s="763">
        <v>6.3351569917966728</v>
      </c>
      <c r="H7" s="763">
        <v>5.6603640970194089</v>
      </c>
      <c r="I7" s="763">
        <v>5.2154936812958672</v>
      </c>
      <c r="J7" s="763">
        <v>4.824472465605103</v>
      </c>
      <c r="K7" s="763">
        <v>4.7214620293311338</v>
      </c>
      <c r="L7" s="763">
        <v>4.5987567766657387</v>
      </c>
      <c r="M7" s="763">
        <v>4.6224680014376371</v>
      </c>
      <c r="N7" s="763">
        <v>4.6768878495918127</v>
      </c>
      <c r="O7" s="763">
        <v>4.7861952984108127</v>
      </c>
      <c r="P7" s="763">
        <v>4.922351045428587</v>
      </c>
      <c r="Q7" s="763">
        <v>5.0173813554475863</v>
      </c>
      <c r="R7" s="763">
        <v>5.0686005039035118</v>
      </c>
      <c r="S7" s="763">
        <v>5.0229759936062797</v>
      </c>
      <c r="T7" s="763">
        <v>5.0914502886106439</v>
      </c>
      <c r="U7" s="763">
        <v>5.2365480121576597</v>
      </c>
      <c r="V7" s="763">
        <v>5.4816269649649545</v>
      </c>
      <c r="W7" s="763">
        <v>5.5841408180740668</v>
      </c>
      <c r="X7" s="763">
        <v>5.5850370537559959</v>
      </c>
      <c r="Y7" s="763">
        <v>5.6052826350589937</v>
      </c>
      <c r="Z7" s="763">
        <v>5.6612136071582997</v>
      </c>
      <c r="AA7" s="763">
        <v>5.7676752715740598</v>
      </c>
      <c r="AB7" s="764">
        <v>5.8539244792759346</v>
      </c>
      <c r="AC7" s="764">
        <v>5.9401736869778095</v>
      </c>
      <c r="AD7" s="764">
        <v>6.0264228946796843</v>
      </c>
      <c r="AE7" s="764">
        <v>6.1126721023815591</v>
      </c>
      <c r="AF7" s="764">
        <v>6.1989213100834339</v>
      </c>
      <c r="AG7" s="764">
        <v>6.2851705177853088</v>
      </c>
      <c r="AH7" s="764">
        <v>6.3714197254871836</v>
      </c>
      <c r="AI7" s="764">
        <v>6.4576689331890584</v>
      </c>
      <c r="AJ7" s="764">
        <v>6.5439181408909333</v>
      </c>
      <c r="AK7" s="764">
        <v>6.6301673485928063</v>
      </c>
      <c r="AL7" s="764">
        <v>6.7228927087931387</v>
      </c>
      <c r="AM7" s="764">
        <v>6.8156180689934711</v>
      </c>
      <c r="AN7" s="764">
        <v>6.9083434291938035</v>
      </c>
      <c r="AO7" s="764">
        <v>7.0010687893941359</v>
      </c>
      <c r="AP7" s="764">
        <v>7.0937941495944683</v>
      </c>
      <c r="AQ7" s="764">
        <v>7.1865195097948007</v>
      </c>
      <c r="AR7" s="764">
        <v>7.2792448699951331</v>
      </c>
      <c r="AS7" s="764">
        <v>7.3719702301954655</v>
      </c>
      <c r="AT7" s="764">
        <v>7.4646955903957979</v>
      </c>
      <c r="AU7" s="764">
        <v>7.5574209505961303</v>
      </c>
      <c r="AV7" s="764">
        <v>7.6501463107964627</v>
      </c>
      <c r="AW7" s="764">
        <v>7.7428716709967951</v>
      </c>
      <c r="AX7" s="764">
        <v>7.8355970311971275</v>
      </c>
      <c r="AY7" s="764">
        <v>7.9283223913974599</v>
      </c>
      <c r="AZ7" s="765">
        <v>8.021047751597786</v>
      </c>
      <c r="BA7" s="764">
        <v>8.0362602680624171</v>
      </c>
      <c r="BB7" s="764">
        <v>8.0514727845270482</v>
      </c>
      <c r="BC7" s="764">
        <v>8.0666853009916792</v>
      </c>
      <c r="BD7" s="764">
        <v>8.0818978174563103</v>
      </c>
      <c r="BE7" s="764">
        <v>8.0971103339209414</v>
      </c>
      <c r="BF7" s="764">
        <v>8.1123228503855724</v>
      </c>
      <c r="BG7" s="764">
        <v>8.1275353668502035</v>
      </c>
      <c r="BH7" s="764">
        <v>8.1427478833148346</v>
      </c>
      <c r="BI7" s="764">
        <v>8.1579603997794656</v>
      </c>
      <c r="BJ7" s="764">
        <v>8.1731729162440967</v>
      </c>
      <c r="BK7" s="764">
        <v>8.1883854327087278</v>
      </c>
      <c r="BL7" s="764">
        <v>8.2035979491733588</v>
      </c>
      <c r="BM7" s="764">
        <v>8.2188104656379899</v>
      </c>
      <c r="BN7" s="764">
        <v>8.234022982102621</v>
      </c>
      <c r="BO7" s="765">
        <v>8.2492354985672645</v>
      </c>
      <c r="BP7" s="764">
        <v>8.2648807901462327</v>
      </c>
      <c r="BQ7" s="764">
        <v>8.2805260817252009</v>
      </c>
      <c r="BR7" s="764">
        <v>8.2961713733041691</v>
      </c>
      <c r="BS7" s="764">
        <v>8.3118166648831373</v>
      </c>
      <c r="BT7" s="766">
        <v>8.3274619564621091</v>
      </c>
    </row>
    <row r="8" spans="1:72" x14ac:dyDescent="0.25">
      <c r="A8" s="767" t="s">
        <v>738</v>
      </c>
      <c r="B8" s="762" t="s">
        <v>736</v>
      </c>
      <c r="C8" s="763">
        <v>5.6269638934579786</v>
      </c>
      <c r="D8" s="763">
        <v>3.8422456293735823</v>
      </c>
      <c r="E8" s="763">
        <v>5.691139826234779</v>
      </c>
      <c r="F8" s="763">
        <v>6.2376343214286925</v>
      </c>
      <c r="G8" s="763">
        <v>6.1731978092553481</v>
      </c>
      <c r="H8" s="763">
        <v>5.4998161252939477</v>
      </c>
      <c r="I8" s="763">
        <v>5.0667498741509744</v>
      </c>
      <c r="J8" s="763">
        <v>4.6999946247856554</v>
      </c>
      <c r="K8" s="763">
        <v>4.5877827360944901</v>
      </c>
      <c r="L8" s="763">
        <v>4.4974766767249967</v>
      </c>
      <c r="M8" s="763">
        <v>4.5471429464952013</v>
      </c>
      <c r="N8" s="763">
        <v>4.6470168064225401</v>
      </c>
      <c r="O8" s="763">
        <v>4.7885290901615907</v>
      </c>
      <c r="P8" s="763">
        <v>4.9298490038457894</v>
      </c>
      <c r="Q8" s="763">
        <v>5.0143193411377212</v>
      </c>
      <c r="R8" s="763">
        <v>5.0431599369588911</v>
      </c>
      <c r="S8" s="763">
        <v>4.9958503246307417</v>
      </c>
      <c r="T8" s="763">
        <v>5.071809156885692</v>
      </c>
      <c r="U8" s="763">
        <v>5.2209958625289659</v>
      </c>
      <c r="V8" s="763">
        <v>5.4542850660827948</v>
      </c>
      <c r="W8" s="763">
        <v>5.5514960671370845</v>
      </c>
      <c r="X8" s="763">
        <v>5.5489887943807661</v>
      </c>
      <c r="Y8" s="763">
        <v>5.5622220646660265</v>
      </c>
      <c r="Z8" s="763">
        <v>5.6263508841676488</v>
      </c>
      <c r="AA8" s="763">
        <v>5.730461856104295</v>
      </c>
      <c r="AB8" s="764">
        <v>5.8123040182474703</v>
      </c>
      <c r="AC8" s="764">
        <v>5.8941461803906456</v>
      </c>
      <c r="AD8" s="764">
        <v>5.9759883425338209</v>
      </c>
      <c r="AE8" s="764">
        <v>6.0578305046769962</v>
      </c>
      <c r="AF8" s="764">
        <v>6.1396726668201715</v>
      </c>
      <c r="AG8" s="764">
        <v>6.2215148289633468</v>
      </c>
      <c r="AH8" s="764">
        <v>6.3033569911065221</v>
      </c>
      <c r="AI8" s="764">
        <v>6.3851991532496974</v>
      </c>
      <c r="AJ8" s="764">
        <v>6.4670413153928727</v>
      </c>
      <c r="AK8" s="764">
        <v>6.5488834775360516</v>
      </c>
      <c r="AL8" s="764">
        <v>6.6404720525202734</v>
      </c>
      <c r="AM8" s="764">
        <v>6.7320606275044952</v>
      </c>
      <c r="AN8" s="764">
        <v>6.823649202488717</v>
      </c>
      <c r="AO8" s="764">
        <v>6.9152377774729388</v>
      </c>
      <c r="AP8" s="764">
        <v>7.0068263524571606</v>
      </c>
      <c r="AQ8" s="764">
        <v>7.0984149274413824</v>
      </c>
      <c r="AR8" s="764">
        <v>7.1900035024256042</v>
      </c>
      <c r="AS8" s="764">
        <v>7.2815920774098259</v>
      </c>
      <c r="AT8" s="764">
        <v>7.3731806523940477</v>
      </c>
      <c r="AU8" s="764">
        <v>7.4647692273782695</v>
      </c>
      <c r="AV8" s="764">
        <v>7.5563578023624913</v>
      </c>
      <c r="AW8" s="764">
        <v>7.6479463773467131</v>
      </c>
      <c r="AX8" s="764">
        <v>7.7395349523309349</v>
      </c>
      <c r="AY8" s="764">
        <v>7.8311235273151567</v>
      </c>
      <c r="AZ8" s="765">
        <v>7.9227121022993829</v>
      </c>
      <c r="BA8" s="764">
        <v>7.9377381178566102</v>
      </c>
      <c r="BB8" s="764">
        <v>7.9527641334138375</v>
      </c>
      <c r="BC8" s="764">
        <v>7.9677901489710647</v>
      </c>
      <c r="BD8" s="764">
        <v>7.982816164528292</v>
      </c>
      <c r="BE8" s="764">
        <v>7.9978421800855193</v>
      </c>
      <c r="BF8" s="764">
        <v>8.0128681956427457</v>
      </c>
      <c r="BG8" s="764">
        <v>8.0278942111999729</v>
      </c>
      <c r="BH8" s="764">
        <v>8.0429202267572002</v>
      </c>
      <c r="BI8" s="764">
        <v>8.0579462423144275</v>
      </c>
      <c r="BJ8" s="764">
        <v>8.0729722578716547</v>
      </c>
      <c r="BK8" s="764">
        <v>8.087998273428882</v>
      </c>
      <c r="BL8" s="764">
        <v>8.1030242889861093</v>
      </c>
      <c r="BM8" s="764">
        <v>8.1180503045433365</v>
      </c>
      <c r="BN8" s="764">
        <v>8.1330763201005638</v>
      </c>
      <c r="BO8" s="765">
        <v>8.1481023356577857</v>
      </c>
      <c r="BP8" s="764">
        <v>8.1635558206357306</v>
      </c>
      <c r="BQ8" s="764">
        <v>8.1790093056136755</v>
      </c>
      <c r="BR8" s="764">
        <v>8.1944627905916203</v>
      </c>
      <c r="BS8" s="764">
        <v>8.2099162755695652</v>
      </c>
      <c r="BT8" s="766">
        <v>8.2253697605475136</v>
      </c>
    </row>
    <row r="9" spans="1:72" x14ac:dyDescent="0.25">
      <c r="A9" s="1670" t="s">
        <v>739</v>
      </c>
      <c r="B9" s="1671"/>
      <c r="C9" s="1671"/>
      <c r="D9" s="1671"/>
      <c r="E9" s="1671"/>
      <c r="F9" s="1671"/>
      <c r="G9" s="1671"/>
      <c r="H9" s="1671"/>
      <c r="I9" s="1671"/>
      <c r="J9" s="1671"/>
      <c r="K9" s="1671"/>
      <c r="L9" s="1671"/>
      <c r="M9" s="1671"/>
      <c r="N9" s="1671"/>
      <c r="O9" s="1671"/>
      <c r="P9" s="1671"/>
      <c r="Q9" s="1671"/>
      <c r="R9" s="1671"/>
      <c r="S9" s="1671"/>
      <c r="T9" s="1671"/>
      <c r="U9" s="1671"/>
      <c r="V9" s="1671"/>
      <c r="W9" s="1671"/>
      <c r="X9" s="1671"/>
      <c r="Y9" s="1671"/>
      <c r="Z9" s="1671"/>
      <c r="AA9" s="1671"/>
      <c r="AB9" s="1671"/>
      <c r="AC9" s="1671"/>
      <c r="AD9" s="1671"/>
      <c r="AE9" s="1671"/>
      <c r="AF9" s="1671"/>
      <c r="AG9" s="1671"/>
      <c r="AH9" s="1671"/>
      <c r="AI9" s="1671"/>
      <c r="AJ9" s="1671"/>
      <c r="AK9" s="1671"/>
      <c r="AL9" s="1671"/>
      <c r="AM9" s="1671"/>
      <c r="AN9" s="1671"/>
      <c r="AO9" s="1671"/>
      <c r="AP9" s="1671"/>
      <c r="AQ9" s="1671"/>
      <c r="AR9" s="1671"/>
      <c r="AS9" s="1671"/>
      <c r="AT9" s="1671"/>
      <c r="AU9" s="1671"/>
      <c r="AV9" s="1671"/>
      <c r="AW9" s="1671"/>
      <c r="AX9" s="1671"/>
      <c r="AY9" s="1671"/>
      <c r="AZ9" s="1671"/>
      <c r="BA9" s="1671"/>
      <c r="BB9" s="1671"/>
      <c r="BC9" s="1671"/>
      <c r="BD9" s="1671"/>
      <c r="BE9" s="1671"/>
      <c r="BF9" s="1671"/>
      <c r="BG9" s="1671"/>
      <c r="BH9" s="1671"/>
      <c r="BI9" s="1671"/>
      <c r="BJ9" s="1671"/>
      <c r="BK9" s="1671"/>
      <c r="BL9" s="1671"/>
      <c r="BM9" s="1671"/>
      <c r="BN9" s="1671"/>
      <c r="BO9" s="1671"/>
      <c r="BP9" s="1671"/>
      <c r="BQ9" s="1671"/>
      <c r="BR9" s="1671"/>
      <c r="BS9" s="1671"/>
      <c r="BT9" s="1672"/>
    </row>
    <row r="10" spans="1:72" x14ac:dyDescent="0.25">
      <c r="A10" s="767" t="s">
        <v>672</v>
      </c>
      <c r="B10" s="762" t="s">
        <v>736</v>
      </c>
      <c r="C10" s="763">
        <v>24.866788774356646</v>
      </c>
      <c r="D10" s="763">
        <v>24.345010037692106</v>
      </c>
      <c r="E10" s="763">
        <v>24.223933219909672</v>
      </c>
      <c r="F10" s="763">
        <v>24.020635352944481</v>
      </c>
      <c r="G10" s="763">
        <v>23.91295186528621</v>
      </c>
      <c r="H10" s="763">
        <v>22.837542614846832</v>
      </c>
      <c r="I10" s="763">
        <v>21.69091966017233</v>
      </c>
      <c r="J10" s="763">
        <v>21.090846376599046</v>
      </c>
      <c r="K10" s="763">
        <v>21.058556043876806</v>
      </c>
      <c r="L10" s="763">
        <v>20.987678365887316</v>
      </c>
      <c r="M10" s="763">
        <v>20.983490961902529</v>
      </c>
      <c r="N10" s="763">
        <v>21.313707333690761</v>
      </c>
      <c r="O10" s="763">
        <v>21.638938984780914</v>
      </c>
      <c r="P10" s="763">
        <v>22.13258341123478</v>
      </c>
      <c r="Q10" s="763">
        <v>22.313049388381657</v>
      </c>
      <c r="R10" s="763">
        <v>22.486876361774936</v>
      </c>
      <c r="S10" s="763">
        <v>22.494946956634521</v>
      </c>
      <c r="T10" s="763">
        <v>22.662665807975912</v>
      </c>
      <c r="U10" s="763">
        <v>22.922821701697636</v>
      </c>
      <c r="V10" s="763">
        <v>23.270139622238439</v>
      </c>
      <c r="W10" s="763">
        <v>23.509686568997985</v>
      </c>
      <c r="X10" s="763">
        <v>23.493712398241108</v>
      </c>
      <c r="Y10" s="763">
        <v>23.423848763951703</v>
      </c>
      <c r="Z10" s="763">
        <v>23.513217827059155</v>
      </c>
      <c r="AA10" s="763">
        <v>23.645542576627872</v>
      </c>
      <c r="AB10" s="764">
        <v>23.786749293232678</v>
      </c>
      <c r="AC10" s="764">
        <v>23.927956009837484</v>
      </c>
      <c r="AD10" s="764">
        <v>24.06916272644229</v>
      </c>
      <c r="AE10" s="764">
        <v>24.210369443047096</v>
      </c>
      <c r="AF10" s="764">
        <v>24.351576159651902</v>
      </c>
      <c r="AG10" s="764">
        <v>24.492782876256708</v>
      </c>
      <c r="AH10" s="764">
        <v>24.633989592861514</v>
      </c>
      <c r="AI10" s="764">
        <v>24.77519630946632</v>
      </c>
      <c r="AJ10" s="764">
        <v>24.916403026071126</v>
      </c>
      <c r="AK10" s="764">
        <v>25.057609742675933</v>
      </c>
      <c r="AL10" s="764">
        <v>25.047759076850095</v>
      </c>
      <c r="AM10" s="764">
        <v>25.037908411024258</v>
      </c>
      <c r="AN10" s="764">
        <v>25.028057745198421</v>
      </c>
      <c r="AO10" s="764">
        <v>25.018207079372583</v>
      </c>
      <c r="AP10" s="764">
        <v>25.008356413546746</v>
      </c>
      <c r="AQ10" s="764">
        <v>24.998505747720909</v>
      </c>
      <c r="AR10" s="764">
        <v>24.988655081895072</v>
      </c>
      <c r="AS10" s="764">
        <v>24.978804416069234</v>
      </c>
      <c r="AT10" s="764">
        <v>24.968953750243397</v>
      </c>
      <c r="AU10" s="764">
        <v>24.95910308441756</v>
      </c>
      <c r="AV10" s="764">
        <v>24.949252418591723</v>
      </c>
      <c r="AW10" s="764">
        <v>24.939401752765885</v>
      </c>
      <c r="AX10" s="764">
        <v>24.929551086940048</v>
      </c>
      <c r="AY10" s="764">
        <v>24.919700421114211</v>
      </c>
      <c r="AZ10" s="765">
        <v>24.90984975528837</v>
      </c>
      <c r="BA10" s="764">
        <v>24.925673674379027</v>
      </c>
      <c r="BB10" s="764">
        <v>24.941497593469684</v>
      </c>
      <c r="BC10" s="764">
        <v>24.957321512560341</v>
      </c>
      <c r="BD10" s="764">
        <v>24.973145431650998</v>
      </c>
      <c r="BE10" s="764">
        <v>24.988969350741655</v>
      </c>
      <c r="BF10" s="764">
        <v>25.004793269832312</v>
      </c>
      <c r="BG10" s="764">
        <v>25.020617188922969</v>
      </c>
      <c r="BH10" s="764">
        <v>25.036441108013626</v>
      </c>
      <c r="BI10" s="764">
        <v>25.052265027104283</v>
      </c>
      <c r="BJ10" s="764">
        <v>25.068088946194941</v>
      </c>
      <c r="BK10" s="764">
        <v>25.083912865285598</v>
      </c>
      <c r="BL10" s="764">
        <v>25.099736784376255</v>
      </c>
      <c r="BM10" s="764">
        <v>25.115560703466912</v>
      </c>
      <c r="BN10" s="764">
        <v>25.131384622557569</v>
      </c>
      <c r="BO10" s="765">
        <v>25.147208541648205</v>
      </c>
      <c r="BP10" s="764">
        <v>25.163183242307905</v>
      </c>
      <c r="BQ10" s="764">
        <v>25.179157942967606</v>
      </c>
      <c r="BR10" s="764">
        <v>25.195132643627307</v>
      </c>
      <c r="BS10" s="764">
        <v>25.211107344287008</v>
      </c>
      <c r="BT10" s="766">
        <v>25.227082044946716</v>
      </c>
    </row>
    <row r="11" spans="1:72" x14ac:dyDescent="0.25">
      <c r="A11" s="767" t="s">
        <v>687</v>
      </c>
      <c r="B11" s="762" t="s">
        <v>736</v>
      </c>
      <c r="C11" s="763">
        <v>16.038863482553147</v>
      </c>
      <c r="D11" s="763">
        <v>15.36037109932807</v>
      </c>
      <c r="E11" s="763">
        <v>15.664056310113844</v>
      </c>
      <c r="F11" s="763">
        <v>16.390134465019642</v>
      </c>
      <c r="G11" s="763">
        <v>16.26049394877451</v>
      </c>
      <c r="H11" s="763">
        <v>15.718549229064077</v>
      </c>
      <c r="I11" s="763">
        <v>15.083546116666987</v>
      </c>
      <c r="J11" s="763">
        <v>14.764544869368896</v>
      </c>
      <c r="K11" s="763">
        <v>14.679648534306921</v>
      </c>
      <c r="L11" s="763">
        <v>14.510741661179726</v>
      </c>
      <c r="M11" s="763">
        <v>14.370329416023063</v>
      </c>
      <c r="N11" s="763">
        <v>14.522587083420669</v>
      </c>
      <c r="O11" s="763">
        <v>14.791267903345901</v>
      </c>
      <c r="P11" s="763">
        <v>15.142176731577413</v>
      </c>
      <c r="Q11" s="763">
        <v>15.304996360023072</v>
      </c>
      <c r="R11" s="763">
        <v>15.443286072533045</v>
      </c>
      <c r="S11" s="763">
        <v>15.485992224711291</v>
      </c>
      <c r="T11" s="763">
        <v>15.663456831338236</v>
      </c>
      <c r="U11" s="763">
        <v>15.910829809476709</v>
      </c>
      <c r="V11" s="763">
        <v>16.241389166634008</v>
      </c>
      <c r="W11" s="763">
        <v>16.419768400912066</v>
      </c>
      <c r="X11" s="763">
        <v>16.405212897174714</v>
      </c>
      <c r="Y11" s="763">
        <v>16.372526888577397</v>
      </c>
      <c r="Z11" s="763">
        <v>16.449089176249931</v>
      </c>
      <c r="AA11" s="763">
        <v>16.568027554817903</v>
      </c>
      <c r="AB11" s="764">
        <v>16.704753726753587</v>
      </c>
      <c r="AC11" s="764">
        <v>16.841479898689272</v>
      </c>
      <c r="AD11" s="764">
        <v>16.978206070624957</v>
      </c>
      <c r="AE11" s="764">
        <v>17.114932242560641</v>
      </c>
      <c r="AF11" s="764">
        <v>17.251658414496326</v>
      </c>
      <c r="AG11" s="764">
        <v>17.388384586432011</v>
      </c>
      <c r="AH11" s="764">
        <v>17.525110758367695</v>
      </c>
      <c r="AI11" s="764">
        <v>17.66183693030338</v>
      </c>
      <c r="AJ11" s="764">
        <v>17.798563102239065</v>
      </c>
      <c r="AK11" s="764">
        <v>17.935289274174743</v>
      </c>
      <c r="AL11" s="764">
        <v>17.928238540168429</v>
      </c>
      <c r="AM11" s="764">
        <v>17.921187806162116</v>
      </c>
      <c r="AN11" s="764">
        <v>17.914137072155803</v>
      </c>
      <c r="AO11" s="764">
        <v>17.90708633814949</v>
      </c>
      <c r="AP11" s="764">
        <v>17.900035604143177</v>
      </c>
      <c r="AQ11" s="764">
        <v>17.892984870136864</v>
      </c>
      <c r="AR11" s="764">
        <v>17.885934136130551</v>
      </c>
      <c r="AS11" s="764">
        <v>17.878883402124238</v>
      </c>
      <c r="AT11" s="764">
        <v>17.871832668117925</v>
      </c>
      <c r="AU11" s="764">
        <v>17.864781934111612</v>
      </c>
      <c r="AV11" s="764">
        <v>17.857731200105299</v>
      </c>
      <c r="AW11" s="764">
        <v>17.850680466098986</v>
      </c>
      <c r="AX11" s="764">
        <v>17.843629732092673</v>
      </c>
      <c r="AY11" s="764">
        <v>17.83657899808636</v>
      </c>
      <c r="AZ11" s="765">
        <v>17.829528264080036</v>
      </c>
      <c r="BA11" s="764">
        <v>17.840854426840831</v>
      </c>
      <c r="BB11" s="764">
        <v>17.852180589601627</v>
      </c>
      <c r="BC11" s="764">
        <v>17.863506752362422</v>
      </c>
      <c r="BD11" s="764">
        <v>17.874832915123218</v>
      </c>
      <c r="BE11" s="764">
        <v>17.886159077884013</v>
      </c>
      <c r="BF11" s="764">
        <v>17.897485240644809</v>
      </c>
      <c r="BG11" s="764">
        <v>17.908811403405604</v>
      </c>
      <c r="BH11" s="764">
        <v>17.9201375661664</v>
      </c>
      <c r="BI11" s="764">
        <v>17.931463728927195</v>
      </c>
      <c r="BJ11" s="764">
        <v>17.94278989168799</v>
      </c>
      <c r="BK11" s="764">
        <v>17.954116054448786</v>
      </c>
      <c r="BL11" s="764">
        <v>17.965442217209581</v>
      </c>
      <c r="BM11" s="764">
        <v>17.976768379970377</v>
      </c>
      <c r="BN11" s="764">
        <v>17.988094542731172</v>
      </c>
      <c r="BO11" s="765">
        <v>17.999420705491971</v>
      </c>
      <c r="BP11" s="764">
        <v>18.010854791996724</v>
      </c>
      <c r="BQ11" s="764">
        <v>18.022288878501477</v>
      </c>
      <c r="BR11" s="764">
        <v>18.033722965006231</v>
      </c>
      <c r="BS11" s="764">
        <v>18.045157051510984</v>
      </c>
      <c r="BT11" s="766">
        <v>18.056591138015737</v>
      </c>
    </row>
    <row r="12" spans="1:72" x14ac:dyDescent="0.25">
      <c r="A12" s="768" t="s">
        <v>740</v>
      </c>
      <c r="B12" s="762"/>
      <c r="C12" s="762"/>
      <c r="D12" s="762"/>
      <c r="E12" s="762"/>
      <c r="F12" s="762"/>
      <c r="G12" s="762"/>
      <c r="H12" s="762"/>
      <c r="I12" s="762"/>
      <c r="J12" s="762"/>
      <c r="K12" s="762"/>
      <c r="L12" s="762"/>
      <c r="M12" s="762"/>
      <c r="N12" s="762"/>
      <c r="O12" s="762"/>
      <c r="P12" s="762"/>
      <c r="Q12" s="762"/>
      <c r="R12" s="762"/>
      <c r="S12" s="762"/>
      <c r="T12" s="762"/>
      <c r="U12" s="762"/>
      <c r="V12" s="762"/>
      <c r="W12" s="762"/>
      <c r="X12" s="762"/>
      <c r="Y12" s="762"/>
      <c r="Z12" s="762"/>
      <c r="AA12" s="762"/>
      <c r="AB12" s="762"/>
      <c r="AC12" s="762"/>
      <c r="AD12" s="762"/>
      <c r="AE12" s="762"/>
      <c r="AF12" s="762"/>
      <c r="AG12" s="762"/>
      <c r="AH12" s="762"/>
      <c r="AI12" s="762"/>
      <c r="AJ12" s="762"/>
      <c r="AK12" s="762"/>
      <c r="AL12" s="762"/>
      <c r="AM12" s="762"/>
      <c r="AN12" s="762"/>
      <c r="AO12" s="762"/>
      <c r="AP12" s="762"/>
      <c r="AQ12" s="762"/>
      <c r="AR12" s="762"/>
      <c r="AS12" s="762"/>
      <c r="AT12" s="762"/>
      <c r="AU12" s="762"/>
      <c r="AV12" s="762"/>
      <c r="AW12" s="762"/>
      <c r="AX12" s="762"/>
      <c r="AY12" s="762"/>
      <c r="AZ12" s="762"/>
      <c r="BA12" s="762"/>
      <c r="BB12" s="762"/>
      <c r="BC12" s="762"/>
      <c r="BD12" s="762"/>
      <c r="BE12" s="762"/>
      <c r="BF12" s="762"/>
      <c r="BG12" s="762"/>
      <c r="BH12" s="762"/>
      <c r="BI12" s="762"/>
      <c r="BJ12" s="762"/>
      <c r="BK12" s="762"/>
      <c r="BL12" s="762"/>
      <c r="BM12" s="762"/>
      <c r="BN12" s="762"/>
      <c r="BO12" s="762"/>
      <c r="BP12" s="762"/>
      <c r="BQ12" s="762"/>
      <c r="BR12" s="762"/>
      <c r="BS12" s="762"/>
      <c r="BT12" s="769"/>
    </row>
    <row r="13" spans="1:72" x14ac:dyDescent="0.25">
      <c r="A13" s="767" t="s">
        <v>1069</v>
      </c>
      <c r="B13" s="762" t="s">
        <v>736</v>
      </c>
      <c r="C13" s="763">
        <v>1.3268491834774256</v>
      </c>
      <c r="D13" s="763">
        <v>1.32388562245189</v>
      </c>
      <c r="E13" s="763">
        <v>1.3334961719108085</v>
      </c>
      <c r="F13" s="763">
        <v>1.3380821099821107</v>
      </c>
      <c r="G13" s="763">
        <v>1.3443425871291239</v>
      </c>
      <c r="H13" s="763">
        <v>1.3528785733681756</v>
      </c>
      <c r="I13" s="763">
        <v>1.3415886383011697</v>
      </c>
      <c r="J13" s="763">
        <v>1.3403624656065469</v>
      </c>
      <c r="K13" s="763">
        <v>1.330997225248586</v>
      </c>
      <c r="L13" s="763">
        <v>1.3164209684110997</v>
      </c>
      <c r="M13" s="763">
        <v>1.3072140481112184</v>
      </c>
      <c r="N13" s="763">
        <v>1.3019573002491378</v>
      </c>
      <c r="O13" s="763">
        <v>1.2978333982656636</v>
      </c>
      <c r="P13" s="763">
        <v>1.295833644439585</v>
      </c>
      <c r="Q13" s="763">
        <v>1.2953486183904279</v>
      </c>
      <c r="R13" s="763">
        <v>1.2970626753456174</v>
      </c>
      <c r="S13" s="763">
        <v>1.2955796364343368</v>
      </c>
      <c r="T13" s="763">
        <v>1.3002382724914889</v>
      </c>
      <c r="U13" s="763">
        <v>1.3044509032987155</v>
      </c>
      <c r="V13" s="763">
        <v>1.3304805103337984</v>
      </c>
      <c r="W13" s="763">
        <v>1.3397570218680066</v>
      </c>
      <c r="X13" s="763">
        <v>1.3519914094007222</v>
      </c>
      <c r="Y13" s="763">
        <v>1.3569265463442153</v>
      </c>
      <c r="Z13" s="763">
        <v>1.3726611244228613</v>
      </c>
      <c r="AA13" s="763">
        <v>1.3854931266802686</v>
      </c>
      <c r="AB13" s="764">
        <v>1.3951349014789893</v>
      </c>
      <c r="AC13" s="764">
        <v>1.4047766762777101</v>
      </c>
      <c r="AD13" s="764">
        <v>1.4144184510764308</v>
      </c>
      <c r="AE13" s="764">
        <v>1.4240602258751516</v>
      </c>
      <c r="AF13" s="764">
        <v>1.4337020006738723</v>
      </c>
      <c r="AG13" s="764">
        <v>1.4433437754725931</v>
      </c>
      <c r="AH13" s="764">
        <v>1.4529855502713138</v>
      </c>
      <c r="AI13" s="764">
        <v>1.4626273250700346</v>
      </c>
      <c r="AJ13" s="764">
        <v>1.4722690998687553</v>
      </c>
      <c r="AK13" s="764">
        <v>1.481910874667477</v>
      </c>
      <c r="AL13" s="764">
        <v>1.4862555877963981</v>
      </c>
      <c r="AM13" s="764">
        <v>1.4906003009253193</v>
      </c>
      <c r="AN13" s="764">
        <v>1.4949450140542404</v>
      </c>
      <c r="AO13" s="764">
        <v>1.4992897271831616</v>
      </c>
      <c r="AP13" s="764">
        <v>1.5036344403120827</v>
      </c>
      <c r="AQ13" s="764">
        <v>1.5079791534410039</v>
      </c>
      <c r="AR13" s="764">
        <v>1.512323866569925</v>
      </c>
      <c r="AS13" s="764">
        <v>1.5166685796988462</v>
      </c>
      <c r="AT13" s="764">
        <v>1.5210132928277673</v>
      </c>
      <c r="AU13" s="764">
        <v>1.5253580059566885</v>
      </c>
      <c r="AV13" s="764">
        <v>1.5297027190856096</v>
      </c>
      <c r="AW13" s="764">
        <v>1.5340474322145308</v>
      </c>
      <c r="AX13" s="764">
        <v>1.5383921453434519</v>
      </c>
      <c r="AY13" s="764">
        <v>1.5427368584723731</v>
      </c>
      <c r="AZ13" s="765">
        <v>1.5470815716012942</v>
      </c>
      <c r="BA13" s="764">
        <v>1.5500157274134729</v>
      </c>
      <c r="BB13" s="764">
        <v>1.5529498832256516</v>
      </c>
      <c r="BC13" s="764">
        <v>1.5558840390378303</v>
      </c>
      <c r="BD13" s="764">
        <v>1.5588181948500091</v>
      </c>
      <c r="BE13" s="764">
        <v>1.5617523506621878</v>
      </c>
      <c r="BF13" s="764">
        <v>1.5646865064743665</v>
      </c>
      <c r="BG13" s="764">
        <v>1.5676206622865452</v>
      </c>
      <c r="BH13" s="764">
        <v>1.5705548180987239</v>
      </c>
      <c r="BI13" s="764">
        <v>1.5734889739109026</v>
      </c>
      <c r="BJ13" s="764">
        <v>1.5764231297230813</v>
      </c>
      <c r="BK13" s="764">
        <v>1.57935728553526</v>
      </c>
      <c r="BL13" s="764">
        <v>1.5822914413474387</v>
      </c>
      <c r="BM13" s="764">
        <v>1.5852255971596174</v>
      </c>
      <c r="BN13" s="764">
        <v>1.5881597529717961</v>
      </c>
      <c r="BO13" s="765">
        <v>1.5910939087839742</v>
      </c>
      <c r="BP13" s="764">
        <v>1.5941115372826113</v>
      </c>
      <c r="BQ13" s="764">
        <v>1.5971291657812485</v>
      </c>
      <c r="BR13" s="764">
        <v>1.6001467942798857</v>
      </c>
      <c r="BS13" s="764">
        <v>1.6031644227785229</v>
      </c>
      <c r="BT13" s="766">
        <v>1.6061820512771605</v>
      </c>
    </row>
    <row r="14" spans="1:72" x14ac:dyDescent="0.25">
      <c r="A14" s="1670" t="s">
        <v>741</v>
      </c>
      <c r="B14" s="1671"/>
      <c r="C14" s="1671"/>
      <c r="D14" s="1671"/>
      <c r="E14" s="1671"/>
      <c r="F14" s="1671"/>
      <c r="G14" s="1671"/>
      <c r="H14" s="1671"/>
      <c r="I14" s="1671"/>
      <c r="J14" s="1671"/>
      <c r="K14" s="1671"/>
      <c r="L14" s="1671"/>
      <c r="M14" s="1671"/>
      <c r="N14" s="1671"/>
      <c r="O14" s="1671"/>
      <c r="P14" s="1671"/>
      <c r="Q14" s="1671"/>
      <c r="R14" s="1671"/>
      <c r="S14" s="1671"/>
      <c r="T14" s="1671"/>
      <c r="U14" s="1671"/>
      <c r="V14" s="1671"/>
      <c r="W14" s="1671"/>
      <c r="X14" s="1671"/>
      <c r="Y14" s="1671"/>
      <c r="Z14" s="1671"/>
      <c r="AA14" s="1671"/>
      <c r="AB14" s="1671"/>
      <c r="AC14" s="1671"/>
      <c r="AD14" s="1671"/>
      <c r="AE14" s="1671"/>
      <c r="AF14" s="1671"/>
      <c r="AG14" s="1671"/>
      <c r="AH14" s="1671"/>
      <c r="AI14" s="1671"/>
      <c r="AJ14" s="1671"/>
      <c r="AK14" s="1671"/>
      <c r="AL14" s="1671"/>
      <c r="AM14" s="1671"/>
      <c r="AN14" s="1671"/>
      <c r="AO14" s="1671"/>
      <c r="AP14" s="1671"/>
      <c r="AQ14" s="1671"/>
      <c r="AR14" s="1671"/>
      <c r="AS14" s="1671"/>
      <c r="AT14" s="1671"/>
      <c r="AU14" s="1671"/>
      <c r="AV14" s="1671"/>
      <c r="AW14" s="1671"/>
      <c r="AX14" s="1671"/>
      <c r="AY14" s="1671"/>
      <c r="AZ14" s="1671"/>
      <c r="BA14" s="1671"/>
      <c r="BB14" s="1671"/>
      <c r="BC14" s="1671"/>
      <c r="BD14" s="1671"/>
      <c r="BE14" s="1671"/>
      <c r="BF14" s="1671"/>
      <c r="BG14" s="1671"/>
      <c r="BH14" s="1671"/>
      <c r="BI14" s="1671"/>
      <c r="BJ14" s="1671"/>
      <c r="BK14" s="1671"/>
      <c r="BL14" s="1671"/>
      <c r="BM14" s="1671"/>
      <c r="BN14" s="1671"/>
      <c r="BO14" s="1671"/>
      <c r="BP14" s="1671"/>
      <c r="BQ14" s="1671"/>
      <c r="BR14" s="1671"/>
      <c r="BS14" s="1671"/>
      <c r="BT14" s="1672"/>
    </row>
    <row r="15" spans="1:72" ht="23.4" x14ac:dyDescent="0.25">
      <c r="A15" s="761" t="s">
        <v>742</v>
      </c>
      <c r="B15" s="762" t="s">
        <v>736</v>
      </c>
      <c r="C15" s="763">
        <v>10.789461735918687</v>
      </c>
      <c r="D15" s="763">
        <v>9.9590971559848445</v>
      </c>
      <c r="E15" s="763">
        <v>11.383831536994775</v>
      </c>
      <c r="F15" s="763">
        <v>12.531178240506115</v>
      </c>
      <c r="G15" s="763">
        <v>12.036300060884058</v>
      </c>
      <c r="H15" s="763">
        <v>12.613383383121093</v>
      </c>
      <c r="I15" s="763">
        <v>13.01890940036416</v>
      </c>
      <c r="J15" s="763">
        <v>12.908589399085846</v>
      </c>
      <c r="K15" s="763">
        <v>12.946875513724528</v>
      </c>
      <c r="L15" s="763">
        <v>13.039098811599491</v>
      </c>
      <c r="M15" s="763">
        <v>13.088955960183741</v>
      </c>
      <c r="N15" s="763">
        <v>13.133508268392355</v>
      </c>
      <c r="O15" s="763">
        <v>13.038477461293056</v>
      </c>
      <c r="P15" s="763">
        <v>12.989168095138872</v>
      </c>
      <c r="Q15" s="763">
        <v>12.752903866318045</v>
      </c>
      <c r="R15" s="763">
        <v>12.539506322932722</v>
      </c>
      <c r="S15" s="763">
        <v>12.335074118848111</v>
      </c>
      <c r="T15" s="763">
        <v>12.292193988584152</v>
      </c>
      <c r="U15" s="763">
        <v>12.304560350921868</v>
      </c>
      <c r="V15" s="763">
        <v>12.340337204483362</v>
      </c>
      <c r="W15" s="763">
        <v>12.418707870087554</v>
      </c>
      <c r="X15" s="763">
        <v>12.438495640484758</v>
      </c>
      <c r="Y15" s="763">
        <v>12.492141534697302</v>
      </c>
      <c r="Z15" s="763">
        <v>12.624332072599859</v>
      </c>
      <c r="AA15" s="763">
        <v>13.025979869770596</v>
      </c>
      <c r="AB15" s="763">
        <v>13.053872203635709</v>
      </c>
      <c r="AC15" s="763">
        <v>13.081764537500822</v>
      </c>
      <c r="AD15" s="763">
        <v>13.109656871365935</v>
      </c>
      <c r="AE15" s="763">
        <v>13.137549205231048</v>
      </c>
      <c r="AF15" s="763">
        <v>13.165441539096161</v>
      </c>
      <c r="AG15" s="763">
        <v>13.193333872961274</v>
      </c>
      <c r="AH15" s="763">
        <v>13.221226206826387</v>
      </c>
      <c r="AI15" s="763">
        <v>13.2491185406915</v>
      </c>
      <c r="AJ15" s="763">
        <v>13.277010874556613</v>
      </c>
      <c r="AK15" s="763">
        <v>13.304903208421727</v>
      </c>
      <c r="AL15" s="763">
        <v>13.445726499778688</v>
      </c>
      <c r="AM15" s="763">
        <v>13.586549791135649</v>
      </c>
      <c r="AN15" s="763">
        <v>13.72737308249261</v>
      </c>
      <c r="AO15" s="763">
        <v>13.868196373849571</v>
      </c>
      <c r="AP15" s="763">
        <v>14.009019665206532</v>
      </c>
      <c r="AQ15" s="763">
        <v>14.149842956563493</v>
      </c>
      <c r="AR15" s="763">
        <v>14.290666247920454</v>
      </c>
      <c r="AS15" s="763">
        <v>14.431489539277415</v>
      </c>
      <c r="AT15" s="763">
        <v>14.572312830634376</v>
      </c>
      <c r="AU15" s="763">
        <v>14.713136121991337</v>
      </c>
      <c r="AV15" s="763">
        <v>14.853959413348298</v>
      </c>
      <c r="AW15" s="763">
        <v>14.994782704705258</v>
      </c>
      <c r="AX15" s="763">
        <v>15.135605996062219</v>
      </c>
      <c r="AY15" s="763">
        <v>15.27642928741918</v>
      </c>
      <c r="AZ15" s="763">
        <v>15.417252578776129</v>
      </c>
      <c r="BA15" s="763">
        <v>15.505038084680947</v>
      </c>
      <c r="BB15" s="763">
        <v>15.592823590585766</v>
      </c>
      <c r="BC15" s="763">
        <v>15.680609096490585</v>
      </c>
      <c r="BD15" s="763">
        <v>15.768394602395404</v>
      </c>
      <c r="BE15" s="763">
        <v>15.856180108300222</v>
      </c>
      <c r="BF15" s="763">
        <v>15.943965614205041</v>
      </c>
      <c r="BG15" s="763">
        <v>16.03175112010986</v>
      </c>
      <c r="BH15" s="763">
        <v>16.119536626014678</v>
      </c>
      <c r="BI15" s="763">
        <v>16.207322131919497</v>
      </c>
      <c r="BJ15" s="763">
        <v>16.295107637824316</v>
      </c>
      <c r="BK15" s="763">
        <v>16.382893143729135</v>
      </c>
      <c r="BL15" s="763">
        <v>16.470678649633953</v>
      </c>
      <c r="BM15" s="763">
        <v>16.558464155538772</v>
      </c>
      <c r="BN15" s="763">
        <v>16.646249661443591</v>
      </c>
      <c r="BO15" s="763">
        <v>16.734035167348416</v>
      </c>
      <c r="BP15" s="763">
        <v>16.829318405103567</v>
      </c>
      <c r="BQ15" s="763">
        <v>16.924601642858718</v>
      </c>
      <c r="BR15" s="763">
        <v>17.019884880613869</v>
      </c>
      <c r="BS15" s="763">
        <v>17.11516811836902</v>
      </c>
      <c r="BT15" s="770">
        <v>17.210451356124164</v>
      </c>
    </row>
    <row r="16" spans="1:72" x14ac:dyDescent="0.25">
      <c r="A16" s="767" t="s">
        <v>743</v>
      </c>
      <c r="B16" s="762" t="s">
        <v>736</v>
      </c>
      <c r="C16" s="763">
        <v>12.730520250245322</v>
      </c>
      <c r="D16" s="763">
        <v>11.801320287416596</v>
      </c>
      <c r="E16" s="763">
        <v>13.477350603859424</v>
      </c>
      <c r="F16" s="763">
        <v>15.275134761378448</v>
      </c>
      <c r="G16" s="763">
        <v>14.956036086352325</v>
      </c>
      <c r="H16" s="763">
        <v>15.333911517881027</v>
      </c>
      <c r="I16" s="763">
        <v>14.969645149302909</v>
      </c>
      <c r="J16" s="763">
        <v>14.856007634468792</v>
      </c>
      <c r="K16" s="763">
        <v>14.855665643260203</v>
      </c>
      <c r="L16" s="763">
        <v>14.676357863084307</v>
      </c>
      <c r="M16" s="763">
        <v>14.660823111264261</v>
      </c>
      <c r="N16" s="763">
        <v>14.621396694543213</v>
      </c>
      <c r="O16" s="763">
        <v>14.496914877081778</v>
      </c>
      <c r="P16" s="763">
        <v>14.525867813038341</v>
      </c>
      <c r="Q16" s="763">
        <v>14.406443289990676</v>
      </c>
      <c r="R16" s="763">
        <v>14.511791494657368</v>
      </c>
      <c r="S16" s="763">
        <v>14.408484301477108</v>
      </c>
      <c r="T16" s="763">
        <v>14.421367627269808</v>
      </c>
      <c r="U16" s="763">
        <v>14.483474821414545</v>
      </c>
      <c r="V16" s="763">
        <v>14.423047758498246</v>
      </c>
      <c r="W16" s="763">
        <v>14.678410804496627</v>
      </c>
      <c r="X16" s="763">
        <v>14.842794247393387</v>
      </c>
      <c r="Y16" s="763">
        <v>14.985196801851416</v>
      </c>
      <c r="Z16" s="763">
        <v>15.125157698145465</v>
      </c>
      <c r="AA16" s="763">
        <v>15.225733932459173</v>
      </c>
      <c r="AB16" s="764">
        <v>15.312322281050708</v>
      </c>
      <c r="AC16" s="764">
        <v>15.398910629642243</v>
      </c>
      <c r="AD16" s="764">
        <v>15.485498978233778</v>
      </c>
      <c r="AE16" s="764">
        <v>15.572087326825313</v>
      </c>
      <c r="AF16" s="764">
        <v>15.658675675416848</v>
      </c>
      <c r="AG16" s="764">
        <v>15.745264024008383</v>
      </c>
      <c r="AH16" s="764">
        <v>15.831852372599919</v>
      </c>
      <c r="AI16" s="764">
        <v>15.918440721191454</v>
      </c>
      <c r="AJ16" s="764">
        <v>16.005029069782989</v>
      </c>
      <c r="AK16" s="764">
        <v>16.091617418374518</v>
      </c>
      <c r="AL16" s="764">
        <v>16.26193617174043</v>
      </c>
      <c r="AM16" s="764">
        <v>16.432254925106342</v>
      </c>
      <c r="AN16" s="764">
        <v>16.602573678472254</v>
      </c>
      <c r="AO16" s="764">
        <v>16.772892431838166</v>
      </c>
      <c r="AP16" s="764">
        <v>16.943211185204078</v>
      </c>
      <c r="AQ16" s="764">
        <v>17.113529938569989</v>
      </c>
      <c r="AR16" s="764">
        <v>17.283848691935901</v>
      </c>
      <c r="AS16" s="764">
        <v>17.454167445301813</v>
      </c>
      <c r="AT16" s="764">
        <v>17.624486198667725</v>
      </c>
      <c r="AU16" s="764">
        <v>17.794804952033637</v>
      </c>
      <c r="AV16" s="764">
        <v>17.965123705399549</v>
      </c>
      <c r="AW16" s="764">
        <v>18.135442458765461</v>
      </c>
      <c r="AX16" s="764">
        <v>18.305761212131372</v>
      </c>
      <c r="AY16" s="764">
        <v>18.476079965497284</v>
      </c>
      <c r="AZ16" s="763">
        <v>18.646398718863171</v>
      </c>
      <c r="BA16" s="764">
        <v>18.752570913712709</v>
      </c>
      <c r="BB16" s="764">
        <v>18.858743108562248</v>
      </c>
      <c r="BC16" s="764">
        <v>18.964915303411786</v>
      </c>
      <c r="BD16" s="764">
        <v>19.071087498261324</v>
      </c>
      <c r="BE16" s="764">
        <v>19.177259693110862</v>
      </c>
      <c r="BF16" s="764">
        <v>19.283431887960401</v>
      </c>
      <c r="BG16" s="764">
        <v>19.389604082809939</v>
      </c>
      <c r="BH16" s="764">
        <v>19.495776277659477</v>
      </c>
      <c r="BI16" s="764">
        <v>19.601948472509015</v>
      </c>
      <c r="BJ16" s="764">
        <v>19.708120667358553</v>
      </c>
      <c r="BK16" s="764">
        <v>19.814292862208092</v>
      </c>
      <c r="BL16" s="764">
        <v>19.92046505705763</v>
      </c>
      <c r="BM16" s="764">
        <v>20.026637251907168</v>
      </c>
      <c r="BN16" s="764">
        <v>20.132809446756706</v>
      </c>
      <c r="BO16" s="763">
        <v>20.238981641606255</v>
      </c>
      <c r="BP16" s="764">
        <v>20.354221969500514</v>
      </c>
      <c r="BQ16" s="764">
        <v>20.469462297394774</v>
      </c>
      <c r="BR16" s="764">
        <v>20.584702625289033</v>
      </c>
      <c r="BS16" s="764">
        <v>20.699942953183292</v>
      </c>
      <c r="BT16" s="770">
        <v>20.815183281077545</v>
      </c>
    </row>
    <row r="17" spans="1:72" x14ac:dyDescent="0.25">
      <c r="A17" s="767" t="s">
        <v>311</v>
      </c>
      <c r="B17" s="762" t="s">
        <v>736</v>
      </c>
      <c r="C17" s="763">
        <v>15.730049999999999</v>
      </c>
      <c r="D17" s="763">
        <v>15.730049999999999</v>
      </c>
      <c r="E17" s="763">
        <v>15.730049999999999</v>
      </c>
      <c r="F17" s="763">
        <v>15.730049999999999</v>
      </c>
      <c r="G17" s="763">
        <v>15.730049999999999</v>
      </c>
      <c r="H17" s="763">
        <v>15.730049999999999</v>
      </c>
      <c r="I17" s="763">
        <v>15.730049999999999</v>
      </c>
      <c r="J17" s="763">
        <v>15.730049999999999</v>
      </c>
      <c r="K17" s="763">
        <v>15.730049999999999</v>
      </c>
      <c r="L17" s="763">
        <v>15.730049999999999</v>
      </c>
      <c r="M17" s="763">
        <v>15.730049999999999</v>
      </c>
      <c r="N17" s="763">
        <v>15.730049999999999</v>
      </c>
      <c r="O17" s="763">
        <v>15.730049999999999</v>
      </c>
      <c r="P17" s="763">
        <v>15.730049999999999</v>
      </c>
      <c r="Q17" s="763">
        <v>15.730049999999999</v>
      </c>
      <c r="R17" s="763">
        <v>15.730049999999999</v>
      </c>
      <c r="S17" s="763">
        <v>15.730049999999999</v>
      </c>
      <c r="T17" s="763">
        <v>15.730049999999999</v>
      </c>
      <c r="U17" s="763">
        <v>15.730049999999999</v>
      </c>
      <c r="V17" s="763">
        <v>15.730049999999999</v>
      </c>
      <c r="W17" s="763">
        <v>15.730049999999999</v>
      </c>
      <c r="X17" s="763">
        <v>15.730049999999999</v>
      </c>
      <c r="Y17" s="763">
        <v>15.730049999999999</v>
      </c>
      <c r="Z17" s="763">
        <v>15.730049999999999</v>
      </c>
      <c r="AA17" s="763">
        <v>15.730049999999999</v>
      </c>
      <c r="AB17" s="763">
        <v>15.730049999999999</v>
      </c>
      <c r="AC17" s="763">
        <v>15.730049999999999</v>
      </c>
      <c r="AD17" s="763">
        <v>15.730049999999999</v>
      </c>
      <c r="AE17" s="763">
        <v>15.730049999999999</v>
      </c>
      <c r="AF17" s="763">
        <v>15.730049999999999</v>
      </c>
      <c r="AG17" s="763">
        <v>15.730049999999999</v>
      </c>
      <c r="AH17" s="763">
        <v>15.730049999999999</v>
      </c>
      <c r="AI17" s="763">
        <v>15.730049999999999</v>
      </c>
      <c r="AJ17" s="763">
        <v>15.730049999999999</v>
      </c>
      <c r="AK17" s="763">
        <v>15.730049999999999</v>
      </c>
      <c r="AL17" s="763">
        <v>15.730049999999999</v>
      </c>
      <c r="AM17" s="763">
        <v>15.730049999999999</v>
      </c>
      <c r="AN17" s="763">
        <v>15.730049999999999</v>
      </c>
      <c r="AO17" s="763">
        <v>15.730049999999999</v>
      </c>
      <c r="AP17" s="763">
        <v>15.730049999999999</v>
      </c>
      <c r="AQ17" s="763">
        <v>15.730049999999999</v>
      </c>
      <c r="AR17" s="763">
        <v>15.730049999999999</v>
      </c>
      <c r="AS17" s="763">
        <v>15.730049999999999</v>
      </c>
      <c r="AT17" s="763">
        <v>15.730049999999999</v>
      </c>
      <c r="AU17" s="763">
        <v>15.730049999999999</v>
      </c>
      <c r="AV17" s="763">
        <v>15.730049999999999</v>
      </c>
      <c r="AW17" s="763">
        <v>15.730049999999999</v>
      </c>
      <c r="AX17" s="763">
        <v>15.730049999999999</v>
      </c>
      <c r="AY17" s="763">
        <v>15.730049999999999</v>
      </c>
      <c r="AZ17" s="763">
        <v>15.730049999999999</v>
      </c>
      <c r="BA17" s="763">
        <v>15.730049999999999</v>
      </c>
      <c r="BB17" s="763">
        <v>15.730049999999999</v>
      </c>
      <c r="BC17" s="763">
        <v>15.730049999999999</v>
      </c>
      <c r="BD17" s="763">
        <v>15.730049999999999</v>
      </c>
      <c r="BE17" s="763">
        <v>15.730049999999999</v>
      </c>
      <c r="BF17" s="763">
        <v>15.730049999999999</v>
      </c>
      <c r="BG17" s="763">
        <v>15.730049999999999</v>
      </c>
      <c r="BH17" s="763">
        <v>15.730049999999999</v>
      </c>
      <c r="BI17" s="763">
        <v>15.730049999999999</v>
      </c>
      <c r="BJ17" s="763">
        <v>15.730049999999999</v>
      </c>
      <c r="BK17" s="763">
        <v>15.730049999999999</v>
      </c>
      <c r="BL17" s="763">
        <v>15.730049999999999</v>
      </c>
      <c r="BM17" s="763">
        <v>15.730049999999999</v>
      </c>
      <c r="BN17" s="763">
        <v>15.730049999999999</v>
      </c>
      <c r="BO17" s="763">
        <v>15.730049999999999</v>
      </c>
      <c r="BP17" s="763">
        <v>15.730049999999999</v>
      </c>
      <c r="BQ17" s="763">
        <v>15.730049999999999</v>
      </c>
      <c r="BR17" s="763">
        <v>15.730049999999999</v>
      </c>
      <c r="BS17" s="763">
        <v>15.730049999999999</v>
      </c>
      <c r="BT17" s="770">
        <v>15.730049999999999</v>
      </c>
    </row>
    <row r="18" spans="1:72" x14ac:dyDescent="0.25">
      <c r="A18" s="761" t="s">
        <v>310</v>
      </c>
      <c r="B18" s="762" t="s">
        <v>736</v>
      </c>
      <c r="C18" s="763">
        <v>8.7353999999999985</v>
      </c>
      <c r="D18" s="763">
        <v>8.7353999999999985</v>
      </c>
      <c r="E18" s="763">
        <v>8.7353999999999985</v>
      </c>
      <c r="F18" s="763">
        <v>8.7353999999999985</v>
      </c>
      <c r="G18" s="763">
        <v>8.7353999999999985</v>
      </c>
      <c r="H18" s="763">
        <v>8.7353999999999985</v>
      </c>
      <c r="I18" s="763">
        <v>8.7353999999999985</v>
      </c>
      <c r="J18" s="763">
        <v>8.7353999999999985</v>
      </c>
      <c r="K18" s="763">
        <v>8.7353999999999985</v>
      </c>
      <c r="L18" s="763">
        <v>8.7353999999999985</v>
      </c>
      <c r="M18" s="763">
        <v>8.7353999999999985</v>
      </c>
      <c r="N18" s="763">
        <v>8.7353999999999985</v>
      </c>
      <c r="O18" s="763">
        <v>8.7353999999999985</v>
      </c>
      <c r="P18" s="763">
        <v>8.7353999999999985</v>
      </c>
      <c r="Q18" s="763">
        <v>8.7353999999999985</v>
      </c>
      <c r="R18" s="763">
        <v>8.7353999999999985</v>
      </c>
      <c r="S18" s="763">
        <v>8.7353999999999985</v>
      </c>
      <c r="T18" s="763">
        <v>8.7353999999999985</v>
      </c>
      <c r="U18" s="763">
        <v>8.7353999999999985</v>
      </c>
      <c r="V18" s="763">
        <v>8.7353999999999985</v>
      </c>
      <c r="W18" s="763">
        <v>8.7353999999999985</v>
      </c>
      <c r="X18" s="763">
        <v>8.7353999999999985</v>
      </c>
      <c r="Y18" s="763">
        <v>8.7353999999999985</v>
      </c>
      <c r="Z18" s="763">
        <v>8.7353999999999985</v>
      </c>
      <c r="AA18" s="763">
        <v>8.7353999999999985</v>
      </c>
      <c r="AB18" s="763">
        <v>8.7353999999999985</v>
      </c>
      <c r="AC18" s="763">
        <v>8.7353999999999985</v>
      </c>
      <c r="AD18" s="763">
        <v>8.7353999999999985</v>
      </c>
      <c r="AE18" s="763">
        <v>8.7353999999999985</v>
      </c>
      <c r="AF18" s="763">
        <v>8.7353999999999985</v>
      </c>
      <c r="AG18" s="763">
        <v>8.7353999999999985</v>
      </c>
      <c r="AH18" s="763">
        <v>8.7353999999999985</v>
      </c>
      <c r="AI18" s="763">
        <v>8.7353999999999985</v>
      </c>
      <c r="AJ18" s="763">
        <v>8.7353999999999985</v>
      </c>
      <c r="AK18" s="763">
        <v>8.7353999999999985</v>
      </c>
      <c r="AL18" s="763">
        <v>8.7353999999999985</v>
      </c>
      <c r="AM18" s="763">
        <v>8.7353999999999985</v>
      </c>
      <c r="AN18" s="763">
        <v>8.7353999999999985</v>
      </c>
      <c r="AO18" s="763">
        <v>8.7353999999999985</v>
      </c>
      <c r="AP18" s="763">
        <v>8.7353999999999985</v>
      </c>
      <c r="AQ18" s="763">
        <v>8.7353999999999985</v>
      </c>
      <c r="AR18" s="763">
        <v>8.7353999999999985</v>
      </c>
      <c r="AS18" s="763">
        <v>8.7353999999999985</v>
      </c>
      <c r="AT18" s="763">
        <v>8.7353999999999985</v>
      </c>
      <c r="AU18" s="763">
        <v>8.7353999999999985</v>
      </c>
      <c r="AV18" s="763">
        <v>8.7353999999999985</v>
      </c>
      <c r="AW18" s="763">
        <v>8.7353999999999985</v>
      </c>
      <c r="AX18" s="763">
        <v>8.7353999999999985</v>
      </c>
      <c r="AY18" s="763">
        <v>8.7353999999999985</v>
      </c>
      <c r="AZ18" s="763">
        <v>8.7353999999999985</v>
      </c>
      <c r="BA18" s="763">
        <v>8.7353999999999985</v>
      </c>
      <c r="BB18" s="763">
        <v>8.7353999999999985</v>
      </c>
      <c r="BC18" s="763">
        <v>8.7353999999999985</v>
      </c>
      <c r="BD18" s="763">
        <v>8.7353999999999985</v>
      </c>
      <c r="BE18" s="763">
        <v>8.7353999999999985</v>
      </c>
      <c r="BF18" s="763">
        <v>8.7353999999999985</v>
      </c>
      <c r="BG18" s="763">
        <v>8.7353999999999985</v>
      </c>
      <c r="BH18" s="763">
        <v>8.7353999999999985</v>
      </c>
      <c r="BI18" s="763">
        <v>8.7353999999999985</v>
      </c>
      <c r="BJ18" s="763">
        <v>8.7353999999999985</v>
      </c>
      <c r="BK18" s="763">
        <v>8.7353999999999985</v>
      </c>
      <c r="BL18" s="763">
        <v>8.7353999999999985</v>
      </c>
      <c r="BM18" s="763">
        <v>8.7353999999999985</v>
      </c>
      <c r="BN18" s="763">
        <v>8.7353999999999985</v>
      </c>
      <c r="BO18" s="763">
        <v>8.7353999999999985</v>
      </c>
      <c r="BP18" s="763">
        <v>8.7353999999999985</v>
      </c>
      <c r="BQ18" s="763">
        <v>8.7353999999999985</v>
      </c>
      <c r="BR18" s="763">
        <v>8.7353999999999985</v>
      </c>
      <c r="BS18" s="763">
        <v>8.7353999999999985</v>
      </c>
      <c r="BT18" s="770">
        <v>8.7353999999999985</v>
      </c>
    </row>
    <row r="19" spans="1:72" x14ac:dyDescent="0.25">
      <c r="A19" s="1670" t="s">
        <v>744</v>
      </c>
      <c r="B19" s="1671"/>
      <c r="C19" s="1671"/>
      <c r="D19" s="1671"/>
      <c r="E19" s="1671"/>
      <c r="F19" s="1671"/>
      <c r="G19" s="1671"/>
      <c r="H19" s="1671"/>
      <c r="I19" s="1671"/>
      <c r="J19" s="1671"/>
      <c r="K19" s="1671"/>
      <c r="L19" s="1671"/>
      <c r="M19" s="1671"/>
      <c r="N19" s="1671"/>
      <c r="O19" s="1671"/>
      <c r="P19" s="1671"/>
      <c r="Q19" s="1671"/>
      <c r="R19" s="1671"/>
      <c r="S19" s="1671"/>
      <c r="T19" s="1671"/>
      <c r="U19" s="1671"/>
      <c r="V19" s="1671"/>
      <c r="W19" s="1671"/>
      <c r="X19" s="1671"/>
      <c r="Y19" s="1671"/>
      <c r="Z19" s="1671"/>
      <c r="AA19" s="1671"/>
      <c r="AB19" s="1671"/>
      <c r="AC19" s="1671"/>
      <c r="AD19" s="1671"/>
      <c r="AE19" s="1671"/>
      <c r="AF19" s="1671"/>
      <c r="AG19" s="1671"/>
      <c r="AH19" s="1671"/>
      <c r="AI19" s="1671"/>
      <c r="AJ19" s="1671"/>
      <c r="AK19" s="1671"/>
      <c r="AL19" s="1671"/>
      <c r="AM19" s="1671"/>
      <c r="AN19" s="1671"/>
      <c r="AO19" s="1671"/>
      <c r="AP19" s="1671"/>
      <c r="AQ19" s="1671"/>
      <c r="AR19" s="1671"/>
      <c r="AS19" s="1671"/>
      <c r="AT19" s="1671"/>
      <c r="AU19" s="1671"/>
      <c r="AV19" s="1671"/>
      <c r="AW19" s="1671"/>
      <c r="AX19" s="1671"/>
      <c r="AY19" s="1671"/>
      <c r="AZ19" s="1671"/>
      <c r="BA19" s="1671"/>
      <c r="BB19" s="1671"/>
      <c r="BC19" s="1671"/>
      <c r="BD19" s="1671"/>
      <c r="BE19" s="1671"/>
      <c r="BF19" s="1671"/>
      <c r="BG19" s="1671"/>
      <c r="BH19" s="1671"/>
      <c r="BI19" s="1671"/>
      <c r="BJ19" s="1671"/>
      <c r="BK19" s="1671"/>
      <c r="BL19" s="1671"/>
      <c r="BM19" s="1671"/>
      <c r="BN19" s="1671"/>
      <c r="BO19" s="1671"/>
      <c r="BP19" s="1671"/>
      <c r="BQ19" s="1671"/>
      <c r="BR19" s="1671"/>
      <c r="BS19" s="1671"/>
      <c r="BT19" s="1672"/>
    </row>
    <row r="20" spans="1:72" ht="24" thickBot="1" x14ac:dyDescent="0.3">
      <c r="A20" s="771" t="s">
        <v>745</v>
      </c>
      <c r="B20" s="772" t="s">
        <v>736</v>
      </c>
      <c r="C20" s="773">
        <v>1.2696286520685174</v>
      </c>
      <c r="D20" s="773">
        <v>1.2696286520685174</v>
      </c>
      <c r="E20" s="773">
        <v>1.2696286520685174</v>
      </c>
      <c r="F20" s="773">
        <v>1.2696286520685174</v>
      </c>
      <c r="G20" s="773">
        <v>1.2696286520685174</v>
      </c>
      <c r="H20" s="773">
        <v>1.2696286520685174</v>
      </c>
      <c r="I20" s="773">
        <v>1.2696286520685174</v>
      </c>
      <c r="J20" s="773">
        <v>1.2696286520685174</v>
      </c>
      <c r="K20" s="773">
        <v>1.2696286520685174</v>
      </c>
      <c r="L20" s="773">
        <v>1.2696286520685174</v>
      </c>
      <c r="M20" s="773">
        <v>1.2716814065585227</v>
      </c>
      <c r="N20" s="773">
        <v>1.2809188017635484</v>
      </c>
      <c r="O20" s="773">
        <v>1.3178683825836508</v>
      </c>
      <c r="P20" s="773">
        <v>1.3209475143186591</v>
      </c>
      <c r="Q20" s="773">
        <v>1.3435278137087219</v>
      </c>
      <c r="R20" s="773">
        <v>1.3466069454437304</v>
      </c>
      <c r="S20" s="773">
        <v>1.3630289813637759</v>
      </c>
      <c r="T20" s="773">
        <v>1.3578970951387617</v>
      </c>
      <c r="U20" s="773">
        <v>1.383556526263833</v>
      </c>
      <c r="V20" s="773">
        <v>1.4030576939188868</v>
      </c>
      <c r="W20" s="773">
        <v>1.460534819639046</v>
      </c>
      <c r="X20" s="773">
        <v>1.4800359872941</v>
      </c>
      <c r="Y20" s="773">
        <v>1.4861942507641173</v>
      </c>
      <c r="Z20" s="773">
        <v>1.5118536818891883</v>
      </c>
      <c r="AA20" s="773">
        <v>1.5262229633192279</v>
      </c>
      <c r="AB20" s="773">
        <v>1.6236006669873051</v>
      </c>
      <c r="AC20" s="773">
        <v>1.7209783706553823</v>
      </c>
      <c r="AD20" s="773">
        <v>1.8183560743234595</v>
      </c>
      <c r="AE20" s="773">
        <v>1.9157337779915367</v>
      </c>
      <c r="AF20" s="773">
        <v>2.0131114816596138</v>
      </c>
      <c r="AG20" s="773">
        <v>2.1104891853276913</v>
      </c>
      <c r="AH20" s="773">
        <v>2.2078668889957687</v>
      </c>
      <c r="AI20" s="773">
        <v>2.3052445926638461</v>
      </c>
      <c r="AJ20" s="773">
        <v>2.4026222963319235</v>
      </c>
      <c r="AK20" s="773">
        <v>2.5</v>
      </c>
      <c r="AL20" s="773">
        <v>2.5714285714285716</v>
      </c>
      <c r="AM20" s="773">
        <v>2.6428571428571432</v>
      </c>
      <c r="AN20" s="773">
        <v>2.7142857142857149</v>
      </c>
      <c r="AO20" s="773">
        <v>2.7857142857142865</v>
      </c>
      <c r="AP20" s="773">
        <v>2.8571428571428581</v>
      </c>
      <c r="AQ20" s="773">
        <v>2.9285714285714297</v>
      </c>
      <c r="AR20" s="773">
        <v>3</v>
      </c>
      <c r="AS20" s="773">
        <v>3.071428571428573</v>
      </c>
      <c r="AT20" s="773">
        <v>3.1428571428571446</v>
      </c>
      <c r="AU20" s="773">
        <v>3.2142857142857162</v>
      </c>
      <c r="AV20" s="773">
        <v>3.2857142857142878</v>
      </c>
      <c r="AW20" s="773">
        <v>3.3571428571428594</v>
      </c>
      <c r="AX20" s="773">
        <v>3.428571428571431</v>
      </c>
      <c r="AY20" s="773">
        <v>3.5</v>
      </c>
      <c r="AZ20" s="773">
        <v>3.5714285714285743</v>
      </c>
      <c r="BA20" s="773">
        <v>3.6428571428571459</v>
      </c>
      <c r="BB20" s="773">
        <v>3.7142857142857175</v>
      </c>
      <c r="BC20" s="773">
        <v>3.7857142857142891</v>
      </c>
      <c r="BD20" s="773">
        <v>3.8571428571428608</v>
      </c>
      <c r="BE20" s="773">
        <v>3.9285714285714324</v>
      </c>
      <c r="BF20" s="773">
        <v>4</v>
      </c>
      <c r="BG20" s="773">
        <v>4.0714285714285747</v>
      </c>
      <c r="BH20" s="773">
        <v>4.1428571428571459</v>
      </c>
      <c r="BI20" s="773">
        <v>4.2142857142857171</v>
      </c>
      <c r="BJ20" s="773">
        <v>4.2857142857142883</v>
      </c>
      <c r="BK20" s="773">
        <v>4.3571428571428594</v>
      </c>
      <c r="BL20" s="773">
        <v>4.4285714285714306</v>
      </c>
      <c r="BM20" s="773">
        <v>4.5</v>
      </c>
      <c r="BN20" s="773">
        <v>4.571428571428573</v>
      </c>
      <c r="BO20" s="773">
        <v>4.6428571428571441</v>
      </c>
      <c r="BP20" s="773">
        <v>4.7142857142857153</v>
      </c>
      <c r="BQ20" s="773">
        <v>4.7857142857142865</v>
      </c>
      <c r="BR20" s="773">
        <v>4.8571428571428577</v>
      </c>
      <c r="BS20" s="773">
        <v>4.9285714285714288</v>
      </c>
      <c r="BT20" s="774">
        <v>5</v>
      </c>
    </row>
    <row r="21" spans="1:72" ht="47.25" customHeight="1" x14ac:dyDescent="0.25">
      <c r="A21" s="1678" t="s">
        <v>427</v>
      </c>
      <c r="B21" s="1679"/>
      <c r="C21" s="1679"/>
      <c r="D21" s="1679"/>
      <c r="E21" s="1679"/>
      <c r="F21" s="1679"/>
      <c r="G21" s="1679"/>
      <c r="H21" s="1679"/>
      <c r="I21" s="1679"/>
      <c r="J21" s="1679"/>
      <c r="K21" s="1679"/>
      <c r="L21" s="1679"/>
      <c r="M21" s="1679"/>
      <c r="N21" s="1679"/>
      <c r="O21" s="1679"/>
      <c r="P21" s="1679"/>
      <c r="Q21" s="1679"/>
      <c r="R21" s="1679"/>
      <c r="S21" s="1679"/>
      <c r="T21" s="1679"/>
      <c r="U21" s="775"/>
      <c r="V21" s="775"/>
      <c r="W21" s="775"/>
      <c r="X21" s="775"/>
      <c r="Y21" s="775"/>
      <c r="Z21" s="775"/>
      <c r="AA21" s="775"/>
      <c r="AB21" s="775"/>
      <c r="AC21" s="775"/>
      <c r="AD21" s="775"/>
      <c r="AE21" s="775"/>
      <c r="AF21" s="775"/>
      <c r="AG21" s="775"/>
      <c r="AH21" s="775"/>
      <c r="AI21" s="775"/>
      <c r="AJ21" s="775"/>
      <c r="AK21" s="775"/>
      <c r="AL21" s="775"/>
      <c r="AM21" s="775"/>
      <c r="AN21" s="775"/>
      <c r="AO21" s="775"/>
      <c r="AP21" s="775"/>
      <c r="AQ21" s="775"/>
      <c r="AR21" s="775"/>
      <c r="AS21" s="775"/>
      <c r="AT21" s="775"/>
      <c r="AU21" s="775"/>
      <c r="AV21" s="775"/>
      <c r="AW21" s="775"/>
      <c r="AX21" s="775"/>
      <c r="AY21" s="775"/>
      <c r="AZ21" s="775"/>
      <c r="BA21" s="775"/>
      <c r="BB21" s="775"/>
      <c r="BC21" s="775"/>
      <c r="BD21" s="775"/>
      <c r="BE21" s="775"/>
      <c r="BF21" s="775"/>
      <c r="BG21" s="775"/>
      <c r="BH21" s="775"/>
      <c r="BI21" s="775"/>
      <c r="BJ21" s="775"/>
      <c r="BK21" s="775"/>
      <c r="BL21" s="775"/>
      <c r="BM21" s="775"/>
      <c r="BN21" s="775"/>
      <c r="BO21" s="775"/>
      <c r="BP21" s="775"/>
      <c r="BQ21" s="775"/>
      <c r="BR21" s="775"/>
      <c r="BS21" s="775"/>
      <c r="BT21" s="775"/>
    </row>
    <row r="22" spans="1:72" x14ac:dyDescent="0.25">
      <c r="A22" s="776"/>
      <c r="B22" s="776"/>
      <c r="C22" s="776"/>
      <c r="D22" s="776"/>
      <c r="E22" s="776"/>
      <c r="F22" s="776"/>
      <c r="G22" s="776"/>
      <c r="H22" s="776"/>
      <c r="I22" s="776"/>
      <c r="J22" s="776"/>
      <c r="K22" s="776"/>
      <c r="L22" s="776"/>
      <c r="M22" s="776"/>
      <c r="N22" s="776"/>
      <c r="O22" s="776"/>
      <c r="P22" s="776"/>
      <c r="Q22" s="776"/>
      <c r="R22" s="776"/>
      <c r="S22" s="776"/>
      <c r="T22" s="776"/>
      <c r="U22" s="777"/>
      <c r="V22" s="777"/>
      <c r="W22" s="777"/>
      <c r="X22" s="777"/>
      <c r="Y22" s="777"/>
      <c r="Z22" s="777"/>
      <c r="AA22" s="777"/>
      <c r="AB22" s="777"/>
      <c r="AC22" s="777"/>
      <c r="AD22" s="777"/>
      <c r="AE22" s="777"/>
      <c r="AF22" s="777"/>
      <c r="AG22" s="777"/>
      <c r="AH22" s="777"/>
      <c r="AI22" s="777"/>
      <c r="AJ22" s="777"/>
      <c r="AK22" s="777"/>
      <c r="AL22" s="777"/>
      <c r="AM22" s="777"/>
      <c r="AN22" s="777"/>
      <c r="AO22" s="777"/>
      <c r="AP22" s="777"/>
      <c r="AQ22" s="777"/>
      <c r="AR22" s="777"/>
      <c r="AS22" s="777"/>
      <c r="AT22" s="777"/>
      <c r="AU22" s="777"/>
      <c r="AV22" s="777"/>
      <c r="AW22" s="777"/>
      <c r="AX22" s="777"/>
      <c r="AY22" s="777"/>
      <c r="AZ22" s="777"/>
      <c r="BA22" s="777"/>
      <c r="BB22" s="777"/>
      <c r="BC22" s="777"/>
      <c r="BD22" s="777"/>
      <c r="BE22" s="777"/>
      <c r="BF22" s="777"/>
      <c r="BG22" s="777"/>
      <c r="BH22" s="777"/>
      <c r="BI22" s="777"/>
      <c r="BJ22" s="777"/>
      <c r="BK22" s="777"/>
      <c r="BL22" s="777"/>
      <c r="BM22" s="777"/>
      <c r="BN22" s="777"/>
      <c r="BO22" s="777"/>
      <c r="BP22" s="777"/>
      <c r="BQ22" s="777"/>
      <c r="BR22" s="777"/>
      <c r="BS22" s="777"/>
      <c r="BT22" s="777"/>
    </row>
    <row r="23" spans="1:72" ht="42.75" customHeight="1" x14ac:dyDescent="0.25">
      <c r="A23" s="1662" t="s">
        <v>746</v>
      </c>
      <c r="B23" s="1662"/>
      <c r="C23" s="1662"/>
      <c r="D23" s="1662"/>
      <c r="E23" s="1662"/>
      <c r="F23" s="1662"/>
      <c r="G23" s="1662"/>
      <c r="H23" s="1662"/>
      <c r="I23" s="1662"/>
      <c r="J23" s="1662"/>
      <c r="K23" s="1662"/>
      <c r="L23" s="1662"/>
      <c r="M23" s="1662"/>
      <c r="N23" s="1662"/>
      <c r="O23" s="1662"/>
      <c r="P23" s="1662"/>
      <c r="Q23" s="1662"/>
      <c r="R23" s="1662"/>
      <c r="S23" s="1662"/>
      <c r="T23" s="1662"/>
      <c r="U23" s="777"/>
      <c r="V23" s="777"/>
      <c r="W23" s="777"/>
      <c r="X23" s="777"/>
      <c r="Y23" s="777"/>
      <c r="Z23" s="777"/>
      <c r="AA23" s="777"/>
      <c r="AB23" s="777"/>
      <c r="AC23" s="777"/>
      <c r="AD23" s="777"/>
      <c r="AE23" s="777"/>
      <c r="AF23" s="777"/>
      <c r="AG23" s="777"/>
      <c r="AH23" s="777"/>
      <c r="AI23" s="777"/>
      <c r="AJ23" s="777"/>
      <c r="AK23" s="777"/>
      <c r="AL23" s="777"/>
      <c r="AM23" s="777"/>
      <c r="AN23" s="777"/>
      <c r="AO23" s="777"/>
      <c r="AP23" s="777"/>
      <c r="AQ23" s="777"/>
      <c r="AR23" s="777"/>
      <c r="AS23" s="777"/>
      <c r="AT23" s="777"/>
      <c r="AU23" s="777"/>
      <c r="AV23" s="777"/>
      <c r="AW23" s="777"/>
      <c r="AX23" s="777"/>
      <c r="AY23" s="777"/>
      <c r="AZ23" s="777"/>
      <c r="BA23" s="777"/>
      <c r="BB23" s="777"/>
      <c r="BC23" s="777"/>
      <c r="BD23" s="777"/>
      <c r="BE23" s="777"/>
      <c r="BF23" s="777"/>
      <c r="BG23" s="777"/>
      <c r="BH23" s="777"/>
      <c r="BI23" s="777"/>
      <c r="BJ23" s="777"/>
      <c r="BK23" s="777"/>
      <c r="BL23" s="777"/>
      <c r="BM23" s="777"/>
      <c r="BN23" s="777"/>
      <c r="BO23" s="777"/>
      <c r="BP23" s="777"/>
      <c r="BQ23" s="777"/>
      <c r="BR23" s="777"/>
      <c r="BS23" s="777"/>
      <c r="BT23" s="777"/>
    </row>
    <row r="24" spans="1:72" x14ac:dyDescent="0.25">
      <c r="A24" s="777"/>
      <c r="B24" s="777"/>
      <c r="C24" s="777"/>
      <c r="D24" s="777"/>
      <c r="E24" s="777"/>
      <c r="F24" s="777"/>
      <c r="G24" s="777"/>
      <c r="H24" s="777"/>
      <c r="I24" s="777"/>
      <c r="J24" s="777"/>
      <c r="K24" s="777"/>
      <c r="L24" s="777"/>
      <c r="M24" s="777"/>
      <c r="N24" s="777"/>
      <c r="O24" s="777"/>
      <c r="P24" s="777"/>
      <c r="Q24" s="777"/>
      <c r="R24" s="777"/>
      <c r="S24" s="777"/>
      <c r="T24" s="777"/>
      <c r="U24" s="777"/>
      <c r="V24" s="777"/>
      <c r="W24" s="777"/>
      <c r="X24" s="777"/>
      <c r="Y24" s="777"/>
      <c r="Z24" s="777"/>
      <c r="AA24" s="777"/>
      <c r="AB24" s="777"/>
      <c r="AC24" s="777"/>
      <c r="AD24" s="777"/>
      <c r="AE24" s="777"/>
      <c r="AF24" s="777"/>
      <c r="AG24" s="777"/>
      <c r="AH24" s="777"/>
      <c r="AI24" s="777"/>
      <c r="AJ24" s="777"/>
      <c r="AK24" s="777"/>
      <c r="AL24" s="777"/>
      <c r="AM24" s="777"/>
      <c r="AN24" s="777"/>
      <c r="AO24" s="777"/>
      <c r="AP24" s="777"/>
      <c r="AQ24" s="777"/>
      <c r="AR24" s="777"/>
      <c r="AS24" s="777"/>
      <c r="AT24" s="777"/>
      <c r="AU24" s="777"/>
      <c r="AV24" s="777"/>
      <c r="AW24" s="777"/>
      <c r="AX24" s="777"/>
      <c r="AY24" s="777"/>
      <c r="AZ24" s="777"/>
      <c r="BA24" s="777"/>
      <c r="BB24" s="777"/>
      <c r="BC24" s="777"/>
      <c r="BD24" s="777"/>
      <c r="BE24" s="777"/>
      <c r="BF24" s="777"/>
      <c r="BG24" s="777"/>
      <c r="BH24" s="777"/>
      <c r="BI24" s="777"/>
      <c r="BJ24" s="777"/>
      <c r="BK24" s="777"/>
      <c r="BL24" s="777"/>
      <c r="BM24" s="777"/>
      <c r="BN24" s="777"/>
      <c r="BO24" s="777"/>
      <c r="BP24" s="777"/>
      <c r="BQ24" s="777"/>
      <c r="BR24" s="777"/>
      <c r="BS24" s="777"/>
      <c r="BT24" s="777"/>
    </row>
    <row r="25" spans="1:72" ht="15.6" x14ac:dyDescent="0.3">
      <c r="A25" s="1680" t="s">
        <v>1094</v>
      </c>
      <c r="B25" s="1680"/>
      <c r="C25" s="1680"/>
      <c r="D25" s="1680"/>
      <c r="E25" s="1680"/>
      <c r="F25" s="1680"/>
      <c r="G25" s="1680"/>
      <c r="H25" s="1680"/>
      <c r="I25" s="1680"/>
      <c r="J25" s="1680"/>
      <c r="K25" s="1680"/>
      <c r="L25" s="777"/>
      <c r="M25" s="777"/>
      <c r="N25" s="777"/>
      <c r="O25" s="777"/>
      <c r="P25" s="777"/>
      <c r="Q25" s="777"/>
      <c r="R25" s="777"/>
      <c r="S25" s="777"/>
      <c r="T25" s="777"/>
      <c r="U25" s="777"/>
      <c r="V25" s="777"/>
      <c r="W25" s="777"/>
      <c r="X25" s="777"/>
      <c r="Y25" s="777"/>
      <c r="Z25" s="777"/>
      <c r="AA25" s="777"/>
      <c r="AB25" s="777"/>
      <c r="AC25" s="777"/>
      <c r="AD25" s="777"/>
      <c r="AE25" s="777"/>
      <c r="AF25" s="777"/>
      <c r="AG25" s="777"/>
      <c r="AH25" s="777"/>
      <c r="AI25" s="777"/>
      <c r="AJ25" s="777"/>
      <c r="AK25" s="777"/>
      <c r="AL25" s="777"/>
      <c r="AM25" s="777"/>
      <c r="AN25" s="777"/>
      <c r="AO25" s="777"/>
      <c r="AP25" s="777"/>
      <c r="AQ25" s="777"/>
      <c r="AR25" s="777"/>
      <c r="AS25" s="777"/>
      <c r="AT25" s="777"/>
      <c r="AU25" s="777"/>
      <c r="AV25" s="777"/>
      <c r="AW25" s="777"/>
      <c r="AX25" s="777"/>
      <c r="AY25" s="777"/>
      <c r="AZ25" s="777"/>
      <c r="BA25" s="777"/>
      <c r="BB25" s="777"/>
      <c r="BC25" s="777"/>
      <c r="BD25" s="777"/>
      <c r="BE25" s="777"/>
      <c r="BF25" s="777"/>
      <c r="BG25" s="777"/>
      <c r="BH25" s="777"/>
      <c r="BI25" s="777"/>
      <c r="BJ25" s="777"/>
      <c r="BK25" s="777"/>
      <c r="BL25" s="777"/>
      <c r="BM25" s="777"/>
      <c r="BN25" s="777"/>
      <c r="BO25" s="777"/>
      <c r="BP25" s="777"/>
      <c r="BQ25" s="777"/>
      <c r="BR25" s="777"/>
      <c r="BS25" s="777"/>
      <c r="BT25" s="777"/>
    </row>
    <row r="26" spans="1:72" ht="13.8" thickBot="1" x14ac:dyDescent="0.3">
      <c r="A26" s="1681"/>
      <c r="B26" s="1681"/>
      <c r="C26" s="1681"/>
      <c r="D26" s="1681"/>
      <c r="E26" s="1681"/>
      <c r="F26" s="1681"/>
      <c r="G26" s="1681"/>
      <c r="H26" s="1681"/>
      <c r="I26" s="1681"/>
      <c r="J26" s="1681"/>
      <c r="K26" s="1681"/>
      <c r="L26" s="777"/>
      <c r="M26" s="777"/>
      <c r="N26" s="777"/>
      <c r="O26" s="777"/>
      <c r="P26" s="777"/>
      <c r="Q26" s="777"/>
      <c r="R26" s="777"/>
      <c r="S26" s="777"/>
      <c r="T26" s="777"/>
      <c r="U26" s="777"/>
      <c r="V26" s="777"/>
      <c r="W26" s="777"/>
      <c r="X26" s="777"/>
      <c r="Y26" s="777"/>
      <c r="Z26" s="777"/>
      <c r="AA26" s="777"/>
      <c r="AB26" s="777"/>
      <c r="AC26" s="777"/>
      <c r="AD26" s="777"/>
      <c r="AE26" s="777"/>
      <c r="AF26" s="777"/>
      <c r="AG26" s="777"/>
      <c r="AH26" s="777"/>
      <c r="AI26" s="777"/>
      <c r="AJ26" s="777"/>
      <c r="AK26" s="777"/>
      <c r="AL26" s="777"/>
      <c r="AM26" s="777"/>
      <c r="AN26" s="777"/>
      <c r="AO26" s="777"/>
      <c r="AP26" s="777"/>
      <c r="AQ26" s="777"/>
      <c r="AR26" s="777"/>
      <c r="AS26" s="777"/>
      <c r="AT26" s="777"/>
      <c r="AU26" s="777"/>
      <c r="AV26" s="777"/>
      <c r="AW26" s="777"/>
      <c r="AX26" s="777"/>
      <c r="AY26" s="777"/>
      <c r="AZ26" s="777"/>
      <c r="BA26" s="777"/>
      <c r="BB26" s="777"/>
      <c r="BC26" s="777"/>
      <c r="BD26" s="777"/>
      <c r="BE26" s="777"/>
      <c r="BF26" s="777"/>
      <c r="BG26" s="777"/>
      <c r="BH26" s="777"/>
      <c r="BI26" s="777"/>
      <c r="BJ26" s="777"/>
      <c r="BK26" s="777"/>
      <c r="BL26" s="777"/>
      <c r="BM26" s="777"/>
      <c r="BN26" s="777"/>
      <c r="BO26" s="777"/>
      <c r="BP26" s="777"/>
      <c r="BQ26" s="777"/>
      <c r="BR26" s="777"/>
      <c r="BS26" s="777"/>
      <c r="BT26" s="777"/>
    </row>
    <row r="27" spans="1:72" ht="39.6" x14ac:dyDescent="0.25">
      <c r="A27" s="778"/>
      <c r="B27" s="779" t="s">
        <v>747</v>
      </c>
      <c r="C27" s="779" t="s">
        <v>748</v>
      </c>
      <c r="D27" s="779" t="s">
        <v>1096</v>
      </c>
      <c r="E27" s="1682"/>
      <c r="F27" s="1682"/>
      <c r="G27" s="1682"/>
      <c r="H27" s="1682"/>
      <c r="I27" s="1682"/>
      <c r="J27" s="1648" t="s">
        <v>749</v>
      </c>
      <c r="K27" s="1649"/>
      <c r="L27" s="777"/>
      <c r="M27" s="777"/>
      <c r="N27" s="777"/>
      <c r="O27" s="777"/>
      <c r="P27" s="777"/>
      <c r="Q27" s="777"/>
      <c r="R27" s="777"/>
      <c r="S27" s="777"/>
      <c r="T27" s="777"/>
      <c r="U27" s="777"/>
      <c r="V27" s="777"/>
      <c r="W27" s="777"/>
      <c r="X27" s="777"/>
      <c r="Y27" s="777"/>
      <c r="Z27" s="777"/>
      <c r="AA27" s="777"/>
      <c r="AB27" s="777"/>
      <c r="AC27" s="777"/>
      <c r="AD27" s="777"/>
      <c r="AE27" s="777"/>
      <c r="AF27" s="777"/>
      <c r="AG27" s="777"/>
      <c r="AH27" s="777"/>
      <c r="AI27" s="777"/>
      <c r="AJ27" s="777"/>
      <c r="AK27" s="777"/>
      <c r="AL27" s="777"/>
      <c r="AM27" s="777"/>
      <c r="AN27" s="777"/>
      <c r="AO27" s="777"/>
      <c r="AP27" s="777"/>
      <c r="AQ27" s="777"/>
      <c r="AR27" s="777"/>
      <c r="AS27" s="777"/>
      <c r="AT27" s="777"/>
      <c r="AU27" s="777"/>
      <c r="AV27" s="777"/>
      <c r="AW27" s="777"/>
      <c r="AX27" s="777"/>
      <c r="AY27" s="777"/>
      <c r="AZ27" s="777"/>
      <c r="BA27" s="777"/>
      <c r="BB27" s="777"/>
      <c r="BC27" s="777"/>
      <c r="BD27" s="777"/>
      <c r="BE27" s="777"/>
      <c r="BF27" s="777"/>
      <c r="BG27" s="777"/>
      <c r="BH27" s="777"/>
      <c r="BI27" s="777"/>
      <c r="BJ27" s="777"/>
      <c r="BK27" s="777"/>
      <c r="BL27" s="777"/>
      <c r="BM27" s="777"/>
      <c r="BN27" s="777"/>
      <c r="BO27" s="777"/>
      <c r="BP27" s="777"/>
      <c r="BQ27" s="777"/>
      <c r="BR27" s="777"/>
      <c r="BS27" s="777"/>
      <c r="BT27" s="777"/>
    </row>
    <row r="28" spans="1:72" x14ac:dyDescent="0.25">
      <c r="A28" s="780" t="s">
        <v>558</v>
      </c>
      <c r="B28" s="781">
        <f>G40/F40</f>
        <v>1.0482288241385485</v>
      </c>
      <c r="C28" s="781">
        <f>H40/G40</f>
        <v>1.0526415477404851</v>
      </c>
      <c r="D28" s="781">
        <f>I40/H40</f>
        <v>1.0160295046377366</v>
      </c>
      <c r="E28" s="1650"/>
      <c r="F28" s="1650"/>
      <c r="G28" s="1650"/>
      <c r="H28" s="1650"/>
      <c r="I28" s="1650"/>
      <c r="J28" s="1650" t="s">
        <v>1066</v>
      </c>
      <c r="K28" s="1651" t="s">
        <v>1074</v>
      </c>
      <c r="L28" s="777"/>
      <c r="M28" s="777"/>
      <c r="N28" s="777"/>
      <c r="O28" s="777"/>
      <c r="P28" s="777"/>
      <c r="Q28" s="777"/>
      <c r="R28" s="777"/>
      <c r="S28" s="777"/>
      <c r="T28" s="777"/>
      <c r="U28" s="777"/>
      <c r="V28" s="777"/>
      <c r="W28" s="777"/>
      <c r="X28" s="777"/>
      <c r="Y28" s="777"/>
      <c r="Z28" s="777"/>
      <c r="AA28" s="777"/>
      <c r="AB28" s="777"/>
      <c r="AC28" s="777"/>
      <c r="AD28" s="777"/>
      <c r="AE28" s="777"/>
      <c r="AF28" s="777"/>
      <c r="AG28" s="777"/>
      <c r="AH28" s="777"/>
      <c r="AI28" s="777"/>
      <c r="AJ28" s="777"/>
      <c r="AK28" s="777"/>
      <c r="AL28" s="777"/>
      <c r="AM28" s="777"/>
      <c r="AN28" s="777"/>
      <c r="AO28" s="777"/>
      <c r="AP28" s="777"/>
      <c r="AQ28" s="777"/>
      <c r="AR28" s="777"/>
      <c r="AS28" s="777"/>
      <c r="AT28" s="777"/>
      <c r="AU28" s="777"/>
      <c r="AV28" s="777"/>
      <c r="AW28" s="777"/>
      <c r="AX28" s="777"/>
      <c r="AY28" s="777"/>
      <c r="AZ28" s="777"/>
      <c r="BA28" s="777"/>
      <c r="BB28" s="777"/>
      <c r="BC28" s="777"/>
      <c r="BD28" s="777"/>
      <c r="BE28" s="777"/>
      <c r="BF28" s="777"/>
      <c r="BG28" s="777"/>
      <c r="BH28" s="777"/>
      <c r="BI28" s="777"/>
      <c r="BJ28" s="777"/>
      <c r="BK28" s="777"/>
      <c r="BL28" s="777"/>
      <c r="BM28" s="777"/>
      <c r="BN28" s="777"/>
      <c r="BO28" s="777"/>
      <c r="BP28" s="777"/>
      <c r="BQ28" s="777"/>
      <c r="BR28" s="777"/>
      <c r="BS28" s="777"/>
      <c r="BT28" s="777"/>
    </row>
    <row r="29" spans="1:72" x14ac:dyDescent="0.25">
      <c r="A29" s="782" t="s">
        <v>559</v>
      </c>
      <c r="B29" s="783">
        <f t="shared" ref="B29:B35" si="0">G41/F41</f>
        <v>1.1441282284851997</v>
      </c>
      <c r="C29" s="783">
        <f t="shared" ref="C29:C35" si="1">H41/G41</f>
        <v>1.1360328119345371</v>
      </c>
      <c r="D29" s="783">
        <f t="shared" ref="D29:D35" si="2">I41/H41</f>
        <v>1.0363018547359477</v>
      </c>
      <c r="E29" s="1650"/>
      <c r="F29" s="1650"/>
      <c r="G29" s="1650"/>
      <c r="H29" s="1650"/>
      <c r="I29" s="1650"/>
      <c r="J29" s="1650"/>
      <c r="K29" s="1651"/>
      <c r="L29" s="777"/>
      <c r="M29" s="777"/>
      <c r="N29" s="777"/>
      <c r="O29" s="777"/>
      <c r="P29" s="777"/>
      <c r="Q29" s="777"/>
      <c r="R29" s="777"/>
      <c r="S29" s="777"/>
      <c r="T29" s="777"/>
      <c r="U29" s="777"/>
      <c r="V29" s="777"/>
      <c r="W29" s="777"/>
      <c r="X29" s="777"/>
      <c r="Y29" s="777"/>
      <c r="Z29" s="777"/>
      <c r="AA29" s="777"/>
      <c r="AB29" s="777"/>
      <c r="AC29" s="777"/>
      <c r="AD29" s="777"/>
      <c r="AE29" s="777"/>
      <c r="AF29" s="777"/>
      <c r="AG29" s="777"/>
      <c r="AH29" s="777"/>
      <c r="AI29" s="777"/>
      <c r="AJ29" s="777"/>
      <c r="AK29" s="777"/>
      <c r="AL29" s="777"/>
      <c r="AM29" s="777"/>
      <c r="AN29" s="777"/>
      <c r="AO29" s="777"/>
      <c r="AP29" s="777"/>
      <c r="AQ29" s="777"/>
      <c r="AR29" s="777"/>
      <c r="AS29" s="777"/>
      <c r="AT29" s="777"/>
      <c r="AU29" s="777"/>
      <c r="AV29" s="777"/>
      <c r="AW29" s="777"/>
      <c r="AX29" s="777"/>
      <c r="AY29" s="777"/>
      <c r="AZ29" s="777"/>
      <c r="BA29" s="777"/>
      <c r="BB29" s="777"/>
      <c r="BC29" s="777"/>
      <c r="BD29" s="777"/>
      <c r="BE29" s="777"/>
      <c r="BF29" s="777"/>
      <c r="BG29" s="777"/>
      <c r="BH29" s="777"/>
      <c r="BI29" s="777"/>
      <c r="BJ29" s="777"/>
      <c r="BK29" s="777"/>
      <c r="BL29" s="777"/>
      <c r="BM29" s="777"/>
      <c r="BN29" s="777"/>
      <c r="BO29" s="777"/>
      <c r="BP29" s="777"/>
      <c r="BQ29" s="777"/>
      <c r="BR29" s="777"/>
      <c r="BS29" s="777"/>
      <c r="BT29" s="777"/>
    </row>
    <row r="30" spans="1:72" x14ac:dyDescent="0.25">
      <c r="A30" s="780" t="s">
        <v>560</v>
      </c>
      <c r="B30" s="781">
        <f t="shared" si="0"/>
        <v>1.1252277801242987</v>
      </c>
      <c r="C30" s="781">
        <f t="shared" si="1"/>
        <v>1.1222249629995065</v>
      </c>
      <c r="D30" s="781">
        <f t="shared" si="2"/>
        <v>1.0285793469898747</v>
      </c>
      <c r="E30" s="1650"/>
      <c r="F30" s="1650"/>
      <c r="G30" s="1650"/>
      <c r="H30" s="1650"/>
      <c r="I30" s="1650"/>
      <c r="J30" s="784">
        <v>1991</v>
      </c>
      <c r="K30" s="785">
        <v>84.5</v>
      </c>
      <c r="L30" s="777"/>
      <c r="M30" s="777"/>
      <c r="N30" s="777"/>
      <c r="O30" s="777"/>
      <c r="P30" s="777"/>
      <c r="Q30" s="777"/>
      <c r="R30" s="777"/>
      <c r="S30" s="777"/>
      <c r="T30" s="777"/>
      <c r="U30" s="777"/>
      <c r="V30" s="777"/>
      <c r="W30" s="777"/>
      <c r="X30" s="777"/>
      <c r="Y30" s="777"/>
      <c r="Z30" s="777"/>
      <c r="AA30" s="777"/>
      <c r="AB30" s="777"/>
      <c r="AC30" s="777"/>
      <c r="AD30" s="777"/>
      <c r="AE30" s="777"/>
      <c r="AF30" s="777"/>
      <c r="AG30" s="777"/>
      <c r="AH30" s="777"/>
      <c r="AI30" s="777"/>
      <c r="AJ30" s="777"/>
      <c r="AK30" s="777"/>
      <c r="AL30" s="777"/>
      <c r="AM30" s="777"/>
      <c r="AN30" s="777"/>
      <c r="AO30" s="777"/>
      <c r="AP30" s="777"/>
      <c r="AQ30" s="777"/>
      <c r="AR30" s="777"/>
      <c r="AS30" s="777"/>
      <c r="AT30" s="777"/>
      <c r="AU30" s="777"/>
      <c r="AV30" s="777"/>
      <c r="AW30" s="777"/>
      <c r="AX30" s="777"/>
      <c r="AY30" s="777"/>
      <c r="AZ30" s="777"/>
      <c r="BA30" s="777"/>
      <c r="BB30" s="777"/>
      <c r="BC30" s="777"/>
      <c r="BD30" s="777"/>
      <c r="BE30" s="777"/>
      <c r="BF30" s="777"/>
      <c r="BG30" s="777"/>
      <c r="BH30" s="777"/>
      <c r="BI30" s="777"/>
      <c r="BJ30" s="777"/>
      <c r="BK30" s="777"/>
      <c r="BL30" s="777"/>
      <c r="BM30" s="777"/>
      <c r="BN30" s="777"/>
      <c r="BO30" s="777"/>
      <c r="BP30" s="777"/>
      <c r="BQ30" s="777"/>
      <c r="BR30" s="777"/>
      <c r="BS30" s="777"/>
      <c r="BT30" s="777"/>
    </row>
    <row r="31" spans="1:72" x14ac:dyDescent="0.25">
      <c r="A31" s="782" t="s">
        <v>561</v>
      </c>
      <c r="B31" s="783">
        <f t="shared" si="0"/>
        <v>1.0687839040840581</v>
      </c>
      <c r="C31" s="783">
        <f t="shared" si="1"/>
        <v>1.0213566498986533</v>
      </c>
      <c r="D31" s="783">
        <f t="shared" si="2"/>
        <v>1.0031375164207406</v>
      </c>
      <c r="E31" s="1650"/>
      <c r="F31" s="1650"/>
      <c r="G31" s="1650"/>
      <c r="H31" s="1650"/>
      <c r="I31" s="1650"/>
      <c r="J31" s="786">
        <v>1992</v>
      </c>
      <c r="K31" s="787">
        <v>86.4</v>
      </c>
      <c r="L31" s="777"/>
      <c r="M31" s="777"/>
      <c r="N31" s="777"/>
      <c r="O31" s="777"/>
      <c r="P31" s="777"/>
      <c r="Q31" s="777"/>
      <c r="R31" s="777"/>
      <c r="S31" s="777"/>
      <c r="T31" s="777"/>
      <c r="U31" s="777"/>
      <c r="V31" s="777"/>
      <c r="W31" s="777"/>
      <c r="X31" s="777"/>
      <c r="Y31" s="777"/>
      <c r="Z31" s="777"/>
      <c r="AA31" s="777"/>
      <c r="AB31" s="777"/>
      <c r="AC31" s="777"/>
      <c r="AD31" s="777"/>
      <c r="AE31" s="777"/>
      <c r="AF31" s="777"/>
      <c r="AG31" s="777"/>
      <c r="AH31" s="777"/>
      <c r="AI31" s="777"/>
      <c r="AJ31" s="777"/>
      <c r="AK31" s="777"/>
      <c r="AL31" s="777"/>
      <c r="AM31" s="777"/>
      <c r="AN31" s="777"/>
      <c r="AO31" s="777"/>
      <c r="AP31" s="777"/>
      <c r="AQ31" s="777"/>
      <c r="AR31" s="777"/>
      <c r="AS31" s="777"/>
      <c r="AT31" s="777"/>
      <c r="AU31" s="777"/>
      <c r="AV31" s="777"/>
      <c r="AW31" s="777"/>
      <c r="AX31" s="777"/>
      <c r="AY31" s="777"/>
      <c r="AZ31" s="777"/>
      <c r="BA31" s="777"/>
      <c r="BB31" s="777"/>
      <c r="BC31" s="777"/>
      <c r="BD31" s="777"/>
      <c r="BE31" s="777"/>
      <c r="BF31" s="777"/>
      <c r="BG31" s="777"/>
      <c r="BH31" s="777"/>
      <c r="BI31" s="777"/>
      <c r="BJ31" s="777"/>
      <c r="BK31" s="777"/>
      <c r="BL31" s="777"/>
      <c r="BM31" s="777"/>
      <c r="BN31" s="777"/>
      <c r="BO31" s="777"/>
      <c r="BP31" s="777"/>
      <c r="BQ31" s="777"/>
      <c r="BR31" s="777"/>
      <c r="BS31" s="777"/>
      <c r="BT31" s="777"/>
    </row>
    <row r="32" spans="1:72" x14ac:dyDescent="0.25">
      <c r="A32" s="780" t="s">
        <v>562</v>
      </c>
      <c r="B32" s="781">
        <f t="shared" si="0"/>
        <v>1.03736526166104</v>
      </c>
      <c r="C32" s="781">
        <f t="shared" si="1"/>
        <v>1.0084486821562659</v>
      </c>
      <c r="D32" s="781">
        <f t="shared" si="2"/>
        <v>1.0010687685088917</v>
      </c>
      <c r="E32" s="1650"/>
      <c r="F32" s="1650"/>
      <c r="G32" s="1650"/>
      <c r="H32" s="1650"/>
      <c r="I32" s="1650"/>
      <c r="J32" s="784">
        <v>1993</v>
      </c>
      <c r="K32" s="785">
        <v>88.4</v>
      </c>
      <c r="L32" s="777"/>
      <c r="M32" s="777"/>
      <c r="N32" s="777"/>
      <c r="O32" s="777"/>
      <c r="P32" s="777"/>
      <c r="Q32" s="777"/>
      <c r="R32" s="777"/>
      <c r="S32" s="777"/>
      <c r="T32" s="777"/>
      <c r="U32" s="777"/>
      <c r="V32" s="777"/>
      <c r="W32" s="777"/>
      <c r="X32" s="777"/>
      <c r="Y32" s="777"/>
      <c r="Z32" s="777"/>
      <c r="AA32" s="777"/>
      <c r="AB32" s="777"/>
      <c r="AC32" s="777"/>
      <c r="AD32" s="777"/>
      <c r="AE32" s="777"/>
      <c r="AF32" s="777"/>
      <c r="AG32" s="777"/>
      <c r="AH32" s="777"/>
      <c r="AI32" s="777"/>
      <c r="AJ32" s="777"/>
      <c r="AK32" s="777"/>
      <c r="AL32" s="777"/>
      <c r="AM32" s="777"/>
      <c r="AN32" s="777"/>
      <c r="AO32" s="777"/>
      <c r="AP32" s="777"/>
      <c r="AQ32" s="777"/>
      <c r="AR32" s="777"/>
      <c r="AS32" s="777"/>
      <c r="AT32" s="777"/>
      <c r="AU32" s="777"/>
      <c r="AV32" s="777"/>
      <c r="AW32" s="777"/>
      <c r="AX32" s="777"/>
      <c r="AY32" s="777"/>
      <c r="AZ32" s="777"/>
      <c r="BA32" s="777"/>
      <c r="BB32" s="777"/>
      <c r="BC32" s="777"/>
      <c r="BD32" s="777"/>
      <c r="BE32" s="777"/>
      <c r="BF32" s="777"/>
      <c r="BG32" s="777"/>
      <c r="BH32" s="777"/>
      <c r="BI32" s="777"/>
      <c r="BJ32" s="777"/>
      <c r="BK32" s="777"/>
      <c r="BL32" s="777"/>
      <c r="BM32" s="777"/>
      <c r="BN32" s="777"/>
      <c r="BO32" s="777"/>
      <c r="BP32" s="777"/>
      <c r="BQ32" s="777"/>
      <c r="BR32" s="777"/>
      <c r="BS32" s="777"/>
      <c r="BT32" s="777"/>
    </row>
    <row r="33" spans="1:72" x14ac:dyDescent="0.25">
      <c r="A33" s="782" t="s">
        <v>563</v>
      </c>
      <c r="B33" s="783">
        <f t="shared" si="0"/>
        <v>0.975071533164794</v>
      </c>
      <c r="C33" s="783">
        <f t="shared" si="1"/>
        <v>1.0087393571750138</v>
      </c>
      <c r="D33" s="783">
        <f t="shared" si="2"/>
        <v>0.99663324890666094</v>
      </c>
      <c r="E33" s="1650"/>
      <c r="F33" s="1650"/>
      <c r="G33" s="1650"/>
      <c r="H33" s="1650"/>
      <c r="I33" s="1650"/>
      <c r="J33" s="786">
        <v>1994</v>
      </c>
      <c r="K33" s="787">
        <v>90.3</v>
      </c>
      <c r="L33" s="777"/>
      <c r="M33" s="777"/>
      <c r="N33" s="777"/>
      <c r="O33" s="777"/>
      <c r="P33" s="777"/>
      <c r="Q33" s="777"/>
      <c r="R33" s="777"/>
      <c r="S33" s="777"/>
      <c r="T33" s="777"/>
      <c r="U33" s="777"/>
      <c r="V33" s="777"/>
      <c r="W33" s="777"/>
      <c r="X33" s="777"/>
      <c r="Y33" s="777"/>
      <c r="Z33" s="777"/>
      <c r="AA33" s="777"/>
      <c r="AB33" s="777"/>
      <c r="AC33" s="777"/>
      <c r="AD33" s="777"/>
      <c r="AE33" s="777"/>
      <c r="AF33" s="777"/>
      <c r="AG33" s="777"/>
      <c r="AH33" s="777"/>
      <c r="AI33" s="777"/>
      <c r="AJ33" s="777"/>
      <c r="AK33" s="777"/>
      <c r="AL33" s="777"/>
      <c r="AM33" s="777"/>
      <c r="AN33" s="777"/>
      <c r="AO33" s="777"/>
      <c r="AP33" s="777"/>
      <c r="AQ33" s="777"/>
      <c r="AR33" s="777"/>
      <c r="AS33" s="777"/>
      <c r="AT33" s="777"/>
      <c r="AU33" s="777"/>
      <c r="AV33" s="777"/>
      <c r="AW33" s="777"/>
      <c r="AX33" s="777"/>
      <c r="AY33" s="777"/>
      <c r="AZ33" s="777"/>
      <c r="BA33" s="777"/>
      <c r="BB33" s="777"/>
      <c r="BC33" s="777"/>
      <c r="BD33" s="777"/>
      <c r="BE33" s="777"/>
      <c r="BF33" s="777"/>
      <c r="BG33" s="777"/>
      <c r="BH33" s="777"/>
      <c r="BI33" s="777"/>
      <c r="BJ33" s="777"/>
      <c r="BK33" s="777"/>
      <c r="BL33" s="777"/>
      <c r="BM33" s="777"/>
      <c r="BN33" s="777"/>
      <c r="BO33" s="777"/>
      <c r="BP33" s="777"/>
      <c r="BQ33" s="777"/>
      <c r="BR33" s="777"/>
      <c r="BS33" s="777"/>
      <c r="BT33" s="777"/>
    </row>
    <row r="34" spans="1:72" x14ac:dyDescent="0.25">
      <c r="A34" s="780" t="s">
        <v>564</v>
      </c>
      <c r="B34" s="781">
        <f t="shared" si="0"/>
        <v>1.0938371922267365</v>
      </c>
      <c r="C34" s="781">
        <f t="shared" si="1"/>
        <v>1.0852680569229392</v>
      </c>
      <c r="D34" s="781">
        <f t="shared" si="2"/>
        <v>1.0142672175626977</v>
      </c>
      <c r="E34" s="1650"/>
      <c r="F34" s="1650"/>
      <c r="G34" s="1650"/>
      <c r="H34" s="1650"/>
      <c r="I34" s="1650"/>
      <c r="J34" s="784">
        <v>1995</v>
      </c>
      <c r="K34" s="785">
        <v>92.1</v>
      </c>
      <c r="L34" s="777"/>
      <c r="M34" s="777"/>
      <c r="N34" s="777"/>
      <c r="O34" s="777"/>
      <c r="P34" s="777"/>
      <c r="Q34" s="777"/>
      <c r="R34" s="777"/>
      <c r="S34" s="777"/>
      <c r="T34" s="777"/>
      <c r="U34" s="777"/>
      <c r="V34" s="777"/>
      <c r="W34" s="777"/>
      <c r="X34" s="777"/>
      <c r="Y34" s="777"/>
      <c r="Z34" s="777"/>
      <c r="AA34" s="777"/>
      <c r="AB34" s="777"/>
      <c r="AC34" s="777"/>
      <c r="AD34" s="777"/>
      <c r="AE34" s="777"/>
      <c r="AF34" s="777"/>
      <c r="AG34" s="777"/>
      <c r="AH34" s="777"/>
      <c r="AI34" s="777"/>
      <c r="AJ34" s="777"/>
      <c r="AK34" s="777"/>
      <c r="AL34" s="777"/>
      <c r="AM34" s="777"/>
      <c r="AN34" s="777"/>
      <c r="AO34" s="777"/>
      <c r="AP34" s="777"/>
      <c r="AQ34" s="777"/>
      <c r="AR34" s="777"/>
      <c r="AS34" s="777"/>
      <c r="AT34" s="777"/>
      <c r="AU34" s="777"/>
      <c r="AV34" s="777"/>
      <c r="AW34" s="777"/>
      <c r="AX34" s="777"/>
      <c r="AY34" s="777"/>
      <c r="AZ34" s="777"/>
      <c r="BA34" s="777"/>
      <c r="BB34" s="777"/>
      <c r="BC34" s="777"/>
      <c r="BD34" s="777"/>
      <c r="BE34" s="777"/>
      <c r="BF34" s="777"/>
      <c r="BG34" s="777"/>
      <c r="BH34" s="777"/>
      <c r="BI34" s="777"/>
      <c r="BJ34" s="777"/>
      <c r="BK34" s="777"/>
      <c r="BL34" s="777"/>
      <c r="BM34" s="777"/>
      <c r="BN34" s="777"/>
      <c r="BO34" s="777"/>
      <c r="BP34" s="777"/>
      <c r="BQ34" s="777"/>
      <c r="BR34" s="777"/>
      <c r="BS34" s="777"/>
      <c r="BT34" s="777"/>
    </row>
    <row r="35" spans="1:72" x14ac:dyDescent="0.25">
      <c r="A35" s="782" t="s">
        <v>311</v>
      </c>
      <c r="B35" s="783">
        <f t="shared" si="0"/>
        <v>1.0046194107582356</v>
      </c>
      <c r="C35" s="783">
        <f t="shared" si="1"/>
        <v>1.003094645903579</v>
      </c>
      <c r="D35" s="783">
        <f t="shared" si="2"/>
        <v>0.99710816742279029</v>
      </c>
      <c r="E35" s="1650"/>
      <c r="F35" s="1650"/>
      <c r="G35" s="1650"/>
      <c r="H35" s="1650"/>
      <c r="I35" s="1650"/>
      <c r="J35" s="786">
        <v>1996</v>
      </c>
      <c r="K35" s="787">
        <v>93.9</v>
      </c>
      <c r="L35" s="777"/>
      <c r="M35" s="777"/>
      <c r="N35" s="777"/>
      <c r="O35" s="777"/>
      <c r="P35" s="777"/>
      <c r="Q35" s="777"/>
      <c r="R35" s="777"/>
      <c r="S35" s="777"/>
      <c r="T35" s="777"/>
      <c r="U35" s="777"/>
      <c r="V35" s="777"/>
      <c r="W35" s="777"/>
      <c r="X35" s="777"/>
      <c r="Y35" s="777"/>
      <c r="Z35" s="777"/>
      <c r="AA35" s="777"/>
      <c r="AB35" s="777"/>
      <c r="AC35" s="777"/>
      <c r="AD35" s="777"/>
      <c r="AE35" s="777"/>
      <c r="AF35" s="777"/>
      <c r="AG35" s="777"/>
      <c r="AH35" s="777"/>
      <c r="AI35" s="777"/>
      <c r="AJ35" s="777"/>
      <c r="AK35" s="777"/>
      <c r="AL35" s="777"/>
      <c r="AM35" s="777"/>
      <c r="AN35" s="777"/>
      <c r="AO35" s="777"/>
      <c r="AP35" s="777"/>
      <c r="AQ35" s="777"/>
      <c r="AR35" s="777"/>
      <c r="AS35" s="777"/>
      <c r="AT35" s="777"/>
      <c r="AU35" s="777"/>
      <c r="AV35" s="777"/>
      <c r="AW35" s="777"/>
      <c r="AX35" s="777"/>
      <c r="AY35" s="777"/>
      <c r="AZ35" s="777"/>
      <c r="BA35" s="777"/>
      <c r="BB35" s="777"/>
      <c r="BC35" s="777"/>
      <c r="BD35" s="777"/>
      <c r="BE35" s="777"/>
      <c r="BF35" s="777"/>
      <c r="BG35" s="777"/>
      <c r="BH35" s="777"/>
      <c r="BI35" s="777"/>
      <c r="BJ35" s="777"/>
      <c r="BK35" s="777"/>
      <c r="BL35" s="777"/>
      <c r="BM35" s="777"/>
      <c r="BN35" s="777"/>
      <c r="BO35" s="777"/>
      <c r="BP35" s="777"/>
      <c r="BQ35" s="777"/>
      <c r="BR35" s="777"/>
      <c r="BS35" s="777"/>
      <c r="BT35" s="777"/>
    </row>
    <row r="36" spans="1:72" x14ac:dyDescent="0.25">
      <c r="A36" s="1652"/>
      <c r="B36" s="1653"/>
      <c r="C36" s="1653"/>
      <c r="D36" s="1653"/>
      <c r="E36" s="1650"/>
      <c r="F36" s="1650"/>
      <c r="G36" s="1650"/>
      <c r="H36" s="1650"/>
      <c r="I36" s="1650"/>
      <c r="J36" s="784">
        <v>1997</v>
      </c>
      <c r="K36" s="785">
        <v>95.4</v>
      </c>
      <c r="L36" s="777"/>
      <c r="M36" s="777"/>
      <c r="N36" s="777"/>
      <c r="O36" s="777"/>
      <c r="P36" s="777"/>
      <c r="Q36" s="777"/>
      <c r="R36" s="777"/>
      <c r="S36" s="777"/>
      <c r="T36" s="777"/>
      <c r="U36" s="777"/>
      <c r="V36" s="777"/>
      <c r="W36" s="777"/>
      <c r="X36" s="777"/>
      <c r="Y36" s="777"/>
      <c r="Z36" s="777"/>
      <c r="AA36" s="777"/>
      <c r="AB36" s="777"/>
      <c r="AC36" s="777"/>
      <c r="AD36" s="777"/>
      <c r="AE36" s="777"/>
      <c r="AF36" s="777"/>
      <c r="AG36" s="777"/>
      <c r="AH36" s="777"/>
      <c r="AI36" s="777"/>
      <c r="AJ36" s="777"/>
      <c r="AK36" s="777"/>
      <c r="AL36" s="777"/>
      <c r="AM36" s="777"/>
      <c r="AN36" s="777"/>
      <c r="AO36" s="777"/>
      <c r="AP36" s="777"/>
      <c r="AQ36" s="777"/>
      <c r="AR36" s="777"/>
      <c r="AS36" s="777"/>
      <c r="AT36" s="777"/>
      <c r="AU36" s="777"/>
      <c r="AV36" s="777"/>
      <c r="AW36" s="777"/>
      <c r="AX36" s="777"/>
      <c r="AY36" s="777"/>
      <c r="AZ36" s="777"/>
      <c r="BA36" s="777"/>
      <c r="BB36" s="777"/>
      <c r="BC36" s="777"/>
      <c r="BD36" s="777"/>
      <c r="BE36" s="777"/>
      <c r="BF36" s="777"/>
      <c r="BG36" s="777"/>
      <c r="BH36" s="777"/>
      <c r="BI36" s="777"/>
      <c r="BJ36" s="777"/>
      <c r="BK36" s="777"/>
      <c r="BL36" s="777"/>
      <c r="BM36" s="777"/>
      <c r="BN36" s="777"/>
      <c r="BO36" s="777"/>
      <c r="BP36" s="777"/>
      <c r="BQ36" s="777"/>
      <c r="BR36" s="777"/>
      <c r="BS36" s="777"/>
      <c r="BT36" s="777"/>
    </row>
    <row r="37" spans="1:72" x14ac:dyDescent="0.25">
      <c r="A37" s="1652"/>
      <c r="B37" s="1653"/>
      <c r="C37" s="1653"/>
      <c r="D37" s="1653"/>
      <c r="E37" s="1650"/>
      <c r="F37" s="1650"/>
      <c r="G37" s="1650"/>
      <c r="H37" s="1650"/>
      <c r="I37" s="1650"/>
      <c r="J37" s="786">
        <v>1998</v>
      </c>
      <c r="K37" s="787">
        <v>96.5</v>
      </c>
      <c r="L37" s="777"/>
      <c r="M37" s="777"/>
      <c r="N37" s="777"/>
      <c r="O37" s="777"/>
      <c r="P37" s="777"/>
      <c r="Q37" s="777"/>
      <c r="R37" s="777"/>
      <c r="S37" s="777"/>
      <c r="T37" s="777"/>
      <c r="U37" s="777"/>
      <c r="V37" s="777"/>
      <c r="W37" s="777"/>
      <c r="X37" s="777"/>
      <c r="Y37" s="777"/>
      <c r="Z37" s="777"/>
      <c r="AA37" s="777"/>
      <c r="AB37" s="777"/>
      <c r="AC37" s="777"/>
      <c r="AD37" s="777"/>
      <c r="AE37" s="777"/>
      <c r="AF37" s="777"/>
      <c r="AG37" s="777"/>
      <c r="AH37" s="777"/>
      <c r="AI37" s="777"/>
      <c r="AJ37" s="777"/>
      <c r="AK37" s="777"/>
      <c r="AL37" s="777"/>
      <c r="AM37" s="777"/>
      <c r="AN37" s="777"/>
      <c r="AO37" s="777"/>
      <c r="AP37" s="777"/>
      <c r="AQ37" s="777"/>
      <c r="AR37" s="777"/>
      <c r="AS37" s="777"/>
      <c r="AT37" s="777"/>
      <c r="AU37" s="777"/>
      <c r="AV37" s="777"/>
      <c r="AW37" s="777"/>
      <c r="AX37" s="777"/>
      <c r="AY37" s="777"/>
      <c r="AZ37" s="777"/>
      <c r="BA37" s="777"/>
      <c r="BB37" s="777"/>
      <c r="BC37" s="777"/>
      <c r="BD37" s="777"/>
      <c r="BE37" s="777"/>
      <c r="BF37" s="777"/>
      <c r="BG37" s="777"/>
      <c r="BH37" s="777"/>
      <c r="BI37" s="777"/>
      <c r="BJ37" s="777"/>
      <c r="BK37" s="777"/>
      <c r="BL37" s="777"/>
      <c r="BM37" s="777"/>
      <c r="BN37" s="777"/>
      <c r="BO37" s="777"/>
      <c r="BP37" s="777"/>
      <c r="BQ37" s="777"/>
      <c r="BR37" s="777"/>
      <c r="BS37" s="777"/>
      <c r="BT37" s="777"/>
    </row>
    <row r="38" spans="1:72" x14ac:dyDescent="0.25">
      <c r="A38" s="1657" t="s">
        <v>566</v>
      </c>
      <c r="B38" s="1658"/>
      <c r="C38" s="788" t="s">
        <v>567</v>
      </c>
      <c r="D38" s="788" t="s">
        <v>567</v>
      </c>
      <c r="E38" s="1658" t="s">
        <v>1095</v>
      </c>
      <c r="F38" s="1658"/>
      <c r="G38" s="1658"/>
      <c r="H38" s="1658"/>
      <c r="I38" s="1658"/>
      <c r="J38" s="784">
        <v>1999</v>
      </c>
      <c r="K38" s="785">
        <v>97.9</v>
      </c>
      <c r="L38" s="777"/>
      <c r="M38" s="777"/>
      <c r="N38" s="777"/>
      <c r="O38" s="777"/>
      <c r="P38" s="777"/>
      <c r="Q38" s="777"/>
      <c r="R38" s="777"/>
      <c r="S38" s="777"/>
      <c r="T38" s="777"/>
      <c r="U38" s="777"/>
      <c r="V38" s="777"/>
      <c r="W38" s="777"/>
      <c r="X38" s="777"/>
      <c r="Y38" s="777"/>
      <c r="Z38" s="777"/>
      <c r="AA38" s="777"/>
      <c r="AB38" s="777"/>
      <c r="AC38" s="777"/>
      <c r="AD38" s="777"/>
      <c r="AE38" s="777"/>
      <c r="AF38" s="777"/>
      <c r="AG38" s="777"/>
      <c r="AH38" s="777"/>
      <c r="AI38" s="777"/>
      <c r="AJ38" s="777"/>
      <c r="AK38" s="777"/>
      <c r="AL38" s="777"/>
      <c r="AM38" s="777"/>
      <c r="AN38" s="777"/>
      <c r="AO38" s="777"/>
      <c r="AP38" s="777"/>
      <c r="AQ38" s="777"/>
      <c r="AR38" s="777"/>
      <c r="AS38" s="777"/>
      <c r="AT38" s="777"/>
      <c r="AU38" s="777"/>
      <c r="AV38" s="777"/>
      <c r="AW38" s="777"/>
      <c r="AX38" s="777"/>
      <c r="AY38" s="777"/>
      <c r="AZ38" s="777"/>
      <c r="BA38" s="777"/>
      <c r="BB38" s="777"/>
      <c r="BC38" s="777"/>
      <c r="BD38" s="777"/>
      <c r="BE38" s="777"/>
      <c r="BF38" s="777"/>
      <c r="BG38" s="777"/>
      <c r="BH38" s="777"/>
      <c r="BI38" s="777"/>
      <c r="BJ38" s="777"/>
      <c r="BK38" s="777"/>
      <c r="BL38" s="777"/>
      <c r="BM38" s="777"/>
      <c r="BN38" s="777"/>
      <c r="BO38" s="777"/>
      <c r="BP38" s="777"/>
      <c r="BQ38" s="777"/>
      <c r="BR38" s="777"/>
      <c r="BS38" s="777"/>
      <c r="BT38" s="777"/>
    </row>
    <row r="39" spans="1:72" x14ac:dyDescent="0.25">
      <c r="A39" s="782"/>
      <c r="B39" s="741" t="s">
        <v>1031</v>
      </c>
      <c r="C39" s="786">
        <v>2000</v>
      </c>
      <c r="D39" s="786">
        <v>2005</v>
      </c>
      <c r="E39" s="786">
        <v>2020</v>
      </c>
      <c r="F39" s="786">
        <v>2035</v>
      </c>
      <c r="G39" s="786">
        <v>2050</v>
      </c>
      <c r="H39" s="786">
        <v>2065</v>
      </c>
      <c r="I39" s="786">
        <v>2070</v>
      </c>
      <c r="J39" s="786">
        <v>2000</v>
      </c>
      <c r="K39" s="787">
        <v>100</v>
      </c>
      <c r="L39" s="777"/>
      <c r="M39" s="777"/>
      <c r="N39" s="777"/>
      <c r="O39" s="777"/>
      <c r="P39" s="777"/>
      <c r="Q39" s="777"/>
      <c r="R39" s="777"/>
      <c r="S39" s="777"/>
      <c r="T39" s="777"/>
      <c r="U39" s="777"/>
      <c r="V39" s="777"/>
      <c r="W39" s="777"/>
      <c r="X39" s="777"/>
      <c r="Y39" s="777"/>
      <c r="Z39" s="777"/>
      <c r="AA39" s="777"/>
      <c r="AB39" s="777"/>
      <c r="AC39" s="777"/>
      <c r="AD39" s="777"/>
      <c r="AE39" s="777"/>
      <c r="AF39" s="777"/>
      <c r="AG39" s="777"/>
      <c r="AH39" s="777"/>
      <c r="AI39" s="777"/>
      <c r="AJ39" s="777"/>
      <c r="AK39" s="777"/>
      <c r="AL39" s="777"/>
      <c r="AM39" s="777"/>
      <c r="AN39" s="777"/>
      <c r="AO39" s="777"/>
      <c r="AP39" s="777"/>
      <c r="AQ39" s="777"/>
      <c r="AR39" s="777"/>
      <c r="AS39" s="777"/>
      <c r="AT39" s="777"/>
      <c r="AU39" s="777"/>
      <c r="AV39" s="777"/>
      <c r="AW39" s="777"/>
      <c r="AX39" s="777"/>
      <c r="AY39" s="777"/>
      <c r="AZ39" s="777"/>
      <c r="BA39" s="777"/>
      <c r="BB39" s="777"/>
      <c r="BC39" s="777"/>
      <c r="BD39" s="777"/>
      <c r="BE39" s="777"/>
      <c r="BF39" s="777"/>
      <c r="BG39" s="777"/>
      <c r="BH39" s="777"/>
      <c r="BI39" s="777"/>
      <c r="BJ39" s="777"/>
      <c r="BK39" s="777"/>
      <c r="BL39" s="777"/>
      <c r="BM39" s="777"/>
      <c r="BN39" s="777"/>
      <c r="BO39" s="777"/>
      <c r="BP39" s="777"/>
      <c r="BQ39" s="777"/>
      <c r="BR39" s="777"/>
      <c r="BS39" s="777"/>
      <c r="BT39" s="777"/>
    </row>
    <row r="40" spans="1:72" x14ac:dyDescent="0.25">
      <c r="A40" s="780" t="s">
        <v>558</v>
      </c>
      <c r="B40" s="789" t="s">
        <v>568</v>
      </c>
      <c r="C40" s="784">
        <v>25.276500000000002</v>
      </c>
      <c r="D40" s="784">
        <v>25.071000000000002</v>
      </c>
      <c r="E40" s="784">
        <v>49.911552427759986</v>
      </c>
      <c r="F40" s="784">
        <v>51.73380738099187</v>
      </c>
      <c r="G40" s="784">
        <v>54.228868079187265</v>
      </c>
      <c r="H40" s="784">
        <v>57.083559627090274</v>
      </c>
      <c r="I40" s="784">
        <v>57.998580810871225</v>
      </c>
      <c r="J40" s="784">
        <v>2001</v>
      </c>
      <c r="K40" s="785">
        <v>102.4</v>
      </c>
      <c r="L40" s="777"/>
      <c r="M40" s="777"/>
      <c r="N40" s="777"/>
      <c r="O40" s="777"/>
      <c r="P40" s="777"/>
      <c r="Q40" s="777"/>
      <c r="R40" s="777"/>
      <c r="S40" s="777"/>
      <c r="T40" s="777"/>
      <c r="U40" s="777"/>
      <c r="V40" s="777"/>
      <c r="W40" s="777"/>
      <c r="X40" s="777"/>
      <c r="Y40" s="777"/>
      <c r="Z40" s="777"/>
      <c r="AA40" s="777"/>
      <c r="AB40" s="777"/>
      <c r="AC40" s="777"/>
      <c r="AD40" s="777"/>
      <c r="AE40" s="777"/>
      <c r="AF40" s="777"/>
      <c r="AG40" s="777"/>
      <c r="AH40" s="777"/>
      <c r="AI40" s="777"/>
      <c r="AJ40" s="777"/>
      <c r="AK40" s="777"/>
      <c r="AL40" s="777"/>
      <c r="AM40" s="777"/>
      <c r="AN40" s="777"/>
      <c r="AO40" s="777"/>
      <c r="AP40" s="777"/>
      <c r="AQ40" s="777"/>
      <c r="AR40" s="777"/>
      <c r="AS40" s="777"/>
      <c r="AT40" s="777"/>
      <c r="AU40" s="777"/>
      <c r="AV40" s="777"/>
      <c r="AW40" s="777"/>
      <c r="AX40" s="777"/>
      <c r="AY40" s="777"/>
      <c r="AZ40" s="777"/>
      <c r="BA40" s="777"/>
      <c r="BB40" s="777"/>
      <c r="BC40" s="777"/>
      <c r="BD40" s="777"/>
      <c r="BE40" s="777"/>
      <c r="BF40" s="777"/>
      <c r="BG40" s="777"/>
      <c r="BH40" s="777"/>
      <c r="BI40" s="777"/>
      <c r="BJ40" s="777"/>
      <c r="BK40" s="777"/>
      <c r="BL40" s="777"/>
      <c r="BM40" s="777"/>
      <c r="BN40" s="777"/>
      <c r="BO40" s="777"/>
      <c r="BP40" s="777"/>
      <c r="BQ40" s="777"/>
      <c r="BR40" s="777"/>
      <c r="BS40" s="777"/>
      <c r="BT40" s="777"/>
    </row>
    <row r="41" spans="1:72" x14ac:dyDescent="0.25">
      <c r="A41" s="782" t="s">
        <v>559</v>
      </c>
      <c r="B41" s="790" t="s">
        <v>569</v>
      </c>
      <c r="C41" s="786">
        <v>3.83</v>
      </c>
      <c r="D41" s="786">
        <v>2.88</v>
      </c>
      <c r="E41" s="786">
        <v>3.4820792312666162</v>
      </c>
      <c r="F41" s="786">
        <v>3.718467288972283</v>
      </c>
      <c r="G41" s="786">
        <v>4.254403392012021</v>
      </c>
      <c r="H41" s="786">
        <v>4.8331418485312492</v>
      </c>
      <c r="I41" s="786">
        <v>5.0085938618348607</v>
      </c>
      <c r="J41" s="786">
        <v>2002</v>
      </c>
      <c r="K41" s="787">
        <v>104.1</v>
      </c>
      <c r="L41" s="777"/>
      <c r="M41" s="777"/>
      <c r="N41" s="777"/>
      <c r="O41" s="777"/>
      <c r="P41" s="777"/>
      <c r="Q41" s="777"/>
      <c r="R41" s="777"/>
      <c r="S41" s="777"/>
      <c r="T41" s="777"/>
      <c r="U41" s="777"/>
      <c r="V41" s="777"/>
      <c r="W41" s="777"/>
      <c r="X41" s="777"/>
      <c r="Y41" s="777"/>
      <c r="Z41" s="777"/>
      <c r="AA41" s="777"/>
      <c r="AB41" s="777"/>
      <c r="AC41" s="777"/>
      <c r="AD41" s="777"/>
      <c r="AE41" s="777"/>
      <c r="AF41" s="777"/>
      <c r="AG41" s="777"/>
      <c r="AH41" s="777"/>
      <c r="AI41" s="777"/>
      <c r="AJ41" s="777"/>
      <c r="AK41" s="777"/>
      <c r="AL41" s="777"/>
      <c r="AM41" s="777"/>
      <c r="AN41" s="777"/>
      <c r="AO41" s="777"/>
      <c r="AP41" s="777"/>
      <c r="AQ41" s="777"/>
      <c r="AR41" s="777"/>
      <c r="AS41" s="777"/>
      <c r="AT41" s="777"/>
      <c r="AU41" s="777"/>
      <c r="AV41" s="777"/>
      <c r="AW41" s="777"/>
      <c r="AX41" s="777"/>
      <c r="AY41" s="777"/>
      <c r="AZ41" s="777"/>
      <c r="BA41" s="777"/>
      <c r="BB41" s="777"/>
      <c r="BC41" s="777"/>
      <c r="BD41" s="777"/>
      <c r="BE41" s="777"/>
      <c r="BF41" s="777"/>
      <c r="BG41" s="777"/>
      <c r="BH41" s="777"/>
      <c r="BI41" s="777"/>
      <c r="BJ41" s="777"/>
      <c r="BK41" s="777"/>
      <c r="BL41" s="777"/>
      <c r="BM41" s="777"/>
      <c r="BN41" s="777"/>
      <c r="BO41" s="777"/>
      <c r="BP41" s="777"/>
      <c r="BQ41" s="777"/>
      <c r="BR41" s="777"/>
      <c r="BS41" s="777"/>
      <c r="BT41" s="777"/>
    </row>
    <row r="42" spans="1:72" x14ac:dyDescent="0.25">
      <c r="A42" s="780" t="s">
        <v>560</v>
      </c>
      <c r="B42" s="789" t="s">
        <v>569</v>
      </c>
      <c r="C42" s="784">
        <v>4.333333333333333</v>
      </c>
      <c r="D42" s="784">
        <v>3.2058823529411766</v>
      </c>
      <c r="E42" s="784">
        <v>5.3135477999345282</v>
      </c>
      <c r="F42" s="784">
        <v>5.6703709369749671</v>
      </c>
      <c r="G42" s="784">
        <v>6.3804589018936815</v>
      </c>
      <c r="H42" s="784">
        <v>7.1603102550975084</v>
      </c>
      <c r="I42" s="784">
        <v>7.3649472464330987</v>
      </c>
      <c r="J42" s="784">
        <v>2003</v>
      </c>
      <c r="K42" s="785">
        <v>106</v>
      </c>
      <c r="L42" s="777"/>
      <c r="M42" s="777"/>
      <c r="N42" s="777"/>
      <c r="O42" s="777"/>
      <c r="P42" s="777"/>
      <c r="Q42" s="777"/>
      <c r="R42" s="777"/>
      <c r="S42" s="777"/>
      <c r="T42" s="777"/>
      <c r="U42" s="777"/>
      <c r="V42" s="777"/>
      <c r="W42" s="777"/>
      <c r="X42" s="777"/>
      <c r="Y42" s="777"/>
      <c r="Z42" s="777"/>
      <c r="AA42" s="777"/>
      <c r="AB42" s="777"/>
      <c r="AC42" s="777"/>
      <c r="AD42" s="777"/>
      <c r="AE42" s="777"/>
      <c r="AF42" s="777"/>
      <c r="AG42" s="777"/>
      <c r="AH42" s="777"/>
      <c r="AI42" s="777"/>
      <c r="AJ42" s="777"/>
      <c r="AK42" s="777"/>
      <c r="AL42" s="777"/>
      <c r="AM42" s="777"/>
      <c r="AN42" s="777"/>
      <c r="AO42" s="777"/>
      <c r="AP42" s="777"/>
      <c r="AQ42" s="777"/>
      <c r="AR42" s="777"/>
      <c r="AS42" s="777"/>
      <c r="AT42" s="777"/>
      <c r="AU42" s="777"/>
      <c r="AV42" s="777"/>
      <c r="AW42" s="777"/>
      <c r="AX42" s="777"/>
      <c r="AY42" s="777"/>
      <c r="AZ42" s="777"/>
      <c r="BA42" s="777"/>
      <c r="BB42" s="777"/>
      <c r="BC42" s="777"/>
      <c r="BD42" s="777"/>
      <c r="BE42" s="777"/>
      <c r="BF42" s="777"/>
      <c r="BG42" s="777"/>
      <c r="BH42" s="777"/>
      <c r="BI42" s="777"/>
      <c r="BJ42" s="777"/>
      <c r="BK42" s="777"/>
      <c r="BL42" s="777"/>
      <c r="BM42" s="777"/>
      <c r="BN42" s="777"/>
      <c r="BO42" s="777"/>
      <c r="BP42" s="777"/>
      <c r="BQ42" s="777"/>
      <c r="BR42" s="777"/>
      <c r="BS42" s="777"/>
      <c r="BT42" s="777"/>
    </row>
    <row r="43" spans="1:72" x14ac:dyDescent="0.25">
      <c r="A43" s="782" t="s">
        <v>561</v>
      </c>
      <c r="B43" s="790" t="s">
        <v>570</v>
      </c>
      <c r="C43" s="786">
        <v>28.35</v>
      </c>
      <c r="D43" s="786">
        <v>23.27</v>
      </c>
      <c r="E43" s="786">
        <v>38.166254666132858</v>
      </c>
      <c r="F43" s="786">
        <v>44.018296607182357</v>
      </c>
      <c r="G43" s="786">
        <v>47.046046898954408</v>
      </c>
      <c r="H43" s="786">
        <v>48.050792851691</v>
      </c>
      <c r="I43" s="786">
        <v>48.201553003292787</v>
      </c>
      <c r="J43" s="786">
        <v>2004</v>
      </c>
      <c r="K43" s="791">
        <v>108.3</v>
      </c>
      <c r="L43" s="777"/>
      <c r="M43" s="777"/>
      <c r="N43" s="777"/>
      <c r="O43" s="777"/>
      <c r="P43" s="777"/>
      <c r="Q43" s="777"/>
      <c r="R43" s="777"/>
      <c r="S43" s="777"/>
      <c r="T43" s="777"/>
      <c r="U43" s="777"/>
      <c r="V43" s="777"/>
      <c r="W43" s="777"/>
      <c r="X43" s="777"/>
      <c r="Y43" s="777"/>
      <c r="Z43" s="777"/>
      <c r="AA43" s="777"/>
      <c r="AB43" s="777"/>
      <c r="AC43" s="777"/>
      <c r="AD43" s="777"/>
      <c r="AE43" s="777"/>
      <c r="AF43" s="777"/>
      <c r="AG43" s="777"/>
      <c r="AH43" s="777"/>
      <c r="AI43" s="777"/>
      <c r="AJ43" s="777"/>
      <c r="AK43" s="777"/>
      <c r="AL43" s="777"/>
      <c r="AM43" s="777"/>
      <c r="AN43" s="777"/>
      <c r="AO43" s="777"/>
      <c r="AP43" s="777"/>
      <c r="AQ43" s="777"/>
      <c r="AR43" s="777"/>
      <c r="AS43" s="777"/>
      <c r="AT43" s="777"/>
      <c r="AU43" s="777"/>
      <c r="AV43" s="777"/>
      <c r="AW43" s="777"/>
      <c r="AX43" s="777"/>
      <c r="AY43" s="777"/>
      <c r="AZ43" s="777"/>
      <c r="BA43" s="777"/>
      <c r="BB43" s="777"/>
      <c r="BC43" s="777"/>
      <c r="BD43" s="777"/>
      <c r="BE43" s="777"/>
      <c r="BF43" s="777"/>
      <c r="BG43" s="777"/>
      <c r="BH43" s="777"/>
      <c r="BI43" s="777"/>
      <c r="BJ43" s="777"/>
      <c r="BK43" s="777"/>
      <c r="BL43" s="777"/>
      <c r="BM43" s="777"/>
      <c r="BN43" s="777"/>
      <c r="BO43" s="777"/>
      <c r="BP43" s="777"/>
      <c r="BQ43" s="777"/>
      <c r="BR43" s="777"/>
      <c r="BS43" s="777"/>
      <c r="BT43" s="777"/>
    </row>
    <row r="44" spans="1:72" x14ac:dyDescent="0.25">
      <c r="A44" s="780" t="s">
        <v>562</v>
      </c>
      <c r="B44" s="789" t="s">
        <v>571</v>
      </c>
      <c r="C44" s="784">
        <v>1.5176666666666667</v>
      </c>
      <c r="D44" s="784">
        <v>1.2925714285714285</v>
      </c>
      <c r="E44" s="784">
        <v>1.9428327208531595</v>
      </c>
      <c r="F44" s="784">
        <v>2.1262391061548653</v>
      </c>
      <c r="G44" s="784">
        <v>2.2056865867102777</v>
      </c>
      <c r="H44" s="784">
        <v>2.2243217316177319</v>
      </c>
      <c r="I44" s="784">
        <v>2.2266990166381286</v>
      </c>
      <c r="J44" s="784">
        <v>2005</v>
      </c>
      <c r="K44" s="792">
        <v>110.5</v>
      </c>
      <c r="L44" s="777"/>
      <c r="M44" s="777"/>
      <c r="N44" s="777"/>
      <c r="O44" s="777"/>
      <c r="P44" s="777"/>
      <c r="Q44" s="777"/>
      <c r="R44" s="777"/>
      <c r="S44" s="777"/>
      <c r="T44" s="777"/>
      <c r="U44" s="777"/>
      <c r="V44" s="777"/>
      <c r="W44" s="777"/>
      <c r="X44" s="777"/>
      <c r="Y44" s="777"/>
      <c r="Z44" s="777"/>
      <c r="AA44" s="777"/>
      <c r="AB44" s="777"/>
      <c r="AC44" s="777"/>
      <c r="AD44" s="777"/>
      <c r="AE44" s="777"/>
      <c r="AF44" s="777"/>
      <c r="AG44" s="777"/>
      <c r="AH44" s="777"/>
      <c r="AI44" s="777"/>
      <c r="AJ44" s="777"/>
      <c r="AK44" s="777"/>
      <c r="AL44" s="777"/>
      <c r="AM44" s="777"/>
      <c r="AN44" s="777"/>
      <c r="AO44" s="777"/>
      <c r="AP44" s="777"/>
      <c r="AQ44" s="777"/>
      <c r="AR44" s="777"/>
      <c r="AS44" s="777"/>
      <c r="AT44" s="777"/>
      <c r="AU44" s="777"/>
      <c r="AV44" s="777"/>
      <c r="AW44" s="777"/>
      <c r="AX44" s="777"/>
      <c r="AY44" s="777"/>
      <c r="AZ44" s="777"/>
      <c r="BA44" s="777"/>
      <c r="BB44" s="777"/>
      <c r="BC44" s="777"/>
      <c r="BD44" s="777"/>
      <c r="BE44" s="777"/>
      <c r="BF44" s="777"/>
      <c r="BG44" s="777"/>
      <c r="BH44" s="777"/>
      <c r="BI44" s="777"/>
      <c r="BJ44" s="777"/>
      <c r="BK44" s="777"/>
      <c r="BL44" s="777"/>
      <c r="BM44" s="777"/>
      <c r="BN44" s="777"/>
      <c r="BO44" s="777"/>
      <c r="BP44" s="777"/>
      <c r="BQ44" s="777"/>
      <c r="BR44" s="777"/>
      <c r="BS44" s="777"/>
      <c r="BT44" s="777"/>
    </row>
    <row r="45" spans="1:72" x14ac:dyDescent="0.25">
      <c r="A45" s="782" t="s">
        <v>563</v>
      </c>
      <c r="B45" s="790" t="s">
        <v>572</v>
      </c>
      <c r="C45" s="786">
        <v>6.9</v>
      </c>
      <c r="D45" s="786">
        <v>6.4</v>
      </c>
      <c r="E45" s="786">
        <v>7.2674708046079139</v>
      </c>
      <c r="F45" s="786">
        <v>7.0885496188632935</v>
      </c>
      <c r="G45" s="786">
        <v>6.9118429447797478</v>
      </c>
      <c r="H45" s="786">
        <v>6.9722480090117775</v>
      </c>
      <c r="I45" s="786">
        <v>6.9487741854044058</v>
      </c>
      <c r="J45" s="1659" t="s">
        <v>750</v>
      </c>
      <c r="K45" s="1660"/>
      <c r="L45" s="777"/>
      <c r="M45" s="777"/>
      <c r="N45" s="777"/>
      <c r="O45" s="777"/>
      <c r="P45" s="777"/>
      <c r="Q45" s="777"/>
      <c r="R45" s="777"/>
      <c r="S45" s="777"/>
      <c r="T45" s="777"/>
      <c r="U45" s="777"/>
      <c r="V45" s="777"/>
      <c r="W45" s="777"/>
      <c r="X45" s="777"/>
      <c r="Y45" s="777"/>
      <c r="Z45" s="777"/>
      <c r="AA45" s="777"/>
      <c r="AB45" s="777"/>
      <c r="AC45" s="777"/>
      <c r="AD45" s="777"/>
      <c r="AE45" s="777"/>
      <c r="AF45" s="777"/>
      <c r="AG45" s="777"/>
      <c r="AH45" s="777"/>
      <c r="AI45" s="777"/>
      <c r="AJ45" s="777"/>
      <c r="AK45" s="777"/>
      <c r="AL45" s="777"/>
      <c r="AM45" s="777"/>
      <c r="AN45" s="777"/>
      <c r="AO45" s="777"/>
      <c r="AP45" s="777"/>
      <c r="AQ45" s="777"/>
      <c r="AR45" s="777"/>
      <c r="AS45" s="777"/>
      <c r="AT45" s="777"/>
      <c r="AU45" s="777"/>
      <c r="AV45" s="777"/>
      <c r="AW45" s="777"/>
      <c r="AX45" s="777"/>
      <c r="AY45" s="777"/>
      <c r="AZ45" s="777"/>
      <c r="BA45" s="777"/>
      <c r="BB45" s="777"/>
      <c r="BC45" s="777"/>
      <c r="BD45" s="777"/>
      <c r="BE45" s="777"/>
      <c r="BF45" s="777"/>
      <c r="BG45" s="777"/>
      <c r="BH45" s="777"/>
      <c r="BI45" s="777"/>
      <c r="BJ45" s="777"/>
      <c r="BK45" s="777"/>
      <c r="BL45" s="777"/>
      <c r="BM45" s="777"/>
      <c r="BN45" s="777"/>
      <c r="BO45" s="777"/>
      <c r="BP45" s="777"/>
      <c r="BQ45" s="777"/>
      <c r="BR45" s="777"/>
      <c r="BS45" s="777"/>
      <c r="BT45" s="777"/>
    </row>
    <row r="46" spans="1:72" x14ac:dyDescent="0.25">
      <c r="A46" s="780" t="s">
        <v>564</v>
      </c>
      <c r="B46" s="789" t="s">
        <v>573</v>
      </c>
      <c r="C46" s="784"/>
      <c r="D46" s="784"/>
      <c r="E46" s="784">
        <v>3.9267286033597717</v>
      </c>
      <c r="F46" s="784">
        <v>3.4025762910602637</v>
      </c>
      <c r="G46" s="784">
        <v>3.7218644965506216</v>
      </c>
      <c r="H46" s="784">
        <v>4.0392206503019663</v>
      </c>
      <c r="I46" s="784">
        <v>4.0968490901035652</v>
      </c>
      <c r="J46" s="1659"/>
      <c r="K46" s="1660"/>
      <c r="L46" s="777"/>
      <c r="M46" s="777"/>
      <c r="N46" s="777"/>
      <c r="O46" s="777"/>
      <c r="P46" s="777"/>
      <c r="Q46" s="777"/>
      <c r="R46" s="777"/>
      <c r="S46" s="777"/>
      <c r="T46" s="777"/>
      <c r="U46" s="777"/>
      <c r="V46" s="777"/>
      <c r="W46" s="777"/>
      <c r="X46" s="777"/>
      <c r="Y46" s="777"/>
      <c r="Z46" s="777"/>
      <c r="AA46" s="777"/>
      <c r="AB46" s="777"/>
      <c r="AC46" s="777"/>
      <c r="AD46" s="777"/>
      <c r="AE46" s="777"/>
      <c r="AF46" s="777"/>
      <c r="AG46" s="777"/>
      <c r="AH46" s="777"/>
      <c r="AI46" s="777"/>
      <c r="AJ46" s="777"/>
      <c r="AK46" s="777"/>
      <c r="AL46" s="777"/>
      <c r="AM46" s="777"/>
      <c r="AN46" s="777"/>
      <c r="AO46" s="777"/>
      <c r="AP46" s="777"/>
      <c r="AQ46" s="777"/>
      <c r="AR46" s="777"/>
      <c r="AS46" s="777"/>
      <c r="AT46" s="777"/>
      <c r="AU46" s="777"/>
      <c r="AV46" s="777"/>
      <c r="AW46" s="777"/>
      <c r="AX46" s="777"/>
      <c r="AY46" s="777"/>
      <c r="AZ46" s="777"/>
      <c r="BA46" s="777"/>
      <c r="BB46" s="777"/>
      <c r="BC46" s="777"/>
      <c r="BD46" s="777"/>
      <c r="BE46" s="777"/>
      <c r="BF46" s="777"/>
      <c r="BG46" s="777"/>
      <c r="BH46" s="777"/>
      <c r="BI46" s="777"/>
      <c r="BJ46" s="777"/>
      <c r="BK46" s="777"/>
      <c r="BL46" s="777"/>
      <c r="BM46" s="777"/>
      <c r="BN46" s="777"/>
      <c r="BO46" s="777"/>
      <c r="BP46" s="777"/>
      <c r="BQ46" s="777"/>
      <c r="BR46" s="777"/>
      <c r="BS46" s="777"/>
      <c r="BT46" s="777"/>
    </row>
    <row r="47" spans="1:72" x14ac:dyDescent="0.25">
      <c r="A47" s="782" t="s">
        <v>311</v>
      </c>
      <c r="B47" s="790" t="s">
        <v>573</v>
      </c>
      <c r="C47" s="786"/>
      <c r="D47" s="786"/>
      <c r="E47" s="786">
        <v>24.686324737923844</v>
      </c>
      <c r="F47" s="786">
        <v>23.090083577893328</v>
      </c>
      <c r="G47" s="786">
        <v>23.196746158381607</v>
      </c>
      <c r="H47" s="786">
        <v>23.268531873857007</v>
      </c>
      <c r="I47" s="786">
        <v>23.201243175360347</v>
      </c>
      <c r="J47" s="1659"/>
      <c r="K47" s="1660"/>
      <c r="L47" s="777"/>
      <c r="M47" s="777"/>
      <c r="N47" s="777"/>
      <c r="O47" s="777"/>
      <c r="P47" s="777"/>
      <c r="Q47" s="777"/>
      <c r="R47" s="777"/>
      <c r="S47" s="777"/>
      <c r="T47" s="777"/>
      <c r="U47" s="777"/>
      <c r="V47" s="777"/>
      <c r="W47" s="777"/>
      <c r="X47" s="777"/>
      <c r="Y47" s="777"/>
      <c r="Z47" s="777"/>
      <c r="AA47" s="777"/>
      <c r="AB47" s="777"/>
      <c r="AC47" s="777"/>
      <c r="AD47" s="777"/>
      <c r="AE47" s="777"/>
      <c r="AF47" s="777"/>
      <c r="AG47" s="777"/>
      <c r="AH47" s="777"/>
      <c r="AI47" s="777"/>
      <c r="AJ47" s="777"/>
      <c r="AK47" s="777"/>
      <c r="AL47" s="777"/>
      <c r="AM47" s="777"/>
      <c r="AN47" s="777"/>
      <c r="AO47" s="777"/>
      <c r="AP47" s="777"/>
      <c r="AQ47" s="777"/>
      <c r="AR47" s="777"/>
      <c r="AS47" s="777"/>
      <c r="AT47" s="777"/>
      <c r="AU47" s="777"/>
      <c r="AV47" s="777"/>
      <c r="AW47" s="777"/>
      <c r="AX47" s="777"/>
      <c r="AY47" s="777"/>
      <c r="AZ47" s="777"/>
      <c r="BA47" s="777"/>
      <c r="BB47" s="777"/>
      <c r="BC47" s="777"/>
      <c r="BD47" s="777"/>
      <c r="BE47" s="777"/>
      <c r="BF47" s="777"/>
      <c r="BG47" s="777"/>
      <c r="BH47" s="777"/>
      <c r="BI47" s="777"/>
      <c r="BJ47" s="777"/>
      <c r="BK47" s="777"/>
      <c r="BL47" s="777"/>
      <c r="BM47" s="777"/>
      <c r="BN47" s="777"/>
      <c r="BO47" s="777"/>
      <c r="BP47" s="777"/>
      <c r="BQ47" s="777"/>
      <c r="BR47" s="777"/>
      <c r="BS47" s="777"/>
      <c r="BT47" s="777"/>
    </row>
    <row r="48" spans="1:72" ht="39.6" x14ac:dyDescent="0.25">
      <c r="A48" s="798" t="s">
        <v>759</v>
      </c>
      <c r="B48" s="789" t="s">
        <v>568</v>
      </c>
      <c r="C48" s="784"/>
      <c r="D48" s="784"/>
      <c r="E48" s="784">
        <v>10</v>
      </c>
      <c r="F48" s="784">
        <v>10</v>
      </c>
      <c r="G48" s="784">
        <v>10</v>
      </c>
      <c r="H48" s="784">
        <v>10</v>
      </c>
      <c r="I48" s="784"/>
      <c r="J48" s="1659"/>
      <c r="K48" s="1660"/>
      <c r="L48" s="777"/>
      <c r="M48" s="777"/>
      <c r="N48" s="777"/>
      <c r="O48" s="777"/>
      <c r="P48" s="777"/>
      <c r="Q48" s="777"/>
      <c r="R48" s="777"/>
      <c r="S48" s="777"/>
      <c r="T48" s="777"/>
      <c r="U48" s="777"/>
      <c r="V48" s="777"/>
      <c r="W48" s="777"/>
      <c r="X48" s="777"/>
      <c r="Y48" s="777"/>
      <c r="Z48" s="777"/>
      <c r="AA48" s="777"/>
      <c r="AB48" s="777"/>
      <c r="AC48" s="777"/>
      <c r="AD48" s="777"/>
      <c r="AE48" s="777"/>
      <c r="AF48" s="777"/>
      <c r="AG48" s="777"/>
      <c r="AH48" s="777"/>
      <c r="AI48" s="777"/>
      <c r="AJ48" s="777"/>
      <c r="AK48" s="777"/>
      <c r="AL48" s="777"/>
      <c r="AM48" s="777"/>
      <c r="AN48" s="777"/>
      <c r="AO48" s="777"/>
      <c r="AP48" s="777"/>
      <c r="AQ48" s="777"/>
      <c r="AR48" s="777"/>
      <c r="AS48" s="777"/>
      <c r="AT48" s="777"/>
      <c r="AU48" s="777"/>
      <c r="AV48" s="777"/>
      <c r="AW48" s="777"/>
      <c r="AX48" s="777"/>
      <c r="AY48" s="777"/>
      <c r="AZ48" s="777"/>
      <c r="BA48" s="777"/>
      <c r="BB48" s="777"/>
      <c r="BC48" s="777"/>
      <c r="BD48" s="777"/>
      <c r="BE48" s="777"/>
      <c r="BF48" s="777"/>
      <c r="BG48" s="777"/>
      <c r="BH48" s="777"/>
      <c r="BI48" s="777"/>
      <c r="BJ48" s="777"/>
      <c r="BK48" s="777"/>
      <c r="BL48" s="777"/>
      <c r="BM48" s="777"/>
      <c r="BN48" s="777"/>
      <c r="BO48" s="777"/>
      <c r="BP48" s="777"/>
      <c r="BQ48" s="777"/>
      <c r="BR48" s="777"/>
      <c r="BS48" s="777"/>
      <c r="BT48" s="777"/>
    </row>
    <row r="49" spans="1:72" x14ac:dyDescent="0.25">
      <c r="B49" s="797" t="s">
        <v>758</v>
      </c>
      <c r="C49" s="795"/>
      <c r="D49" s="795"/>
      <c r="E49" s="795">
        <f>E48*$B$61</f>
        <v>0.65713983050847458</v>
      </c>
      <c r="F49" s="795">
        <f>F48*$B$61</f>
        <v>0.65713983050847458</v>
      </c>
      <c r="G49" s="795">
        <f>G48*$B$61</f>
        <v>0.65713983050847458</v>
      </c>
      <c r="H49" s="795">
        <f>H48*$B$61</f>
        <v>0.65713983050847458</v>
      </c>
      <c r="I49" s="795"/>
      <c r="J49" s="795"/>
      <c r="K49" s="796"/>
      <c r="L49" s="777"/>
      <c r="M49" s="777"/>
      <c r="N49" s="777"/>
      <c r="O49" s="777"/>
      <c r="P49" s="777"/>
      <c r="Q49" s="777"/>
      <c r="R49" s="777"/>
      <c r="S49" s="777"/>
      <c r="T49" s="777"/>
      <c r="U49" s="777"/>
      <c r="V49" s="777"/>
      <c r="W49" s="777"/>
      <c r="X49" s="777"/>
      <c r="Y49" s="777"/>
      <c r="Z49" s="777"/>
      <c r="AA49" s="777"/>
      <c r="AB49" s="777"/>
      <c r="AC49" s="777"/>
      <c r="AD49" s="777"/>
      <c r="AE49" s="777"/>
      <c r="AF49" s="777"/>
      <c r="AG49" s="777"/>
      <c r="AH49" s="777"/>
      <c r="AI49" s="777"/>
      <c r="AJ49" s="777"/>
      <c r="AK49" s="777"/>
      <c r="AL49" s="777"/>
      <c r="AM49" s="777"/>
      <c r="AN49" s="777"/>
      <c r="AO49" s="777"/>
      <c r="AP49" s="777"/>
      <c r="AQ49" s="777"/>
      <c r="AR49" s="777"/>
      <c r="AS49" s="777"/>
      <c r="AT49" s="777"/>
      <c r="AU49" s="777"/>
      <c r="AV49" s="777"/>
      <c r="AW49" s="777"/>
      <c r="AX49" s="777"/>
      <c r="AY49" s="777"/>
      <c r="AZ49" s="777"/>
      <c r="BA49" s="777"/>
      <c r="BB49" s="777"/>
      <c r="BC49" s="777"/>
      <c r="BD49" s="777"/>
      <c r="BE49" s="777"/>
      <c r="BF49" s="777"/>
      <c r="BG49" s="777"/>
      <c r="BH49" s="777"/>
      <c r="BI49" s="777"/>
      <c r="BJ49" s="777"/>
      <c r="BK49" s="777"/>
      <c r="BL49" s="777"/>
      <c r="BM49" s="777"/>
      <c r="BN49" s="777"/>
      <c r="BO49" s="777"/>
      <c r="BP49" s="777"/>
      <c r="BQ49" s="777"/>
      <c r="BR49" s="777"/>
      <c r="BS49" s="777"/>
      <c r="BT49" s="777"/>
    </row>
    <row r="50" spans="1:72" ht="26.4" x14ac:dyDescent="0.25">
      <c r="A50" s="798" t="s">
        <v>760</v>
      </c>
      <c r="B50" s="799" t="s">
        <v>573</v>
      </c>
      <c r="C50" s="784"/>
      <c r="D50" s="784"/>
      <c r="E50" s="784">
        <f>E49+E46</f>
        <v>4.5838684338682461</v>
      </c>
      <c r="F50" s="784">
        <f>F49+F46</f>
        <v>4.0597161215687381</v>
      </c>
      <c r="G50" s="784">
        <f>G49+G46</f>
        <v>4.3790043270590964</v>
      </c>
      <c r="H50" s="784">
        <f>H49+H46</f>
        <v>4.6963604808104407</v>
      </c>
      <c r="I50" s="784"/>
      <c r="J50" s="795"/>
      <c r="K50" s="796"/>
      <c r="L50" s="777"/>
      <c r="M50" s="777"/>
      <c r="N50" s="777"/>
      <c r="O50" s="777"/>
      <c r="P50" s="777"/>
      <c r="Q50" s="777"/>
      <c r="R50" s="777"/>
      <c r="S50" s="777"/>
      <c r="T50" s="777"/>
      <c r="U50" s="777"/>
      <c r="V50" s="777"/>
      <c r="W50" s="777"/>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777"/>
      <c r="AT50" s="777"/>
      <c r="AU50" s="777"/>
      <c r="AV50" s="777"/>
      <c r="AW50" s="777"/>
      <c r="AX50" s="777"/>
      <c r="AY50" s="777"/>
      <c r="AZ50" s="777"/>
      <c r="BA50" s="777"/>
      <c r="BB50" s="777"/>
      <c r="BC50" s="777"/>
      <c r="BD50" s="777"/>
      <c r="BE50" s="777"/>
      <c r="BF50" s="777"/>
      <c r="BG50" s="777"/>
      <c r="BH50" s="777"/>
      <c r="BI50" s="777"/>
      <c r="BJ50" s="777"/>
      <c r="BK50" s="777"/>
      <c r="BL50" s="777"/>
      <c r="BM50" s="777"/>
      <c r="BN50" s="777"/>
      <c r="BO50" s="777"/>
      <c r="BP50" s="777"/>
      <c r="BQ50" s="777"/>
      <c r="BR50" s="777"/>
      <c r="BS50" s="777"/>
      <c r="BT50" s="777"/>
    </row>
    <row r="51" spans="1:72" x14ac:dyDescent="0.25">
      <c r="B51" s="797"/>
      <c r="C51" s="795"/>
      <c r="D51" s="795"/>
      <c r="E51" s="795"/>
      <c r="F51" s="795"/>
      <c r="G51" s="795"/>
      <c r="H51" s="795"/>
      <c r="I51" s="795"/>
      <c r="J51" s="795"/>
      <c r="K51" s="796"/>
      <c r="L51" s="777"/>
      <c r="M51" s="777"/>
      <c r="N51" s="777"/>
      <c r="O51" s="777"/>
      <c r="P51" s="777"/>
      <c r="Q51" s="777"/>
      <c r="R51" s="777"/>
      <c r="S51" s="777"/>
      <c r="T51" s="777"/>
      <c r="U51" s="777"/>
      <c r="V51" s="777"/>
      <c r="W51" s="777"/>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777"/>
      <c r="AT51" s="777"/>
      <c r="AU51" s="777"/>
      <c r="AV51" s="777"/>
      <c r="AW51" s="777"/>
      <c r="AX51" s="777"/>
      <c r="AY51" s="777"/>
      <c r="AZ51" s="777"/>
      <c r="BA51" s="777"/>
      <c r="BB51" s="777"/>
      <c r="BC51" s="777"/>
      <c r="BD51" s="777"/>
      <c r="BE51" s="777"/>
      <c r="BF51" s="777"/>
      <c r="BG51" s="777"/>
      <c r="BH51" s="777"/>
      <c r="BI51" s="777"/>
      <c r="BJ51" s="777"/>
      <c r="BK51" s="777"/>
      <c r="BL51" s="777"/>
      <c r="BM51" s="777"/>
      <c r="BN51" s="777"/>
      <c r="BO51" s="777"/>
      <c r="BP51" s="777"/>
      <c r="BQ51" s="777"/>
      <c r="BR51" s="777"/>
      <c r="BS51" s="777"/>
      <c r="BT51" s="777"/>
    </row>
    <row r="52" spans="1:72" x14ac:dyDescent="0.25">
      <c r="A52" s="794" t="s">
        <v>751</v>
      </c>
      <c r="B52" s="795"/>
      <c r="C52" s="795"/>
      <c r="D52" s="795"/>
      <c r="E52" s="795"/>
      <c r="F52" s="795"/>
      <c r="G52" s="795"/>
      <c r="H52" s="795"/>
      <c r="I52" s="795"/>
      <c r="J52" s="795"/>
      <c r="K52" s="796"/>
      <c r="L52" s="777"/>
      <c r="M52" s="777"/>
      <c r="N52" s="777"/>
      <c r="O52" s="777"/>
      <c r="P52" s="777"/>
      <c r="Q52" s="777"/>
      <c r="R52" s="777"/>
      <c r="S52" s="777"/>
      <c r="T52" s="777"/>
      <c r="U52" s="777"/>
      <c r="V52" s="777"/>
      <c r="W52" s="777"/>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777"/>
      <c r="AT52" s="777"/>
      <c r="AU52" s="777"/>
      <c r="AV52" s="777"/>
      <c r="AW52" s="777"/>
      <c r="AX52" s="777"/>
      <c r="AY52" s="777"/>
      <c r="AZ52" s="777"/>
      <c r="BA52" s="777"/>
      <c r="BB52" s="777"/>
      <c r="BC52" s="777"/>
      <c r="BD52" s="777"/>
      <c r="BE52" s="777"/>
      <c r="BF52" s="777"/>
      <c r="BG52" s="777"/>
      <c r="BH52" s="777"/>
      <c r="BI52" s="777"/>
      <c r="BJ52" s="777"/>
      <c r="BK52" s="777"/>
      <c r="BL52" s="777"/>
      <c r="BM52" s="777"/>
      <c r="BN52" s="777"/>
      <c r="BO52" s="777"/>
      <c r="BP52" s="777"/>
      <c r="BQ52" s="777"/>
      <c r="BR52" s="777"/>
      <c r="BS52" s="777"/>
      <c r="BT52" s="777"/>
    </row>
    <row r="53" spans="1:72" x14ac:dyDescent="0.25">
      <c r="A53" s="1661" t="s">
        <v>752</v>
      </c>
      <c r="B53" s="1662"/>
      <c r="C53" s="1662"/>
      <c r="D53" s="1662"/>
      <c r="E53" s="1662"/>
      <c r="F53" s="1662"/>
      <c r="G53" s="1662"/>
      <c r="H53" s="1662"/>
      <c r="I53" s="1662"/>
      <c r="J53" s="1662"/>
      <c r="K53" s="1663"/>
      <c r="L53" s="777"/>
      <c r="M53" s="777"/>
      <c r="N53" s="777"/>
      <c r="O53" s="777"/>
      <c r="P53" s="777"/>
      <c r="Q53" s="777"/>
      <c r="R53" s="777"/>
      <c r="S53" s="777"/>
      <c r="T53" s="777"/>
      <c r="U53" s="777"/>
      <c r="V53" s="777"/>
      <c r="W53" s="777"/>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777"/>
      <c r="AT53" s="777"/>
      <c r="AU53" s="777"/>
      <c r="AV53" s="777"/>
      <c r="AW53" s="777"/>
      <c r="AX53" s="777"/>
      <c r="AY53" s="777"/>
      <c r="AZ53" s="777"/>
      <c r="BA53" s="777"/>
      <c r="BB53" s="777"/>
      <c r="BC53" s="777"/>
      <c r="BD53" s="777"/>
      <c r="BE53" s="777"/>
      <c r="BF53" s="777"/>
      <c r="BG53" s="777"/>
      <c r="BH53" s="777"/>
      <c r="BI53" s="777"/>
      <c r="BJ53" s="777"/>
      <c r="BK53" s="777"/>
      <c r="BL53" s="777"/>
      <c r="BM53" s="777"/>
      <c r="BN53" s="777"/>
      <c r="BO53" s="777"/>
      <c r="BP53" s="777"/>
      <c r="BQ53" s="777"/>
      <c r="BR53" s="777"/>
      <c r="BS53" s="777"/>
      <c r="BT53" s="777"/>
    </row>
    <row r="54" spans="1:72" x14ac:dyDescent="0.25">
      <c r="A54" s="1664" t="s">
        <v>319</v>
      </c>
      <c r="B54" s="1665"/>
      <c r="C54" s="1665"/>
      <c r="D54" s="1665"/>
      <c r="E54" s="1665"/>
      <c r="F54" s="1665"/>
      <c r="G54" s="1665"/>
      <c r="H54" s="1665"/>
      <c r="I54" s="1665"/>
      <c r="J54" s="1665"/>
      <c r="K54" s="1666"/>
      <c r="L54" s="777"/>
      <c r="M54" s="777"/>
      <c r="N54" s="777"/>
      <c r="O54" s="777"/>
      <c r="P54" s="777"/>
      <c r="Q54" s="777"/>
      <c r="R54" s="777"/>
      <c r="S54" s="777"/>
      <c r="T54" s="777"/>
      <c r="U54" s="777"/>
      <c r="V54" s="777"/>
      <c r="W54" s="777"/>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777"/>
      <c r="AT54" s="777"/>
      <c r="AU54" s="777"/>
      <c r="AV54" s="777"/>
      <c r="AW54" s="777"/>
      <c r="AX54" s="777"/>
      <c r="AY54" s="777"/>
      <c r="AZ54" s="777"/>
      <c r="BA54" s="777"/>
      <c r="BB54" s="777"/>
      <c r="BC54" s="777"/>
      <c r="BD54" s="777"/>
      <c r="BE54" s="777"/>
      <c r="BF54" s="777"/>
      <c r="BG54" s="777"/>
      <c r="BH54" s="777"/>
      <c r="BI54" s="777"/>
      <c r="BJ54" s="777"/>
      <c r="BK54" s="777"/>
      <c r="BL54" s="777"/>
      <c r="BM54" s="777"/>
      <c r="BN54" s="777"/>
      <c r="BO54" s="777"/>
      <c r="BP54" s="777"/>
      <c r="BQ54" s="777"/>
      <c r="BR54" s="777"/>
      <c r="BS54" s="777"/>
      <c r="BT54" s="777"/>
    </row>
    <row r="55" spans="1:72" x14ac:dyDescent="0.25">
      <c r="A55" s="1664"/>
      <c r="B55" s="1665"/>
      <c r="C55" s="1665"/>
      <c r="D55" s="1665"/>
      <c r="E55" s="1665"/>
      <c r="F55" s="1665"/>
      <c r="G55" s="1665"/>
      <c r="H55" s="1665"/>
      <c r="I55" s="1665"/>
      <c r="J55" s="1665"/>
      <c r="K55" s="1666"/>
      <c r="L55" s="777"/>
      <c r="M55" s="777"/>
      <c r="N55" s="777"/>
      <c r="O55" s="777"/>
      <c r="P55" s="777"/>
      <c r="Q55" s="777"/>
      <c r="R55" s="777"/>
      <c r="S55" s="777"/>
      <c r="T55" s="777"/>
      <c r="U55" s="777"/>
      <c r="V55" s="777"/>
      <c r="W55" s="777"/>
      <c r="X55" s="777"/>
      <c r="Y55" s="777"/>
      <c r="Z55" s="777"/>
      <c r="AA55" s="777"/>
      <c r="AB55" s="777"/>
      <c r="AC55" s="777"/>
      <c r="AD55" s="777"/>
      <c r="AE55" s="777"/>
      <c r="AF55" s="777"/>
      <c r="AG55" s="777"/>
      <c r="AH55" s="777"/>
      <c r="AI55" s="777"/>
      <c r="AJ55" s="777"/>
      <c r="AK55" s="777"/>
      <c r="AL55" s="777"/>
      <c r="AM55" s="777"/>
      <c r="AN55" s="777"/>
      <c r="AO55" s="777"/>
      <c r="AP55" s="777"/>
      <c r="AQ55" s="777"/>
      <c r="AR55" s="777"/>
      <c r="AS55" s="777"/>
      <c r="AT55" s="777"/>
      <c r="AU55" s="777"/>
      <c r="AV55" s="777"/>
      <c r="AW55" s="777"/>
      <c r="AX55" s="777"/>
      <c r="AY55" s="777"/>
      <c r="AZ55" s="777"/>
      <c r="BA55" s="777"/>
      <c r="BB55" s="777"/>
      <c r="BC55" s="777"/>
      <c r="BD55" s="777"/>
      <c r="BE55" s="777"/>
      <c r="BF55" s="777"/>
      <c r="BG55" s="777"/>
      <c r="BH55" s="777"/>
      <c r="BI55" s="777"/>
      <c r="BJ55" s="777"/>
      <c r="BK55" s="777"/>
      <c r="BL55" s="777"/>
      <c r="BM55" s="777"/>
      <c r="BN55" s="777"/>
      <c r="BO55" s="777"/>
      <c r="BP55" s="777"/>
      <c r="BQ55" s="777"/>
      <c r="BR55" s="777"/>
      <c r="BS55" s="777"/>
      <c r="BT55" s="777"/>
    </row>
    <row r="56" spans="1:72" ht="13.8" thickBot="1" x14ac:dyDescent="0.3">
      <c r="A56" s="1654" t="s">
        <v>753</v>
      </c>
      <c r="B56" s="1655"/>
      <c r="C56" s="1655"/>
      <c r="D56" s="1655"/>
      <c r="E56" s="1655"/>
      <c r="F56" s="1655"/>
      <c r="G56" s="1655"/>
      <c r="H56" s="1655"/>
      <c r="I56" s="1655"/>
      <c r="J56" s="1655"/>
      <c r="K56" s="1656"/>
      <c r="L56" s="777"/>
      <c r="M56" s="777"/>
      <c r="N56" s="777"/>
      <c r="O56" s="777"/>
      <c r="P56" s="777"/>
      <c r="Q56" s="777"/>
      <c r="R56" s="777"/>
      <c r="S56" s="777"/>
      <c r="T56" s="777"/>
      <c r="U56" s="777"/>
      <c r="V56" s="777"/>
      <c r="W56" s="777"/>
      <c r="X56" s="777"/>
      <c r="Y56" s="777"/>
      <c r="Z56" s="777"/>
      <c r="AA56" s="777"/>
      <c r="AB56" s="777"/>
      <c r="AC56" s="777"/>
      <c r="AD56" s="777"/>
      <c r="AE56" s="777"/>
      <c r="AF56" s="777"/>
      <c r="AG56" s="777"/>
      <c r="AH56" s="777"/>
      <c r="AI56" s="777"/>
      <c r="AJ56" s="777"/>
      <c r="AK56" s="777"/>
      <c r="AL56" s="777"/>
      <c r="AM56" s="777"/>
      <c r="AN56" s="777"/>
      <c r="AO56" s="777"/>
      <c r="AP56" s="777"/>
      <c r="AQ56" s="777"/>
      <c r="AR56" s="777"/>
      <c r="AS56" s="777"/>
      <c r="AT56" s="777"/>
      <c r="AU56" s="777"/>
      <c r="AV56" s="777"/>
      <c r="AW56" s="777"/>
      <c r="AX56" s="777"/>
      <c r="AY56" s="777"/>
      <c r="AZ56" s="777"/>
      <c r="BA56" s="777"/>
      <c r="BB56" s="777"/>
      <c r="BC56" s="777"/>
      <c r="BD56" s="777"/>
      <c r="BE56" s="777"/>
      <c r="BF56" s="777"/>
      <c r="BG56" s="777"/>
      <c r="BH56" s="777"/>
      <c r="BI56" s="777"/>
      <c r="BJ56" s="777"/>
      <c r="BK56" s="777"/>
      <c r="BL56" s="777"/>
      <c r="BM56" s="777"/>
      <c r="BN56" s="777"/>
      <c r="BO56" s="777"/>
      <c r="BP56" s="777"/>
      <c r="BQ56" s="777"/>
      <c r="BR56" s="777"/>
      <c r="BS56" s="777"/>
      <c r="BT56" s="777"/>
    </row>
    <row r="57" spans="1:72" x14ac:dyDescent="0.25">
      <c r="A57" s="793"/>
      <c r="B57" s="793"/>
      <c r="C57" s="793"/>
      <c r="D57" s="793"/>
      <c r="E57" s="793"/>
      <c r="F57" s="793"/>
      <c r="G57" s="793"/>
      <c r="H57" s="793"/>
      <c r="I57" s="793"/>
      <c r="J57" s="793"/>
      <c r="K57" s="793"/>
      <c r="L57" s="777"/>
      <c r="M57" s="777"/>
      <c r="N57" s="777"/>
      <c r="O57" s="777"/>
      <c r="P57" s="777"/>
      <c r="Q57" s="777"/>
      <c r="R57" s="777"/>
      <c r="S57" s="777"/>
      <c r="T57" s="777"/>
      <c r="U57" s="777"/>
      <c r="V57" s="777"/>
      <c r="W57" s="777"/>
      <c r="X57" s="777"/>
      <c r="Y57" s="777"/>
      <c r="Z57" s="777"/>
      <c r="AA57" s="777"/>
      <c r="AB57" s="777"/>
      <c r="AC57" s="777"/>
      <c r="AD57" s="777"/>
      <c r="AE57" s="777"/>
      <c r="AF57" s="777"/>
      <c r="AG57" s="777"/>
      <c r="AH57" s="777"/>
      <c r="AI57" s="777"/>
      <c r="AJ57" s="777"/>
      <c r="AK57" s="777"/>
      <c r="AL57" s="777"/>
      <c r="AM57" s="777"/>
      <c r="AN57" s="777"/>
      <c r="AO57" s="777"/>
      <c r="AP57" s="777"/>
      <c r="AQ57" s="777"/>
      <c r="AR57" s="777"/>
      <c r="AS57" s="777"/>
      <c r="AT57" s="777"/>
      <c r="AU57" s="777"/>
      <c r="AV57" s="777"/>
      <c r="AW57" s="777"/>
      <c r="AX57" s="777"/>
      <c r="AY57" s="777"/>
      <c r="AZ57" s="777"/>
      <c r="BA57" s="777"/>
      <c r="BB57" s="777"/>
      <c r="BC57" s="777"/>
      <c r="BD57" s="777"/>
      <c r="BE57" s="777"/>
      <c r="BF57" s="777"/>
      <c r="BG57" s="777"/>
      <c r="BH57" s="777"/>
      <c r="BI57" s="777"/>
      <c r="BJ57" s="777"/>
      <c r="BK57" s="777"/>
      <c r="BL57" s="777"/>
      <c r="BM57" s="777"/>
      <c r="BN57" s="777"/>
      <c r="BO57" s="777"/>
      <c r="BP57" s="777"/>
      <c r="BQ57" s="777"/>
      <c r="BR57" s="777"/>
      <c r="BS57" s="777"/>
      <c r="BT57" s="777"/>
    </row>
    <row r="58" spans="1:72" x14ac:dyDescent="0.25">
      <c r="A58" s="777" t="s">
        <v>756</v>
      </c>
      <c r="B58" s="777"/>
      <c r="C58" s="777"/>
      <c r="D58" s="777"/>
      <c r="E58" s="777"/>
      <c r="F58" s="777"/>
      <c r="G58" s="777"/>
      <c r="H58" s="777"/>
      <c r="I58" s="777"/>
      <c r="J58" s="777"/>
      <c r="K58" s="777"/>
      <c r="L58" s="777"/>
      <c r="M58" s="777"/>
      <c r="N58" s="777"/>
      <c r="O58" s="777"/>
      <c r="P58" s="777"/>
      <c r="Q58" s="777"/>
      <c r="R58" s="777"/>
      <c r="S58" s="777"/>
      <c r="T58" s="777"/>
      <c r="U58" s="777"/>
      <c r="V58" s="777"/>
      <c r="W58" s="777"/>
      <c r="X58" s="777"/>
      <c r="Y58" s="777"/>
      <c r="Z58" s="777"/>
      <c r="AA58" s="777"/>
      <c r="AB58" s="777"/>
      <c r="AC58" s="777"/>
      <c r="AD58" s="777"/>
      <c r="AE58" s="777"/>
      <c r="AF58" s="777"/>
      <c r="AG58" s="777"/>
      <c r="AH58" s="777"/>
      <c r="AI58" s="777"/>
      <c r="AJ58" s="777"/>
      <c r="AK58" s="777"/>
      <c r="AL58" s="777"/>
      <c r="AM58" s="777"/>
      <c r="AN58" s="777"/>
      <c r="AO58" s="777"/>
      <c r="AP58" s="777"/>
      <c r="AQ58" s="777"/>
      <c r="AR58" s="777"/>
      <c r="AS58" s="777"/>
      <c r="AT58" s="777"/>
      <c r="AU58" s="777"/>
      <c r="AV58" s="777"/>
      <c r="AW58" s="777"/>
      <c r="AX58" s="777"/>
      <c r="AY58" s="777"/>
      <c r="AZ58" s="777"/>
      <c r="BA58" s="777"/>
      <c r="BB58" s="777"/>
      <c r="BC58" s="777"/>
      <c r="BD58" s="777"/>
      <c r="BE58" s="777"/>
      <c r="BF58" s="777"/>
      <c r="BG58" s="777"/>
      <c r="BH58" s="777"/>
      <c r="BI58" s="777"/>
      <c r="BJ58" s="777"/>
      <c r="BK58" s="777"/>
      <c r="BL58" s="777"/>
      <c r="BM58" s="777"/>
      <c r="BN58" s="777"/>
      <c r="BO58" s="777"/>
      <c r="BP58" s="777"/>
      <c r="BQ58" s="777"/>
      <c r="BR58" s="777"/>
      <c r="BS58" s="777"/>
      <c r="BT58" s="777"/>
    </row>
    <row r="59" spans="1:72" x14ac:dyDescent="0.25">
      <c r="A59" s="777" t="s">
        <v>755</v>
      </c>
      <c r="B59" s="777">
        <v>19022</v>
      </c>
      <c r="C59" s="777"/>
      <c r="D59" s="777"/>
      <c r="E59" s="777"/>
      <c r="F59" s="777"/>
      <c r="G59" s="777"/>
      <c r="H59" s="777"/>
      <c r="I59" s="777"/>
      <c r="J59" s="777"/>
      <c r="K59" s="777"/>
      <c r="L59" s="777"/>
      <c r="M59" s="777"/>
      <c r="N59" s="777"/>
      <c r="O59" s="777"/>
      <c r="P59" s="777"/>
      <c r="Q59" s="777"/>
      <c r="R59" s="777"/>
      <c r="S59" s="777"/>
      <c r="T59" s="777"/>
      <c r="U59" s="777"/>
      <c r="V59" s="777"/>
      <c r="W59" s="777"/>
      <c r="X59" s="777"/>
      <c r="Y59" s="777"/>
      <c r="Z59" s="777"/>
      <c r="AA59" s="777"/>
      <c r="AB59" s="777"/>
      <c r="AC59" s="777"/>
      <c r="AD59" s="777"/>
      <c r="AE59" s="777"/>
      <c r="AF59" s="777"/>
      <c r="AG59" s="777"/>
      <c r="AH59" s="777"/>
      <c r="AI59" s="777"/>
      <c r="AJ59" s="777"/>
      <c r="AK59" s="777"/>
      <c r="AL59" s="777"/>
      <c r="AM59" s="777"/>
      <c r="AN59" s="777"/>
      <c r="AO59" s="777"/>
      <c r="AP59" s="777"/>
      <c r="AQ59" s="777"/>
      <c r="AR59" s="777"/>
      <c r="AS59" s="777"/>
      <c r="AT59" s="777"/>
      <c r="AU59" s="777"/>
      <c r="AV59" s="777"/>
      <c r="AW59" s="777"/>
      <c r="AX59" s="777"/>
      <c r="AY59" s="777"/>
      <c r="AZ59" s="777"/>
      <c r="BA59" s="777"/>
      <c r="BB59" s="777"/>
      <c r="BC59" s="777"/>
      <c r="BD59" s="777"/>
      <c r="BE59" s="777"/>
      <c r="BF59" s="777"/>
      <c r="BG59" s="777"/>
      <c r="BH59" s="777"/>
      <c r="BI59" s="777"/>
      <c r="BJ59" s="777"/>
      <c r="BK59" s="777"/>
      <c r="BL59" s="777"/>
      <c r="BM59" s="777"/>
      <c r="BN59" s="777"/>
      <c r="BO59" s="777"/>
      <c r="BP59" s="777"/>
      <c r="BQ59" s="777"/>
      <c r="BR59" s="777"/>
      <c r="BS59" s="777"/>
      <c r="BT59" s="777"/>
    </row>
    <row r="60" spans="1:72" x14ac:dyDescent="0.25">
      <c r="A60" s="777" t="s">
        <v>754</v>
      </c>
      <c r="B60" s="777">
        <v>17700</v>
      </c>
      <c r="C60" s="777"/>
      <c r="D60" s="777"/>
      <c r="E60" s="777"/>
      <c r="F60" s="777"/>
      <c r="G60" s="777"/>
      <c r="H60" s="777"/>
      <c r="I60" s="777"/>
      <c r="J60" s="777"/>
      <c r="K60" s="777"/>
      <c r="L60" s="777"/>
      <c r="M60" s="777"/>
      <c r="N60" s="777"/>
      <c r="O60" s="777"/>
      <c r="P60" s="777"/>
      <c r="Q60" s="777"/>
      <c r="R60" s="777"/>
      <c r="S60" s="777"/>
      <c r="T60" s="777"/>
      <c r="U60" s="777"/>
      <c r="V60" s="777"/>
      <c r="W60" s="777"/>
      <c r="X60" s="777"/>
      <c r="Y60" s="777"/>
      <c r="Z60" s="777"/>
      <c r="AA60" s="777"/>
      <c r="AB60" s="777"/>
      <c r="AC60" s="777"/>
      <c r="AD60" s="777"/>
      <c r="AE60" s="777"/>
      <c r="AF60" s="777"/>
      <c r="AG60" s="777"/>
      <c r="AH60" s="777"/>
      <c r="AI60" s="777"/>
      <c r="AJ60" s="777"/>
      <c r="AK60" s="777"/>
      <c r="AL60" s="777"/>
      <c r="AM60" s="777"/>
      <c r="AN60" s="777"/>
      <c r="AO60" s="777"/>
      <c r="AP60" s="777"/>
      <c r="AQ60" s="777"/>
      <c r="AR60" s="777"/>
      <c r="AS60" s="777"/>
      <c r="AT60" s="777"/>
      <c r="AU60" s="777"/>
      <c r="AV60" s="777"/>
      <c r="AW60" s="777"/>
      <c r="AX60" s="777"/>
      <c r="AY60" s="777"/>
      <c r="AZ60" s="777"/>
      <c r="BA60" s="777"/>
      <c r="BB60" s="777"/>
      <c r="BC60" s="777"/>
      <c r="BD60" s="777"/>
      <c r="BE60" s="777"/>
      <c r="BF60" s="777"/>
      <c r="BG60" s="777"/>
      <c r="BH60" s="777"/>
      <c r="BI60" s="777"/>
      <c r="BJ60" s="777"/>
      <c r="BK60" s="777"/>
      <c r="BL60" s="777"/>
      <c r="BM60" s="777"/>
      <c r="BN60" s="777"/>
      <c r="BO60" s="777"/>
      <c r="BP60" s="777"/>
      <c r="BQ60" s="777"/>
      <c r="BR60" s="777"/>
      <c r="BS60" s="777"/>
      <c r="BT60" s="777"/>
    </row>
    <row r="61" spans="1:72" x14ac:dyDescent="0.25">
      <c r="A61" s="777" t="s">
        <v>757</v>
      </c>
      <c r="B61" s="777">
        <f>2.205/2000/B60*mmBTU_to_GJ*1000000</f>
        <v>6.5713983050847455E-2</v>
      </c>
      <c r="C61" s="777"/>
      <c r="D61" s="777"/>
      <c r="E61" s="777"/>
      <c r="F61" s="777"/>
      <c r="G61" s="777"/>
      <c r="H61" s="777"/>
      <c r="I61" s="777"/>
      <c r="J61" s="777"/>
      <c r="K61" s="777"/>
      <c r="L61" s="777"/>
      <c r="M61" s="777"/>
      <c r="N61" s="777"/>
      <c r="O61" s="777"/>
      <c r="P61" s="777"/>
      <c r="Q61" s="777"/>
      <c r="R61" s="777"/>
      <c r="S61" s="777"/>
      <c r="T61" s="777"/>
      <c r="U61" s="777"/>
      <c r="V61" s="777"/>
      <c r="W61" s="777"/>
      <c r="X61" s="777"/>
      <c r="Y61" s="777"/>
      <c r="Z61" s="777"/>
      <c r="AA61" s="777"/>
      <c r="AB61" s="777"/>
      <c r="AC61" s="777"/>
      <c r="AD61" s="777"/>
      <c r="AE61" s="777"/>
      <c r="AF61" s="777"/>
      <c r="AG61" s="777"/>
      <c r="AH61" s="777"/>
      <c r="AI61" s="777"/>
      <c r="AJ61" s="777"/>
      <c r="AK61" s="777"/>
      <c r="AL61" s="777"/>
      <c r="AM61" s="777"/>
      <c r="AN61" s="777"/>
      <c r="AO61" s="777"/>
      <c r="AP61" s="777"/>
      <c r="AQ61" s="777"/>
      <c r="AR61" s="777"/>
      <c r="AS61" s="777"/>
      <c r="AT61" s="777"/>
      <c r="AU61" s="777"/>
      <c r="AV61" s="777"/>
      <c r="AW61" s="777"/>
      <c r="AX61" s="777"/>
      <c r="AY61" s="777"/>
      <c r="AZ61" s="777"/>
      <c r="BA61" s="777"/>
      <c r="BB61" s="777"/>
      <c r="BC61" s="777"/>
      <c r="BD61" s="777"/>
      <c r="BE61" s="777"/>
      <c r="BF61" s="777"/>
      <c r="BG61" s="777"/>
      <c r="BH61" s="777"/>
      <c r="BI61" s="777"/>
      <c r="BJ61" s="777"/>
      <c r="BK61" s="777"/>
      <c r="BL61" s="777"/>
      <c r="BM61" s="777"/>
      <c r="BN61" s="777"/>
      <c r="BO61" s="777"/>
      <c r="BP61" s="777"/>
      <c r="BQ61" s="777"/>
      <c r="BR61" s="777"/>
      <c r="BS61" s="777"/>
      <c r="BT61" s="777"/>
    </row>
    <row r="62" spans="1:72" x14ac:dyDescent="0.25">
      <c r="A62" s="777"/>
      <c r="B62" s="777"/>
      <c r="C62" s="777"/>
      <c r="D62" s="777"/>
      <c r="E62" s="777"/>
      <c r="F62" s="777"/>
      <c r="G62" s="777"/>
      <c r="H62" s="777"/>
      <c r="I62" s="777"/>
      <c r="J62" s="777"/>
      <c r="K62" s="777"/>
      <c r="L62" s="777"/>
      <c r="M62" s="777"/>
      <c r="N62" s="777"/>
      <c r="O62" s="777"/>
      <c r="P62" s="777"/>
      <c r="Q62" s="777"/>
      <c r="R62" s="777"/>
      <c r="S62" s="777"/>
      <c r="T62" s="777"/>
      <c r="U62" s="777"/>
      <c r="V62" s="777"/>
      <c r="W62" s="777"/>
      <c r="X62" s="777"/>
      <c r="Y62" s="777"/>
      <c r="Z62" s="777"/>
      <c r="AA62" s="777"/>
      <c r="AB62" s="777"/>
      <c r="AC62" s="777"/>
      <c r="AD62" s="777"/>
      <c r="AE62" s="777"/>
      <c r="AF62" s="777"/>
      <c r="AG62" s="777"/>
      <c r="AH62" s="777"/>
      <c r="AI62" s="777"/>
      <c r="AJ62" s="777"/>
      <c r="AK62" s="777"/>
      <c r="AL62" s="777"/>
      <c r="AM62" s="777"/>
      <c r="AN62" s="777"/>
      <c r="AO62" s="777"/>
      <c r="AP62" s="777"/>
      <c r="AQ62" s="777"/>
      <c r="AR62" s="777"/>
      <c r="AS62" s="777"/>
      <c r="AT62" s="777"/>
      <c r="AU62" s="777"/>
      <c r="AV62" s="777"/>
      <c r="AW62" s="777"/>
      <c r="AX62" s="777"/>
      <c r="AY62" s="777"/>
      <c r="AZ62" s="777"/>
      <c r="BA62" s="777"/>
      <c r="BB62" s="777"/>
      <c r="BC62" s="777"/>
      <c r="BD62" s="777"/>
      <c r="BE62" s="777"/>
      <c r="BF62" s="777"/>
      <c r="BG62" s="777"/>
      <c r="BH62" s="777"/>
      <c r="BI62" s="777"/>
      <c r="BJ62" s="777"/>
      <c r="BK62" s="777"/>
      <c r="BL62" s="777"/>
      <c r="BM62" s="777"/>
      <c r="BN62" s="777"/>
      <c r="BO62" s="777"/>
      <c r="BP62" s="777"/>
      <c r="BQ62" s="777"/>
      <c r="BR62" s="777"/>
      <c r="BS62" s="777"/>
      <c r="BT62" s="777"/>
    </row>
    <row r="63" spans="1:72" x14ac:dyDescent="0.25">
      <c r="A63" s="777"/>
      <c r="B63" s="777"/>
      <c r="C63" s="777"/>
      <c r="D63" s="777"/>
      <c r="E63" s="777"/>
      <c r="F63" s="777"/>
      <c r="G63" s="777"/>
      <c r="H63" s="777"/>
      <c r="I63" s="777"/>
      <c r="J63" s="777"/>
      <c r="K63" s="777"/>
      <c r="L63" s="777"/>
      <c r="M63" s="777"/>
      <c r="N63" s="777"/>
      <c r="O63" s="777"/>
      <c r="P63" s="777"/>
      <c r="Q63" s="777"/>
      <c r="R63" s="777"/>
      <c r="S63" s="777"/>
      <c r="T63" s="777"/>
      <c r="U63" s="777"/>
      <c r="V63" s="777"/>
      <c r="W63" s="777"/>
      <c r="X63" s="777"/>
      <c r="Y63" s="777"/>
      <c r="Z63" s="777"/>
      <c r="AA63" s="777"/>
      <c r="AB63" s="777"/>
      <c r="AC63" s="777"/>
      <c r="AD63" s="777"/>
      <c r="AE63" s="777"/>
      <c r="AF63" s="777"/>
      <c r="AG63" s="777"/>
      <c r="AH63" s="777"/>
      <c r="AI63" s="777"/>
      <c r="AJ63" s="777"/>
      <c r="AK63" s="777"/>
      <c r="AL63" s="777"/>
      <c r="AM63" s="777"/>
      <c r="AN63" s="777"/>
      <c r="AO63" s="777"/>
      <c r="AP63" s="777"/>
      <c r="AQ63" s="777"/>
      <c r="AR63" s="777"/>
      <c r="AS63" s="777"/>
      <c r="AT63" s="777"/>
      <c r="AU63" s="777"/>
      <c r="AV63" s="777"/>
      <c r="AW63" s="777"/>
      <c r="AX63" s="777"/>
      <c r="AY63" s="777"/>
      <c r="AZ63" s="777"/>
      <c r="BA63" s="777"/>
      <c r="BB63" s="777"/>
      <c r="BC63" s="777"/>
      <c r="BD63" s="777"/>
      <c r="BE63" s="777"/>
      <c r="BF63" s="777"/>
      <c r="BG63" s="777"/>
      <c r="BH63" s="777"/>
      <c r="BI63" s="777"/>
      <c r="BJ63" s="777"/>
      <c r="BK63" s="777"/>
      <c r="BL63" s="777"/>
      <c r="BM63" s="777"/>
      <c r="BN63" s="777"/>
      <c r="BO63" s="777"/>
      <c r="BP63" s="777"/>
      <c r="BQ63" s="777"/>
      <c r="BR63" s="777"/>
      <c r="BS63" s="777"/>
      <c r="BT63" s="777"/>
    </row>
    <row r="64" spans="1:72" x14ac:dyDescent="0.25">
      <c r="A64" s="777"/>
      <c r="B64" s="777" t="s">
        <v>763</v>
      </c>
      <c r="C64" s="777" t="s">
        <v>764</v>
      </c>
      <c r="D64" s="777"/>
      <c r="E64" s="777"/>
      <c r="F64" s="777"/>
      <c r="G64" s="777"/>
      <c r="H64" s="777"/>
      <c r="I64" s="777"/>
      <c r="J64" s="777"/>
      <c r="K64" s="777"/>
      <c r="L64" s="777"/>
      <c r="M64" s="777"/>
      <c r="N64" s="777"/>
      <c r="O64" s="777"/>
      <c r="P64" s="777"/>
      <c r="Q64" s="777"/>
      <c r="R64" s="777"/>
      <c r="S64" s="777"/>
      <c r="T64" s="777"/>
      <c r="U64" s="777"/>
      <c r="V64" s="777"/>
      <c r="W64" s="777"/>
      <c r="X64" s="777"/>
      <c r="Y64" s="777"/>
      <c r="Z64" s="777"/>
      <c r="AA64" s="777"/>
      <c r="AB64" s="777"/>
      <c r="AC64" s="777"/>
      <c r="AD64" s="777"/>
      <c r="AE64" s="777"/>
      <c r="AF64" s="777"/>
      <c r="AG64" s="777"/>
      <c r="AH64" s="777"/>
      <c r="AI64" s="777"/>
      <c r="AJ64" s="777"/>
      <c r="AK64" s="777"/>
      <c r="AL64" s="777"/>
      <c r="AM64" s="777"/>
      <c r="AN64" s="777"/>
      <c r="AO64" s="777"/>
      <c r="AP64" s="777"/>
      <c r="AQ64" s="777"/>
      <c r="AR64" s="777"/>
      <c r="AS64" s="777"/>
      <c r="AT64" s="777"/>
      <c r="AU64" s="777"/>
      <c r="AV64" s="777"/>
      <c r="AW64" s="777"/>
      <c r="AX64" s="777"/>
      <c r="AY64" s="777"/>
      <c r="AZ64" s="777"/>
      <c r="BA64" s="777"/>
      <c r="BB64" s="777"/>
      <c r="BC64" s="777"/>
      <c r="BD64" s="777"/>
      <c r="BE64" s="777"/>
      <c r="BF64" s="777"/>
      <c r="BG64" s="777"/>
      <c r="BH64" s="777"/>
      <c r="BI64" s="777"/>
      <c r="BJ64" s="777"/>
      <c r="BK64" s="777"/>
      <c r="BL64" s="777"/>
      <c r="BM64" s="777"/>
      <c r="BN64" s="777"/>
      <c r="BO64" s="777"/>
      <c r="BP64" s="777"/>
      <c r="BQ64" s="777"/>
      <c r="BR64" s="777"/>
      <c r="BS64" s="777"/>
      <c r="BT64" s="777"/>
    </row>
    <row r="65" spans="1:72" x14ac:dyDescent="0.25">
      <c r="A65" s="777"/>
      <c r="B65" s="777" t="s">
        <v>765</v>
      </c>
      <c r="C65" s="777" t="s">
        <v>766</v>
      </c>
      <c r="D65" s="777"/>
      <c r="E65" s="777"/>
      <c r="F65" s="777" t="s">
        <v>767</v>
      </c>
      <c r="G65" s="777"/>
      <c r="H65" s="777"/>
      <c r="I65" s="777"/>
      <c r="J65" s="777"/>
      <c r="K65" s="777"/>
      <c r="L65" s="777"/>
      <c r="M65" s="777"/>
      <c r="N65" s="777"/>
      <c r="O65" s="777"/>
      <c r="P65" s="777"/>
      <c r="Q65" s="777"/>
      <c r="R65" s="777"/>
      <c r="S65" s="777"/>
      <c r="T65" s="777"/>
      <c r="U65" s="777"/>
      <c r="V65" s="777"/>
      <c r="W65" s="777"/>
      <c r="X65" s="777"/>
      <c r="Y65" s="777"/>
      <c r="Z65" s="777"/>
      <c r="AA65" s="777"/>
      <c r="AB65" s="777"/>
      <c r="AC65" s="777"/>
      <c r="AD65" s="777"/>
      <c r="AE65" s="777"/>
      <c r="AF65" s="777"/>
      <c r="AG65" s="777"/>
      <c r="AH65" s="777"/>
      <c r="AI65" s="777"/>
      <c r="AJ65" s="777"/>
      <c r="AK65" s="777"/>
      <c r="AL65" s="777"/>
      <c r="AM65" s="777"/>
      <c r="AN65" s="777"/>
      <c r="AO65" s="777"/>
      <c r="AP65" s="777"/>
      <c r="AQ65" s="777"/>
      <c r="AR65" s="777"/>
      <c r="AS65" s="777"/>
      <c r="AT65" s="777"/>
      <c r="AU65" s="777"/>
      <c r="AV65" s="777"/>
      <c r="AW65" s="777"/>
      <c r="AX65" s="777"/>
      <c r="AY65" s="777"/>
      <c r="AZ65" s="777"/>
      <c r="BA65" s="777"/>
      <c r="BB65" s="777"/>
      <c r="BC65" s="777"/>
      <c r="BD65" s="777"/>
      <c r="BE65" s="777"/>
      <c r="BF65" s="777"/>
      <c r="BG65" s="777"/>
      <c r="BH65" s="777"/>
      <c r="BI65" s="777"/>
      <c r="BJ65" s="777"/>
      <c r="BK65" s="777"/>
      <c r="BL65" s="777"/>
      <c r="BM65" s="777"/>
      <c r="BN65" s="777"/>
      <c r="BO65" s="777"/>
      <c r="BP65" s="777"/>
      <c r="BQ65" s="777"/>
      <c r="BR65" s="777"/>
      <c r="BS65" s="777"/>
      <c r="BT65" s="777"/>
    </row>
    <row r="66" spans="1:72" x14ac:dyDescent="0.25">
      <c r="A66" s="777"/>
      <c r="B66" s="777" t="s">
        <v>768</v>
      </c>
      <c r="C66" s="777" t="s">
        <v>769</v>
      </c>
      <c r="D66" s="777"/>
      <c r="E66" s="777"/>
      <c r="F66" s="777"/>
      <c r="G66" s="777"/>
      <c r="H66" s="777"/>
      <c r="I66" s="777"/>
      <c r="J66" s="777"/>
      <c r="K66" s="777"/>
      <c r="L66" s="777"/>
      <c r="M66" s="777"/>
      <c r="N66" s="777"/>
      <c r="O66" s="777"/>
      <c r="P66" s="777"/>
      <c r="Q66" s="777"/>
      <c r="R66" s="777"/>
      <c r="S66" s="777"/>
      <c r="T66" s="777"/>
      <c r="U66" s="777"/>
      <c r="V66" s="777"/>
      <c r="W66" s="777"/>
      <c r="X66" s="777"/>
      <c r="Y66" s="777"/>
      <c r="Z66" s="777"/>
      <c r="AA66" s="777"/>
      <c r="AB66" s="777"/>
      <c r="AC66" s="777"/>
      <c r="AD66" s="777"/>
      <c r="AE66" s="777"/>
      <c r="AF66" s="777"/>
      <c r="AG66" s="777"/>
      <c r="AH66" s="777"/>
      <c r="AI66" s="777"/>
      <c r="AJ66" s="777"/>
      <c r="AK66" s="777"/>
      <c r="AL66" s="777"/>
      <c r="AM66" s="777"/>
      <c r="AN66" s="777"/>
      <c r="AO66" s="777"/>
      <c r="AP66" s="777"/>
      <c r="AQ66" s="777"/>
      <c r="AR66" s="777"/>
      <c r="AS66" s="777"/>
      <c r="AT66" s="777"/>
      <c r="AU66" s="777"/>
      <c r="AV66" s="777"/>
      <c r="AW66" s="777"/>
      <c r="AX66" s="777"/>
      <c r="AY66" s="777"/>
      <c r="AZ66" s="777"/>
      <c r="BA66" s="777"/>
      <c r="BB66" s="777"/>
      <c r="BC66" s="777"/>
      <c r="BD66" s="777"/>
      <c r="BE66" s="777"/>
      <c r="BF66" s="777"/>
      <c r="BG66" s="777"/>
      <c r="BH66" s="777"/>
      <c r="BI66" s="777"/>
      <c r="BJ66" s="777"/>
      <c r="BK66" s="777"/>
      <c r="BL66" s="777"/>
      <c r="BM66" s="777"/>
      <c r="BN66" s="777"/>
      <c r="BO66" s="777"/>
      <c r="BP66" s="777"/>
      <c r="BQ66" s="777"/>
      <c r="BR66" s="777"/>
      <c r="BS66" s="777"/>
      <c r="BT66" s="777"/>
    </row>
    <row r="67" spans="1:72" x14ac:dyDescent="0.25">
      <c r="A67" s="777"/>
      <c r="B67" s="777" t="s">
        <v>770</v>
      </c>
      <c r="C67" s="777"/>
      <c r="D67" s="777" t="s">
        <v>771</v>
      </c>
      <c r="E67" s="777"/>
      <c r="F67" s="777"/>
      <c r="G67" s="777"/>
      <c r="H67" s="777"/>
      <c r="I67" s="777"/>
      <c r="J67" s="777"/>
      <c r="K67" s="777"/>
      <c r="L67" s="777"/>
      <c r="M67" s="777"/>
      <c r="N67" s="777"/>
      <c r="O67" s="777"/>
      <c r="P67" s="777"/>
      <c r="Q67" s="777"/>
      <c r="R67" s="777"/>
      <c r="S67" s="777"/>
      <c r="T67" s="777"/>
      <c r="U67" s="777"/>
      <c r="V67" s="777"/>
      <c r="W67" s="777"/>
      <c r="X67" s="777"/>
      <c r="Y67" s="777"/>
      <c r="Z67" s="777"/>
      <c r="AA67" s="777"/>
      <c r="AB67" s="777"/>
      <c r="AC67" s="777"/>
      <c r="AD67" s="777"/>
      <c r="AE67" s="777"/>
      <c r="AF67" s="777"/>
      <c r="AG67" s="777"/>
      <c r="AH67" s="777"/>
      <c r="AI67" s="777"/>
      <c r="AJ67" s="777"/>
      <c r="AK67" s="777"/>
      <c r="AL67" s="777"/>
      <c r="AM67" s="777"/>
      <c r="AN67" s="777"/>
      <c r="AO67" s="777"/>
      <c r="AP67" s="777"/>
      <c r="AQ67" s="777"/>
      <c r="AR67" s="777"/>
      <c r="AS67" s="777"/>
      <c r="AT67" s="777"/>
      <c r="AU67" s="777"/>
      <c r="AV67" s="777"/>
      <c r="AW67" s="777"/>
      <c r="AX67" s="777"/>
      <c r="AY67" s="777"/>
      <c r="AZ67" s="777"/>
      <c r="BA67" s="777"/>
      <c r="BB67" s="777"/>
      <c r="BC67" s="777"/>
      <c r="BD67" s="777"/>
      <c r="BE67" s="777"/>
      <c r="BF67" s="777"/>
      <c r="BG67" s="777"/>
      <c r="BH67" s="777"/>
      <c r="BI67" s="777"/>
      <c r="BJ67" s="777"/>
      <c r="BK67" s="777"/>
      <c r="BL67" s="777"/>
      <c r="BM67" s="777"/>
      <c r="BN67" s="777"/>
      <c r="BO67" s="777"/>
      <c r="BP67" s="777"/>
      <c r="BQ67" s="777"/>
      <c r="BR67" s="777"/>
      <c r="BS67" s="777"/>
      <c r="BT67" s="777"/>
    </row>
    <row r="68" spans="1:72" x14ac:dyDescent="0.25">
      <c r="A68" s="777"/>
      <c r="B68" s="777"/>
      <c r="C68" s="777"/>
      <c r="D68" s="777"/>
      <c r="E68" s="777"/>
      <c r="F68" s="777"/>
      <c r="G68" s="777"/>
      <c r="H68" s="777"/>
      <c r="I68" s="777"/>
      <c r="J68" s="777"/>
      <c r="K68" s="777"/>
      <c r="L68" s="777"/>
      <c r="M68" s="777"/>
      <c r="N68" s="777"/>
      <c r="O68" s="777"/>
      <c r="P68" s="777"/>
      <c r="Q68" s="777"/>
      <c r="R68" s="777"/>
      <c r="S68" s="777"/>
      <c r="T68" s="777"/>
      <c r="U68" s="777"/>
      <c r="V68" s="777"/>
      <c r="W68" s="777"/>
      <c r="X68" s="777"/>
      <c r="Y68" s="777"/>
      <c r="Z68" s="777"/>
      <c r="AA68" s="777"/>
      <c r="AB68" s="777"/>
      <c r="AC68" s="777"/>
      <c r="AD68" s="777"/>
      <c r="AE68" s="777"/>
      <c r="AF68" s="777"/>
      <c r="AG68" s="777"/>
      <c r="AH68" s="777"/>
      <c r="AI68" s="777"/>
      <c r="AJ68" s="777"/>
      <c r="AK68" s="777"/>
      <c r="AL68" s="777"/>
      <c r="AM68" s="777"/>
      <c r="AN68" s="777"/>
      <c r="AO68" s="777"/>
      <c r="AP68" s="777"/>
      <c r="AQ68" s="777"/>
      <c r="AR68" s="777"/>
      <c r="AS68" s="777"/>
      <c r="AT68" s="777"/>
      <c r="AU68" s="777"/>
      <c r="AV68" s="777"/>
      <c r="AW68" s="777"/>
      <c r="AX68" s="777"/>
      <c r="AY68" s="777"/>
      <c r="AZ68" s="777"/>
      <c r="BA68" s="777"/>
      <c r="BB68" s="777"/>
      <c r="BC68" s="777"/>
      <c r="BD68" s="777"/>
      <c r="BE68" s="777"/>
      <c r="BF68" s="777"/>
      <c r="BG68" s="777"/>
      <c r="BH68" s="777"/>
      <c r="BI68" s="777"/>
      <c r="BJ68" s="777"/>
      <c r="BK68" s="777"/>
      <c r="BL68" s="777"/>
      <c r="BM68" s="777"/>
      <c r="BN68" s="777"/>
      <c r="BO68" s="777"/>
      <c r="BP68" s="777"/>
      <c r="BQ68" s="777"/>
      <c r="BR68" s="777"/>
      <c r="BS68" s="777"/>
      <c r="BT68" s="777"/>
    </row>
    <row r="69" spans="1:72" x14ac:dyDescent="0.25">
      <c r="A69" s="777"/>
      <c r="B69" s="777"/>
      <c r="C69" s="777"/>
      <c r="D69" s="777"/>
      <c r="E69" s="777"/>
      <c r="F69" s="777"/>
      <c r="G69" s="777"/>
      <c r="H69" s="777"/>
      <c r="I69" s="777"/>
      <c r="J69" s="777"/>
      <c r="K69" s="777"/>
      <c r="L69" s="777"/>
      <c r="M69" s="777"/>
      <c r="N69" s="777"/>
      <c r="O69" s="777"/>
      <c r="P69" s="777"/>
      <c r="Q69" s="777"/>
      <c r="R69" s="777"/>
      <c r="S69" s="777"/>
      <c r="T69" s="777"/>
      <c r="U69" s="777"/>
      <c r="V69" s="777"/>
      <c r="W69" s="777"/>
      <c r="X69" s="777"/>
      <c r="Y69" s="777"/>
      <c r="Z69" s="777"/>
      <c r="AA69" s="777"/>
      <c r="AB69" s="777"/>
      <c r="AC69" s="777"/>
      <c r="AD69" s="777"/>
      <c r="AE69" s="777"/>
      <c r="AF69" s="777"/>
      <c r="AG69" s="777"/>
      <c r="AH69" s="777"/>
      <c r="AI69" s="777"/>
      <c r="AJ69" s="777"/>
      <c r="AK69" s="777"/>
      <c r="AL69" s="777"/>
      <c r="AM69" s="777"/>
      <c r="AN69" s="777"/>
      <c r="AO69" s="777"/>
      <c r="AP69" s="777"/>
      <c r="AQ69" s="777"/>
      <c r="AR69" s="777"/>
      <c r="AS69" s="777"/>
      <c r="AT69" s="777"/>
      <c r="AU69" s="777"/>
      <c r="AV69" s="777"/>
      <c r="AW69" s="777"/>
      <c r="AX69" s="777"/>
      <c r="AY69" s="777"/>
      <c r="AZ69" s="777"/>
      <c r="BA69" s="777"/>
      <c r="BB69" s="777"/>
      <c r="BC69" s="777"/>
      <c r="BD69" s="777"/>
      <c r="BE69" s="777"/>
      <c r="BF69" s="777"/>
      <c r="BG69" s="777"/>
      <c r="BH69" s="777"/>
      <c r="BI69" s="777"/>
      <c r="BJ69" s="777"/>
      <c r="BK69" s="777"/>
      <c r="BL69" s="777"/>
      <c r="BM69" s="777"/>
      <c r="BN69" s="777"/>
      <c r="BO69" s="777"/>
      <c r="BP69" s="777"/>
      <c r="BQ69" s="777"/>
      <c r="BR69" s="777"/>
      <c r="BS69" s="777"/>
      <c r="BT69" s="777"/>
    </row>
    <row r="70" spans="1:72" x14ac:dyDescent="0.25">
      <c r="A70" s="777"/>
      <c r="B70" s="777"/>
      <c r="C70" s="777"/>
      <c r="D70" s="777"/>
      <c r="E70" s="777"/>
      <c r="F70" s="777"/>
      <c r="G70" s="777"/>
      <c r="H70" s="777"/>
      <c r="I70" s="777"/>
      <c r="J70" s="777"/>
      <c r="K70" s="777"/>
      <c r="L70" s="777"/>
      <c r="M70" s="777"/>
      <c r="N70" s="777"/>
      <c r="O70" s="777"/>
      <c r="P70" s="777"/>
      <c r="Q70" s="777"/>
      <c r="R70" s="777"/>
      <c r="S70" s="777"/>
      <c r="T70" s="777"/>
      <c r="U70" s="777"/>
      <c r="V70" s="777"/>
      <c r="W70" s="777"/>
      <c r="X70" s="777"/>
      <c r="Y70" s="777"/>
      <c r="Z70" s="777"/>
      <c r="AA70" s="777"/>
      <c r="AB70" s="777"/>
      <c r="AC70" s="777"/>
      <c r="AD70" s="777"/>
      <c r="AE70" s="777"/>
      <c r="AF70" s="777"/>
      <c r="AG70" s="777"/>
      <c r="AH70" s="777"/>
      <c r="AI70" s="777"/>
      <c r="AJ70" s="777"/>
      <c r="AK70" s="777"/>
      <c r="AL70" s="777"/>
      <c r="AM70" s="777"/>
      <c r="AN70" s="777"/>
      <c r="AO70" s="777"/>
      <c r="AP70" s="777"/>
      <c r="AQ70" s="777"/>
      <c r="AR70" s="777"/>
      <c r="AS70" s="777"/>
      <c r="AT70" s="777"/>
      <c r="AU70" s="777"/>
      <c r="AV70" s="777"/>
      <c r="AW70" s="777"/>
      <c r="AX70" s="777"/>
      <c r="AY70" s="777"/>
      <c r="AZ70" s="777"/>
      <c r="BA70" s="777"/>
      <c r="BB70" s="777"/>
      <c r="BC70" s="777"/>
      <c r="BD70" s="777"/>
      <c r="BE70" s="777"/>
      <c r="BF70" s="777"/>
      <c r="BG70" s="777"/>
      <c r="BH70" s="777"/>
      <c r="BI70" s="777"/>
      <c r="BJ70" s="777"/>
      <c r="BK70" s="777"/>
      <c r="BL70" s="777"/>
      <c r="BM70" s="777"/>
      <c r="BN70" s="777"/>
      <c r="BO70" s="777"/>
      <c r="BP70" s="777"/>
      <c r="BQ70" s="777"/>
      <c r="BR70" s="777"/>
      <c r="BS70" s="777"/>
      <c r="BT70" s="777"/>
    </row>
    <row r="71" spans="1:72" x14ac:dyDescent="0.25">
      <c r="A71" s="777"/>
      <c r="B71" s="777"/>
      <c r="C71" s="777"/>
      <c r="D71" s="777"/>
      <c r="E71" s="777"/>
      <c r="F71" s="777"/>
      <c r="G71" s="777"/>
      <c r="H71" s="777"/>
      <c r="I71" s="777"/>
      <c r="J71" s="777"/>
      <c r="K71" s="777"/>
      <c r="L71" s="777"/>
      <c r="M71" s="777"/>
      <c r="N71" s="777"/>
      <c r="O71" s="777"/>
      <c r="P71" s="777"/>
      <c r="Q71" s="777"/>
      <c r="R71" s="777"/>
      <c r="S71" s="777"/>
      <c r="T71" s="777"/>
      <c r="U71" s="777"/>
      <c r="V71" s="777"/>
      <c r="W71" s="777"/>
      <c r="X71" s="777"/>
      <c r="Y71" s="777"/>
      <c r="Z71" s="777"/>
      <c r="AA71" s="777"/>
      <c r="AB71" s="777"/>
      <c r="AC71" s="777"/>
      <c r="AD71" s="777"/>
      <c r="AE71" s="777"/>
      <c r="AF71" s="777"/>
      <c r="AG71" s="777"/>
      <c r="AH71" s="777"/>
      <c r="AI71" s="777"/>
      <c r="AJ71" s="777"/>
      <c r="AK71" s="777"/>
      <c r="AL71" s="777"/>
      <c r="AM71" s="777"/>
      <c r="AN71" s="777"/>
      <c r="AO71" s="777"/>
      <c r="AP71" s="777"/>
      <c r="AQ71" s="777"/>
      <c r="AR71" s="777"/>
      <c r="AS71" s="777"/>
      <c r="AT71" s="777"/>
      <c r="AU71" s="777"/>
      <c r="AV71" s="777"/>
      <c r="AW71" s="777"/>
      <c r="AX71" s="777"/>
      <c r="AY71" s="777"/>
      <c r="AZ71" s="777"/>
      <c r="BA71" s="777"/>
      <c r="BB71" s="777"/>
      <c r="BC71" s="777"/>
      <c r="BD71" s="777"/>
      <c r="BE71" s="777"/>
      <c r="BF71" s="777"/>
      <c r="BG71" s="777"/>
      <c r="BH71" s="777"/>
      <c r="BI71" s="777"/>
      <c r="BJ71" s="777"/>
      <c r="BK71" s="777"/>
      <c r="BL71" s="777"/>
      <c r="BM71" s="777"/>
      <c r="BN71" s="777"/>
      <c r="BO71" s="777"/>
      <c r="BP71" s="777"/>
      <c r="BQ71" s="777"/>
      <c r="BR71" s="777"/>
      <c r="BS71" s="777"/>
      <c r="BT71" s="777"/>
    </row>
    <row r="72" spans="1:72" x14ac:dyDescent="0.25">
      <c r="A72" s="777" t="s">
        <v>772</v>
      </c>
      <c r="B72" s="777"/>
      <c r="C72" s="777"/>
      <c r="D72" s="777"/>
      <c r="E72" s="777"/>
      <c r="F72" s="777"/>
      <c r="G72" s="777"/>
      <c r="H72" s="777"/>
      <c r="I72" s="777"/>
      <c r="J72" s="777"/>
      <c r="K72" s="777"/>
      <c r="L72" s="777"/>
      <c r="M72" s="777"/>
      <c r="N72" s="777"/>
      <c r="O72" s="777"/>
      <c r="P72" s="777"/>
      <c r="Q72" s="777"/>
      <c r="R72" s="777"/>
      <c r="S72" s="777"/>
      <c r="T72" s="777"/>
      <c r="U72" s="777"/>
      <c r="V72" s="777"/>
      <c r="W72" s="777"/>
      <c r="X72" s="777"/>
      <c r="Y72" s="777"/>
      <c r="Z72" s="777"/>
      <c r="AA72" s="777"/>
      <c r="AB72" s="777"/>
      <c r="AC72" s="777"/>
      <c r="AD72" s="777"/>
      <c r="AE72" s="777"/>
      <c r="AF72" s="777"/>
      <c r="AG72" s="777"/>
      <c r="AH72" s="777"/>
      <c r="AI72" s="777"/>
      <c r="AJ72" s="777"/>
      <c r="AK72" s="777"/>
      <c r="AL72" s="777"/>
      <c r="AM72" s="777"/>
      <c r="AN72" s="777"/>
      <c r="AO72" s="777"/>
      <c r="AP72" s="777"/>
      <c r="AQ72" s="777"/>
      <c r="AR72" s="777"/>
      <c r="AS72" s="777"/>
      <c r="AT72" s="777"/>
      <c r="AU72" s="777"/>
      <c r="AV72" s="777"/>
      <c r="AW72" s="777"/>
      <c r="AX72" s="777"/>
      <c r="AY72" s="777"/>
      <c r="AZ72" s="777"/>
      <c r="BA72" s="777"/>
      <c r="BB72" s="777"/>
      <c r="BC72" s="777"/>
      <c r="BD72" s="777"/>
      <c r="BE72" s="777"/>
      <c r="BF72" s="777"/>
      <c r="BG72" s="777"/>
      <c r="BH72" s="777"/>
      <c r="BI72" s="777"/>
      <c r="BJ72" s="777"/>
      <c r="BK72" s="777"/>
      <c r="BL72" s="777"/>
      <c r="BM72" s="777"/>
      <c r="BN72" s="777"/>
      <c r="BO72" s="777"/>
      <c r="BP72" s="777"/>
      <c r="BQ72" s="777"/>
      <c r="BR72" s="777"/>
      <c r="BS72" s="777"/>
      <c r="BT72" s="777"/>
    </row>
    <row r="73" spans="1:72" x14ac:dyDescent="0.25">
      <c r="A73" s="777"/>
      <c r="B73" s="777"/>
      <c r="C73" s="777"/>
      <c r="D73" s="777"/>
      <c r="E73" s="777"/>
      <c r="F73" s="777"/>
      <c r="G73" s="777"/>
      <c r="H73" s="777"/>
      <c r="I73" s="777"/>
      <c r="J73" s="777"/>
      <c r="K73" s="777"/>
      <c r="L73" s="777"/>
      <c r="M73" s="777"/>
      <c r="N73" s="777"/>
      <c r="O73" s="777"/>
      <c r="P73" s="777"/>
      <c r="Q73" s="777"/>
      <c r="R73" s="777"/>
      <c r="S73" s="777"/>
      <c r="T73" s="777"/>
      <c r="U73" s="777"/>
      <c r="V73" s="777"/>
      <c r="W73" s="777"/>
      <c r="X73" s="777"/>
      <c r="Y73" s="777"/>
      <c r="Z73" s="777"/>
      <c r="AA73" s="777"/>
      <c r="AB73" s="777"/>
      <c r="AC73" s="777"/>
      <c r="AD73" s="777"/>
      <c r="AE73" s="777"/>
      <c r="AF73" s="777"/>
      <c r="AG73" s="777"/>
      <c r="AH73" s="777"/>
      <c r="AI73" s="777"/>
      <c r="AJ73" s="777"/>
      <c r="AK73" s="777"/>
      <c r="AL73" s="777"/>
      <c r="AM73" s="777"/>
      <c r="AN73" s="777"/>
      <c r="AO73" s="777"/>
      <c r="AP73" s="777"/>
      <c r="AQ73" s="777"/>
      <c r="AR73" s="777"/>
      <c r="AS73" s="777"/>
      <c r="AT73" s="777"/>
      <c r="AU73" s="777"/>
      <c r="AV73" s="777"/>
      <c r="AW73" s="777"/>
      <c r="AX73" s="777"/>
      <c r="AY73" s="777"/>
      <c r="AZ73" s="777"/>
      <c r="BA73" s="777"/>
      <c r="BB73" s="777"/>
      <c r="BC73" s="777"/>
      <c r="BD73" s="777"/>
      <c r="BE73" s="777"/>
      <c r="BF73" s="777"/>
      <c r="BG73" s="777"/>
      <c r="BH73" s="777"/>
      <c r="BI73" s="777"/>
      <c r="BJ73" s="777"/>
      <c r="BK73" s="777"/>
      <c r="BL73" s="777"/>
      <c r="BM73" s="777"/>
      <c r="BN73" s="777"/>
      <c r="BO73" s="777"/>
      <c r="BP73" s="777"/>
      <c r="BQ73" s="777"/>
      <c r="BR73" s="777"/>
      <c r="BS73" s="777"/>
      <c r="BT73" s="777"/>
    </row>
    <row r="74" spans="1:72" x14ac:dyDescent="0.25">
      <c r="A74" s="777" t="s">
        <v>773</v>
      </c>
      <c r="B74" s="777"/>
      <c r="C74" s="777"/>
      <c r="D74" s="777"/>
      <c r="E74" s="777"/>
      <c r="F74" s="777"/>
      <c r="G74" s="777"/>
      <c r="H74" s="777"/>
      <c r="I74" s="777"/>
      <c r="J74" s="777"/>
      <c r="K74" s="777"/>
      <c r="L74" s="777"/>
      <c r="M74" s="777"/>
      <c r="N74" s="777"/>
      <c r="O74" s="777"/>
      <c r="P74" s="777"/>
      <c r="Q74" s="777"/>
      <c r="R74" s="777"/>
      <c r="S74" s="777"/>
      <c r="T74" s="777"/>
      <c r="U74" s="777"/>
      <c r="V74" s="777"/>
      <c r="W74" s="777"/>
      <c r="X74" s="777"/>
      <c r="Y74" s="777"/>
      <c r="Z74" s="777"/>
      <c r="AA74" s="777"/>
      <c r="AB74" s="777"/>
      <c r="AC74" s="777"/>
      <c r="AD74" s="777"/>
      <c r="AE74" s="777"/>
      <c r="AF74" s="777"/>
      <c r="AG74" s="777"/>
      <c r="AH74" s="777"/>
      <c r="AI74" s="777"/>
      <c r="AJ74" s="777"/>
      <c r="AK74" s="777"/>
      <c r="AL74" s="777"/>
      <c r="AM74" s="777"/>
      <c r="AN74" s="777"/>
      <c r="AO74" s="777"/>
      <c r="AP74" s="777"/>
      <c r="AQ74" s="777"/>
      <c r="AR74" s="777"/>
      <c r="AS74" s="777"/>
      <c r="AT74" s="777"/>
      <c r="AU74" s="777"/>
      <c r="AV74" s="777"/>
      <c r="AW74" s="777"/>
      <c r="AX74" s="777"/>
      <c r="AY74" s="777"/>
      <c r="AZ74" s="777"/>
      <c r="BA74" s="777"/>
      <c r="BB74" s="777"/>
      <c r="BC74" s="777"/>
      <c r="BD74" s="777"/>
      <c r="BE74" s="777"/>
      <c r="BF74" s="777"/>
      <c r="BG74" s="777"/>
      <c r="BH74" s="777"/>
      <c r="BI74" s="777"/>
      <c r="BJ74" s="777"/>
      <c r="BK74" s="777"/>
      <c r="BL74" s="777"/>
      <c r="BM74" s="777"/>
      <c r="BN74" s="777"/>
      <c r="BO74" s="777"/>
      <c r="BP74" s="777"/>
      <c r="BQ74" s="777"/>
      <c r="BR74" s="777"/>
      <c r="BS74" s="777"/>
      <c r="BT74" s="777"/>
    </row>
    <row r="75" spans="1:72" x14ac:dyDescent="0.25">
      <c r="A75" s="777" t="s">
        <v>774</v>
      </c>
      <c r="B75" s="777"/>
      <c r="C75" s="777"/>
      <c r="D75" s="777"/>
      <c r="E75" s="777"/>
      <c r="F75" s="777"/>
      <c r="G75" s="777"/>
      <c r="H75" s="777"/>
      <c r="I75" s="777"/>
      <c r="J75" s="777"/>
      <c r="K75" s="777"/>
      <c r="L75" s="777"/>
      <c r="M75" s="777"/>
      <c r="N75" s="777"/>
      <c r="O75" s="777"/>
      <c r="P75" s="777"/>
      <c r="Q75" s="777"/>
      <c r="R75" s="777"/>
      <c r="S75" s="777"/>
      <c r="T75" s="777"/>
      <c r="U75" s="777"/>
      <c r="V75" s="777"/>
      <c r="W75" s="777"/>
      <c r="X75" s="777"/>
      <c r="Y75" s="777"/>
      <c r="Z75" s="777"/>
      <c r="AA75" s="777"/>
      <c r="AB75" s="777"/>
      <c r="AC75" s="777"/>
      <c r="AD75" s="777"/>
      <c r="AE75" s="777"/>
      <c r="AF75" s="777"/>
      <c r="AG75" s="777"/>
      <c r="AH75" s="777"/>
      <c r="AI75" s="777"/>
      <c r="AJ75" s="777"/>
      <c r="AK75" s="777"/>
      <c r="AL75" s="777"/>
      <c r="AM75" s="777"/>
      <c r="AN75" s="777"/>
      <c r="AO75" s="777"/>
      <c r="AP75" s="777"/>
      <c r="AQ75" s="777"/>
      <c r="AR75" s="777"/>
      <c r="AS75" s="777"/>
      <c r="AT75" s="777"/>
      <c r="AU75" s="777"/>
      <c r="AV75" s="777"/>
      <c r="AW75" s="777"/>
      <c r="AX75" s="777"/>
      <c r="AY75" s="777"/>
      <c r="AZ75" s="777"/>
      <c r="BA75" s="777"/>
      <c r="BB75" s="777"/>
      <c r="BC75" s="777"/>
      <c r="BD75" s="777"/>
      <c r="BE75" s="777"/>
      <c r="BF75" s="777"/>
      <c r="BG75" s="777"/>
      <c r="BH75" s="777"/>
      <c r="BI75" s="777"/>
      <c r="BJ75" s="777"/>
      <c r="BK75" s="777"/>
      <c r="BL75" s="777"/>
      <c r="BM75" s="777"/>
      <c r="BN75" s="777"/>
      <c r="BO75" s="777"/>
      <c r="BP75" s="777"/>
      <c r="BQ75" s="777"/>
      <c r="BR75" s="777"/>
      <c r="BS75" s="777"/>
      <c r="BT75" s="777"/>
    </row>
    <row r="76" spans="1:72" x14ac:dyDescent="0.25">
      <c r="A76" s="777"/>
      <c r="B76" s="777"/>
      <c r="C76" s="777"/>
      <c r="D76" s="777"/>
      <c r="E76" s="777"/>
      <c r="F76" s="777"/>
      <c r="G76" s="777"/>
      <c r="H76" s="777"/>
      <c r="I76" s="777"/>
      <c r="J76" s="777"/>
      <c r="K76" s="777"/>
      <c r="L76" s="777"/>
      <c r="M76" s="777"/>
      <c r="N76" s="777"/>
      <c r="O76" s="777"/>
      <c r="P76" s="777"/>
      <c r="Q76" s="777"/>
      <c r="R76" s="777"/>
      <c r="S76" s="777"/>
      <c r="T76" s="777"/>
      <c r="U76" s="777"/>
      <c r="V76" s="777"/>
      <c r="W76" s="777"/>
      <c r="X76" s="777"/>
      <c r="Y76" s="777"/>
      <c r="Z76" s="777"/>
      <c r="AA76" s="777"/>
      <c r="AB76" s="777"/>
      <c r="AC76" s="777"/>
      <c r="AD76" s="777"/>
      <c r="AE76" s="777" t="s">
        <v>775</v>
      </c>
      <c r="AF76" s="777"/>
      <c r="AG76" s="777"/>
      <c r="AH76" s="777"/>
      <c r="AI76" s="777"/>
      <c r="AJ76" s="777"/>
      <c r="AK76" s="777"/>
      <c r="AL76" s="777"/>
      <c r="AM76" s="777"/>
      <c r="AN76" s="777"/>
      <c r="AO76" s="777"/>
      <c r="AP76" s="777"/>
      <c r="AQ76" s="777"/>
      <c r="AR76" s="777"/>
      <c r="AS76" s="777"/>
      <c r="AT76" s="777"/>
      <c r="AU76" s="777"/>
      <c r="AV76" s="777"/>
      <c r="AW76" s="777"/>
      <c r="AX76" s="777"/>
      <c r="AY76" s="777"/>
      <c r="AZ76" s="777"/>
      <c r="BA76" s="777"/>
      <c r="BB76" s="777"/>
      <c r="BC76" s="777"/>
      <c r="BD76" s="777"/>
      <c r="BE76" s="777"/>
      <c r="BF76" s="777"/>
      <c r="BG76" s="777"/>
      <c r="BH76" s="777"/>
      <c r="BI76" s="777"/>
      <c r="BJ76" s="777"/>
      <c r="BK76" s="777"/>
      <c r="BL76" s="777"/>
      <c r="BM76" s="777"/>
      <c r="BN76" s="777"/>
      <c r="BO76" s="777"/>
      <c r="BP76" s="777"/>
      <c r="BQ76" s="777"/>
      <c r="BR76" s="777"/>
      <c r="BS76" s="777"/>
      <c r="BT76" s="777"/>
    </row>
    <row r="77" spans="1:72" x14ac:dyDescent="0.25">
      <c r="A77" s="777" t="s">
        <v>776</v>
      </c>
      <c r="B77" s="777">
        <v>2007</v>
      </c>
      <c r="C77" s="777">
        <v>2008</v>
      </c>
      <c r="D77" s="777">
        <v>2009</v>
      </c>
      <c r="E77" s="777">
        <v>2010</v>
      </c>
      <c r="F77" s="777">
        <v>2011</v>
      </c>
      <c r="G77" s="777">
        <v>2012</v>
      </c>
      <c r="H77" s="777">
        <v>2013</v>
      </c>
      <c r="I77" s="777">
        <v>2014</v>
      </c>
      <c r="J77" s="777">
        <v>2015</v>
      </c>
      <c r="K77" s="777">
        <v>2016</v>
      </c>
      <c r="L77" s="777">
        <v>2017</v>
      </c>
      <c r="M77" s="777">
        <v>2018</v>
      </c>
      <c r="N77" s="777">
        <v>2019</v>
      </c>
      <c r="O77" s="777">
        <v>2020</v>
      </c>
      <c r="P77" s="777">
        <v>2021</v>
      </c>
      <c r="Q77" s="777">
        <v>2022</v>
      </c>
      <c r="R77" s="777">
        <v>2023</v>
      </c>
      <c r="S77" s="777">
        <v>2024</v>
      </c>
      <c r="T77" s="777">
        <v>2025</v>
      </c>
      <c r="U77" s="777">
        <v>2026</v>
      </c>
      <c r="V77" s="777">
        <v>2027</v>
      </c>
      <c r="W77" s="777">
        <v>2028</v>
      </c>
      <c r="X77" s="777">
        <v>2029</v>
      </c>
      <c r="Y77" s="777">
        <v>2030</v>
      </c>
      <c r="Z77" s="777">
        <v>2031</v>
      </c>
      <c r="AA77" s="777">
        <v>2032</v>
      </c>
      <c r="AB77" s="777">
        <v>2033</v>
      </c>
      <c r="AC77" s="777">
        <v>2034</v>
      </c>
      <c r="AD77" s="777">
        <v>2035</v>
      </c>
      <c r="AE77" s="777">
        <v>2035</v>
      </c>
      <c r="AF77" s="777"/>
      <c r="AG77" s="777"/>
      <c r="AH77" s="777"/>
      <c r="AI77" s="777"/>
      <c r="AJ77" s="777"/>
      <c r="AK77" s="777"/>
      <c r="AL77" s="777"/>
      <c r="AM77" s="777"/>
      <c r="AN77" s="777"/>
      <c r="AO77" s="777"/>
      <c r="AP77" s="777"/>
      <c r="AQ77" s="777"/>
      <c r="AR77" s="777"/>
      <c r="AS77" s="777"/>
      <c r="AT77" s="777"/>
      <c r="AU77" s="777"/>
      <c r="AV77" s="777"/>
      <c r="AW77" s="777"/>
      <c r="AX77" s="777"/>
      <c r="AY77" s="777"/>
      <c r="AZ77" s="777"/>
      <c r="BA77" s="777"/>
      <c r="BB77" s="777"/>
      <c r="BC77" s="777"/>
      <c r="BD77" s="777"/>
      <c r="BE77" s="777"/>
      <c r="BF77" s="777"/>
      <c r="BG77" s="777"/>
      <c r="BH77" s="777"/>
      <c r="BI77" s="777"/>
      <c r="BJ77" s="777"/>
      <c r="BK77" s="777"/>
      <c r="BL77" s="777"/>
      <c r="BM77" s="777"/>
      <c r="BN77" s="777"/>
      <c r="BO77" s="777"/>
      <c r="BP77" s="777"/>
      <c r="BQ77" s="777"/>
      <c r="BR77" s="777"/>
      <c r="BS77" s="777"/>
      <c r="BT77" s="777"/>
    </row>
    <row r="78" spans="1:72" x14ac:dyDescent="0.25">
      <c r="A78" s="777"/>
      <c r="B78" s="777"/>
      <c r="C78" s="777"/>
      <c r="D78" s="777"/>
      <c r="E78" s="777"/>
      <c r="F78" s="777"/>
      <c r="G78" s="777"/>
      <c r="H78" s="777"/>
      <c r="I78" s="777"/>
      <c r="J78" s="777"/>
      <c r="K78" s="777"/>
      <c r="L78" s="777"/>
      <c r="M78" s="777"/>
      <c r="N78" s="777"/>
      <c r="O78" s="777"/>
      <c r="P78" s="777"/>
      <c r="Q78" s="777"/>
      <c r="R78" s="777"/>
      <c r="S78" s="777"/>
      <c r="T78" s="777"/>
      <c r="U78" s="777"/>
      <c r="V78" s="777"/>
      <c r="W78" s="777"/>
      <c r="X78" s="777"/>
      <c r="Y78" s="777"/>
      <c r="Z78" s="777"/>
      <c r="AA78" s="777"/>
      <c r="AB78" s="777"/>
      <c r="AC78" s="777"/>
      <c r="AD78" s="777"/>
      <c r="AE78" s="777"/>
      <c r="AF78" s="777"/>
      <c r="AG78" s="777"/>
      <c r="AH78" s="777"/>
      <c r="AI78" s="777"/>
      <c r="AJ78" s="777"/>
      <c r="AK78" s="777"/>
      <c r="AL78" s="777"/>
      <c r="AM78" s="777"/>
      <c r="AN78" s="777"/>
      <c r="AO78" s="777"/>
      <c r="AP78" s="777"/>
      <c r="AQ78" s="777"/>
      <c r="AR78" s="777"/>
      <c r="AS78" s="777"/>
      <c r="AT78" s="777"/>
      <c r="AU78" s="777"/>
      <c r="AV78" s="777"/>
      <c r="AW78" s="777"/>
      <c r="AX78" s="777"/>
      <c r="AY78" s="777"/>
      <c r="AZ78" s="777"/>
      <c r="BA78" s="777"/>
      <c r="BB78" s="777"/>
      <c r="BC78" s="777"/>
      <c r="BD78" s="777"/>
      <c r="BE78" s="777"/>
      <c r="BF78" s="777"/>
      <c r="BG78" s="777"/>
      <c r="BH78" s="777"/>
      <c r="BI78" s="777"/>
      <c r="BJ78" s="777"/>
      <c r="BK78" s="777"/>
      <c r="BL78" s="777"/>
      <c r="BM78" s="777"/>
      <c r="BN78" s="777"/>
      <c r="BO78" s="777"/>
      <c r="BP78" s="777"/>
      <c r="BQ78" s="777"/>
      <c r="BR78" s="777"/>
      <c r="BS78" s="777"/>
      <c r="BT78" s="777"/>
    </row>
    <row r="79" spans="1:72" x14ac:dyDescent="0.25">
      <c r="A79" s="777" t="s">
        <v>463</v>
      </c>
      <c r="B79" s="777"/>
      <c r="C79" s="777"/>
      <c r="D79" s="777"/>
      <c r="E79" s="777"/>
      <c r="F79" s="777"/>
      <c r="G79" s="777"/>
      <c r="H79" s="777"/>
      <c r="I79" s="777"/>
      <c r="J79" s="777"/>
      <c r="K79" s="777"/>
      <c r="L79" s="777"/>
      <c r="M79" s="777"/>
      <c r="N79" s="777"/>
      <c r="O79" s="777"/>
      <c r="P79" s="777"/>
      <c r="Q79" s="777"/>
      <c r="R79" s="777"/>
      <c r="S79" s="777"/>
      <c r="T79" s="777"/>
      <c r="U79" s="777"/>
      <c r="V79" s="777"/>
      <c r="W79" s="777"/>
      <c r="X79" s="777"/>
      <c r="Y79" s="777"/>
      <c r="Z79" s="777"/>
      <c r="AA79" s="777"/>
      <c r="AB79" s="777"/>
      <c r="AC79" s="777"/>
      <c r="AD79" s="777"/>
      <c r="AE79" s="777"/>
      <c r="AF79" s="777"/>
      <c r="AG79" s="777"/>
      <c r="AH79" s="777"/>
      <c r="AI79" s="777"/>
      <c r="AJ79" s="777"/>
      <c r="AK79" s="777"/>
      <c r="AL79" s="777"/>
      <c r="AM79" s="777"/>
      <c r="AN79" s="777"/>
      <c r="AO79" s="777"/>
      <c r="AP79" s="777"/>
      <c r="AQ79" s="777"/>
      <c r="AR79" s="777"/>
      <c r="AS79" s="777"/>
      <c r="AT79" s="777"/>
      <c r="AU79" s="777"/>
      <c r="AV79" s="777"/>
      <c r="AW79" s="777"/>
      <c r="AX79" s="777"/>
      <c r="AY79" s="777"/>
      <c r="AZ79" s="777"/>
      <c r="BA79" s="777"/>
      <c r="BB79" s="777"/>
      <c r="BC79" s="777"/>
      <c r="BD79" s="777"/>
      <c r="BE79" s="777"/>
      <c r="BF79" s="777"/>
      <c r="BG79" s="777"/>
      <c r="BH79" s="777"/>
      <c r="BI79" s="777"/>
      <c r="BJ79" s="777"/>
      <c r="BK79" s="777"/>
      <c r="BL79" s="777"/>
      <c r="BM79" s="777"/>
      <c r="BN79" s="777"/>
      <c r="BO79" s="777"/>
      <c r="BP79" s="777"/>
      <c r="BQ79" s="777"/>
      <c r="BR79" s="777"/>
      <c r="BS79" s="777"/>
      <c r="BT79" s="777"/>
    </row>
    <row r="80" spans="1:72" x14ac:dyDescent="0.25">
      <c r="A80" s="777" t="s">
        <v>598</v>
      </c>
      <c r="B80" s="777">
        <v>26.25</v>
      </c>
      <c r="C80" s="777">
        <v>29.35</v>
      </c>
      <c r="D80" s="777">
        <v>24.9</v>
      </c>
      <c r="E80" s="777">
        <v>24.01</v>
      </c>
      <c r="F80" s="777">
        <v>24.09</v>
      </c>
      <c r="G80" s="777">
        <v>25.25</v>
      </c>
      <c r="H80" s="777">
        <v>26.47</v>
      </c>
      <c r="I80" s="777">
        <v>27.44</v>
      </c>
      <c r="J80" s="777">
        <v>28.03</v>
      </c>
      <c r="K80" s="777">
        <v>28.67</v>
      </c>
      <c r="L80" s="777">
        <v>29.21</v>
      </c>
      <c r="M80" s="777">
        <v>29.8</v>
      </c>
      <c r="N80" s="777">
        <v>30.06</v>
      </c>
      <c r="O80" s="777">
        <v>30.29</v>
      </c>
      <c r="P80" s="777">
        <v>30.53</v>
      </c>
      <c r="Q80" s="777">
        <v>30.73</v>
      </c>
      <c r="R80" s="777">
        <v>31.01</v>
      </c>
      <c r="S80" s="777">
        <v>31.28</v>
      </c>
      <c r="T80" s="777">
        <v>31.55</v>
      </c>
      <c r="U80" s="777">
        <v>31.7</v>
      </c>
      <c r="V80" s="777">
        <v>31.98</v>
      </c>
      <c r="W80" s="777">
        <v>32.229999999999997</v>
      </c>
      <c r="X80" s="777">
        <v>32.590000000000003</v>
      </c>
      <c r="Y80" s="777">
        <v>32.81</v>
      </c>
      <c r="Z80" s="777">
        <v>33.17</v>
      </c>
      <c r="AA80" s="777">
        <v>33.51</v>
      </c>
      <c r="AB80" s="777">
        <v>33.9</v>
      </c>
      <c r="AC80" s="777">
        <v>34.26</v>
      </c>
      <c r="AD80" s="777">
        <v>34.65</v>
      </c>
      <c r="AE80" s="813">
        <v>6.0000000000000001E-3</v>
      </c>
      <c r="AF80" s="777"/>
      <c r="AG80" s="777"/>
      <c r="AH80" s="777"/>
      <c r="AI80" s="777"/>
      <c r="AJ80" s="777"/>
      <c r="AK80" s="777"/>
      <c r="AL80" s="777"/>
      <c r="AM80" s="777"/>
      <c r="AN80" s="777"/>
      <c r="AO80" s="777"/>
      <c r="AP80" s="777"/>
      <c r="AQ80" s="777"/>
      <c r="AR80" s="777"/>
      <c r="AS80" s="777"/>
      <c r="AT80" s="777"/>
      <c r="AU80" s="777"/>
      <c r="AV80" s="777"/>
      <c r="AW80" s="777"/>
      <c r="AX80" s="777"/>
      <c r="AY80" s="777"/>
      <c r="AZ80" s="777"/>
      <c r="BA80" s="777"/>
      <c r="BB80" s="777"/>
      <c r="BC80" s="777"/>
      <c r="BD80" s="777"/>
      <c r="BE80" s="777"/>
      <c r="BF80" s="777"/>
      <c r="BG80" s="777"/>
      <c r="BH80" s="777"/>
      <c r="BI80" s="777"/>
      <c r="BJ80" s="777"/>
      <c r="BK80" s="777"/>
      <c r="BL80" s="777"/>
      <c r="BM80" s="777"/>
      <c r="BN80" s="777"/>
      <c r="BO80" s="777"/>
      <c r="BP80" s="777"/>
      <c r="BQ80" s="777"/>
      <c r="BR80" s="777"/>
      <c r="BS80" s="777"/>
      <c r="BT80" s="777"/>
    </row>
    <row r="81" spans="1:72" x14ac:dyDescent="0.25">
      <c r="A81" s="777" t="s">
        <v>599</v>
      </c>
      <c r="B81" s="777">
        <v>20.3</v>
      </c>
      <c r="C81" s="777">
        <v>24.47</v>
      </c>
      <c r="D81" s="777">
        <v>17.98</v>
      </c>
      <c r="E81" s="777">
        <v>17.57</v>
      </c>
      <c r="F81" s="777">
        <v>17.72</v>
      </c>
      <c r="G81" s="777">
        <v>18.84</v>
      </c>
      <c r="H81" s="777">
        <v>19.86</v>
      </c>
      <c r="I81" s="777">
        <v>20.58</v>
      </c>
      <c r="J81" s="777">
        <v>21.08</v>
      </c>
      <c r="K81" s="777">
        <v>22</v>
      </c>
      <c r="L81" s="777">
        <v>22.66</v>
      </c>
      <c r="M81" s="777">
        <v>23.32</v>
      </c>
      <c r="N81" s="777">
        <v>23.74</v>
      </c>
      <c r="O81" s="777">
        <v>24.1</v>
      </c>
      <c r="P81" s="777">
        <v>24.24</v>
      </c>
      <c r="Q81" s="777">
        <v>24.44</v>
      </c>
      <c r="R81" s="777">
        <v>24.76</v>
      </c>
      <c r="S81" s="777">
        <v>24.94</v>
      </c>
      <c r="T81" s="777">
        <v>25.23</v>
      </c>
      <c r="U81" s="777">
        <v>25.5</v>
      </c>
      <c r="V81" s="777">
        <v>25.72</v>
      </c>
      <c r="W81" s="777">
        <v>26.04</v>
      </c>
      <c r="X81" s="777">
        <v>26.44</v>
      </c>
      <c r="Y81" s="777">
        <v>26.61</v>
      </c>
      <c r="Z81" s="777">
        <v>27.05</v>
      </c>
      <c r="AA81" s="777">
        <v>27.45</v>
      </c>
      <c r="AB81" s="777">
        <v>27.82</v>
      </c>
      <c r="AC81" s="777">
        <v>28.24</v>
      </c>
      <c r="AD81" s="777">
        <v>28.66</v>
      </c>
      <c r="AE81" s="813">
        <v>6.0000000000000001E-3</v>
      </c>
      <c r="AF81" s="777"/>
      <c r="AG81" s="777"/>
      <c r="AH81" s="777"/>
      <c r="AI81" s="777"/>
      <c r="AJ81" s="777"/>
      <c r="AK81" s="777"/>
      <c r="AL81" s="777"/>
      <c r="AM81" s="777"/>
      <c r="AN81" s="777"/>
      <c r="AO81" s="777"/>
      <c r="AP81" s="777"/>
      <c r="AQ81" s="777"/>
      <c r="AR81" s="777"/>
      <c r="AS81" s="777"/>
      <c r="AT81" s="777"/>
      <c r="AU81" s="777"/>
      <c r="AV81" s="777"/>
      <c r="AW81" s="777"/>
      <c r="AX81" s="777"/>
      <c r="AY81" s="777"/>
      <c r="AZ81" s="777"/>
      <c r="BA81" s="777"/>
      <c r="BB81" s="777"/>
      <c r="BC81" s="777"/>
      <c r="BD81" s="777"/>
      <c r="BE81" s="777"/>
      <c r="BF81" s="777"/>
      <c r="BG81" s="777"/>
      <c r="BH81" s="777"/>
      <c r="BI81" s="777"/>
      <c r="BJ81" s="777"/>
      <c r="BK81" s="777"/>
      <c r="BL81" s="777"/>
      <c r="BM81" s="777"/>
      <c r="BN81" s="777"/>
      <c r="BO81" s="777"/>
      <c r="BP81" s="777"/>
      <c r="BQ81" s="777"/>
      <c r="BR81" s="777"/>
      <c r="BS81" s="777"/>
      <c r="BT81" s="777"/>
    </row>
    <row r="82" spans="1:72" x14ac:dyDescent="0.25">
      <c r="A82" s="777" t="s">
        <v>500</v>
      </c>
      <c r="B82" s="777">
        <v>12.94</v>
      </c>
      <c r="C82" s="777">
        <v>13.48</v>
      </c>
      <c r="D82" s="777">
        <v>11.39</v>
      </c>
      <c r="E82" s="777">
        <v>10.89</v>
      </c>
      <c r="F82" s="777">
        <v>11.78</v>
      </c>
      <c r="G82" s="777">
        <v>11.87</v>
      </c>
      <c r="H82" s="777">
        <v>11.48</v>
      </c>
      <c r="I82" s="777">
        <v>11.41</v>
      </c>
      <c r="J82" s="777">
        <v>11.56</v>
      </c>
      <c r="K82" s="777">
        <v>11.65</v>
      </c>
      <c r="L82" s="777">
        <v>11.69</v>
      </c>
      <c r="M82" s="777">
        <v>11.76</v>
      </c>
      <c r="N82" s="777">
        <v>11.83</v>
      </c>
      <c r="O82" s="777">
        <v>11.95</v>
      </c>
      <c r="P82" s="777">
        <v>12.07</v>
      </c>
      <c r="Q82" s="777">
        <v>12.26</v>
      </c>
      <c r="R82" s="777">
        <v>12.29</v>
      </c>
      <c r="S82" s="777">
        <v>12.2</v>
      </c>
      <c r="T82" s="777">
        <v>12.29</v>
      </c>
      <c r="U82" s="777">
        <v>12.46</v>
      </c>
      <c r="V82" s="777">
        <v>12.66</v>
      </c>
      <c r="W82" s="777">
        <v>12.9</v>
      </c>
      <c r="X82" s="777">
        <v>13.16</v>
      </c>
      <c r="Y82" s="777">
        <v>13.44</v>
      </c>
      <c r="Z82" s="777">
        <v>13.78</v>
      </c>
      <c r="AA82" s="777">
        <v>13.93</v>
      </c>
      <c r="AB82" s="777">
        <v>14.03</v>
      </c>
      <c r="AC82" s="777">
        <v>14.25</v>
      </c>
      <c r="AD82" s="777">
        <v>14.4</v>
      </c>
      <c r="AE82" s="813">
        <v>2E-3</v>
      </c>
      <c r="AF82" s="777"/>
      <c r="AG82" s="777"/>
      <c r="AH82" s="777"/>
      <c r="AI82" s="777"/>
      <c r="AJ82" s="777"/>
      <c r="AK82" s="777"/>
      <c r="AL82" s="777"/>
      <c r="AM82" s="777"/>
      <c r="AN82" s="777"/>
      <c r="AO82" s="777"/>
      <c r="AP82" s="777"/>
      <c r="AQ82" s="777"/>
      <c r="AR82" s="777"/>
      <c r="AS82" s="777"/>
      <c r="AT82" s="777"/>
      <c r="AU82" s="777"/>
      <c r="AV82" s="777"/>
      <c r="AW82" s="777"/>
      <c r="AX82" s="777"/>
      <c r="AY82" s="777"/>
      <c r="AZ82" s="777"/>
      <c r="BA82" s="777"/>
      <c r="BB82" s="777"/>
      <c r="BC82" s="777"/>
      <c r="BD82" s="777"/>
      <c r="BE82" s="777"/>
      <c r="BF82" s="777"/>
      <c r="BG82" s="777"/>
      <c r="BH82" s="777"/>
      <c r="BI82" s="777"/>
      <c r="BJ82" s="777"/>
      <c r="BK82" s="777"/>
      <c r="BL82" s="777"/>
      <c r="BM82" s="777"/>
      <c r="BN82" s="777"/>
      <c r="BO82" s="777"/>
      <c r="BP82" s="777"/>
      <c r="BQ82" s="777"/>
      <c r="BR82" s="777"/>
      <c r="BS82" s="777"/>
      <c r="BT82" s="777"/>
    </row>
    <row r="83" spans="1:72" x14ac:dyDescent="0.25">
      <c r="A83" s="777" t="s">
        <v>469</v>
      </c>
      <c r="B83" s="777">
        <v>31.82</v>
      </c>
      <c r="C83" s="777">
        <v>33.29</v>
      </c>
      <c r="D83" s="777">
        <v>32.33</v>
      </c>
      <c r="E83" s="777">
        <v>30.94</v>
      </c>
      <c r="F83" s="777">
        <v>29.9</v>
      </c>
      <c r="G83" s="777">
        <v>31.08</v>
      </c>
      <c r="H83" s="777">
        <v>31.47</v>
      </c>
      <c r="I83" s="777">
        <v>31.49</v>
      </c>
      <c r="J83" s="777">
        <v>31.43</v>
      </c>
      <c r="K83" s="777">
        <v>31.64</v>
      </c>
      <c r="L83" s="777">
        <v>31.8</v>
      </c>
      <c r="M83" s="777">
        <v>31.78</v>
      </c>
      <c r="N83" s="777">
        <v>31.68</v>
      </c>
      <c r="O83" s="777">
        <v>31.84</v>
      </c>
      <c r="P83" s="777">
        <v>32.01</v>
      </c>
      <c r="Q83" s="777">
        <v>32.08</v>
      </c>
      <c r="R83" s="777">
        <v>32.200000000000003</v>
      </c>
      <c r="S83" s="777">
        <v>32.28</v>
      </c>
      <c r="T83" s="777">
        <v>32.26</v>
      </c>
      <c r="U83" s="777">
        <v>32.4</v>
      </c>
      <c r="V83" s="777">
        <v>32.57</v>
      </c>
      <c r="W83" s="777">
        <v>32.729999999999997</v>
      </c>
      <c r="X83" s="777">
        <v>33.130000000000003</v>
      </c>
      <c r="Y83" s="777">
        <v>33.46</v>
      </c>
      <c r="Z83" s="777">
        <v>33.81</v>
      </c>
      <c r="AA83" s="777">
        <v>34.11</v>
      </c>
      <c r="AB83" s="777">
        <v>34.26</v>
      </c>
      <c r="AC83" s="777">
        <v>34.49</v>
      </c>
      <c r="AD83" s="777">
        <v>34.71</v>
      </c>
      <c r="AE83" s="813">
        <v>2E-3</v>
      </c>
      <c r="AF83" s="777"/>
      <c r="AG83" s="777"/>
      <c r="AH83" s="777"/>
      <c r="AI83" s="777"/>
      <c r="AJ83" s="777"/>
      <c r="AK83" s="777"/>
      <c r="AL83" s="777"/>
      <c r="AM83" s="777"/>
      <c r="AN83" s="777"/>
      <c r="AO83" s="777"/>
      <c r="AP83" s="777"/>
      <c r="AQ83" s="777"/>
      <c r="AR83" s="777"/>
      <c r="AS83" s="777"/>
      <c r="AT83" s="777"/>
      <c r="AU83" s="777"/>
      <c r="AV83" s="777"/>
      <c r="AW83" s="777"/>
      <c r="AX83" s="777"/>
      <c r="AY83" s="777"/>
      <c r="AZ83" s="777"/>
      <c r="BA83" s="777"/>
      <c r="BB83" s="777"/>
      <c r="BC83" s="777"/>
      <c r="BD83" s="777"/>
      <c r="BE83" s="777"/>
      <c r="BF83" s="777"/>
      <c r="BG83" s="777"/>
      <c r="BH83" s="777"/>
      <c r="BI83" s="777"/>
      <c r="BJ83" s="777"/>
      <c r="BK83" s="777"/>
      <c r="BL83" s="777"/>
      <c r="BM83" s="777"/>
      <c r="BN83" s="777"/>
      <c r="BO83" s="777"/>
      <c r="BP83" s="777"/>
      <c r="BQ83" s="777"/>
      <c r="BR83" s="777"/>
      <c r="BS83" s="777"/>
      <c r="BT83" s="777"/>
    </row>
    <row r="84" spans="1:72" x14ac:dyDescent="0.25">
      <c r="A84" s="777"/>
      <c r="B84" s="777"/>
      <c r="C84" s="777"/>
      <c r="D84" s="777"/>
      <c r="E84" s="777"/>
      <c r="F84" s="777"/>
      <c r="G84" s="777"/>
      <c r="H84" s="777"/>
      <c r="I84" s="777"/>
      <c r="J84" s="777"/>
      <c r="K84" s="777"/>
      <c r="L84" s="777"/>
      <c r="M84" s="777"/>
      <c r="N84" s="777"/>
      <c r="O84" s="777"/>
      <c r="P84" s="777"/>
      <c r="Q84" s="777"/>
      <c r="R84" s="777"/>
      <c r="S84" s="777"/>
      <c r="T84" s="777"/>
      <c r="U84" s="777"/>
      <c r="V84" s="777"/>
      <c r="W84" s="777"/>
      <c r="X84" s="777"/>
      <c r="Y84" s="777"/>
      <c r="Z84" s="777"/>
      <c r="AA84" s="777"/>
      <c r="AB84" s="777"/>
      <c r="AC84" s="777"/>
      <c r="AD84" s="777"/>
      <c r="AE84" s="777"/>
      <c r="AF84" s="777"/>
      <c r="AG84" s="777"/>
      <c r="AH84" s="777"/>
      <c r="AI84" s="777"/>
      <c r="AJ84" s="777"/>
      <c r="AK84" s="777"/>
      <c r="AL84" s="777"/>
      <c r="AM84" s="777"/>
      <c r="AN84" s="777"/>
      <c r="AO84" s="777"/>
      <c r="AP84" s="777"/>
      <c r="AQ84" s="777"/>
      <c r="AR84" s="777"/>
      <c r="AS84" s="777"/>
      <c r="AT84" s="777"/>
      <c r="AU84" s="777"/>
      <c r="AV84" s="777"/>
      <c r="AW84" s="777"/>
      <c r="AX84" s="777"/>
      <c r="AY84" s="777"/>
      <c r="AZ84" s="777"/>
      <c r="BA84" s="777"/>
      <c r="BB84" s="777"/>
      <c r="BC84" s="777"/>
      <c r="BD84" s="777"/>
      <c r="BE84" s="777"/>
      <c r="BF84" s="777"/>
      <c r="BG84" s="777"/>
      <c r="BH84" s="777"/>
      <c r="BI84" s="777"/>
      <c r="BJ84" s="777"/>
      <c r="BK84" s="777"/>
      <c r="BL84" s="777"/>
      <c r="BM84" s="777"/>
      <c r="BN84" s="777"/>
      <c r="BO84" s="777"/>
      <c r="BP84" s="777"/>
      <c r="BQ84" s="777"/>
      <c r="BR84" s="777"/>
      <c r="BS84" s="777"/>
      <c r="BT84" s="777"/>
    </row>
    <row r="85" spans="1:72" x14ac:dyDescent="0.25">
      <c r="A85" s="777" t="s">
        <v>470</v>
      </c>
      <c r="B85" s="777"/>
      <c r="C85" s="777"/>
      <c r="D85" s="777"/>
      <c r="E85" s="777"/>
      <c r="F85" s="777"/>
      <c r="G85" s="777"/>
      <c r="H85" s="777"/>
      <c r="I85" s="777"/>
      <c r="J85" s="777"/>
      <c r="K85" s="777"/>
      <c r="L85" s="777"/>
      <c r="M85" s="777"/>
      <c r="N85" s="777"/>
      <c r="O85" s="777"/>
      <c r="P85" s="777"/>
      <c r="Q85" s="777"/>
      <c r="R85" s="777"/>
      <c r="S85" s="777"/>
      <c r="T85" s="777"/>
      <c r="U85" s="777"/>
      <c r="V85" s="777"/>
      <c r="W85" s="777"/>
      <c r="X85" s="777"/>
      <c r="Y85" s="777"/>
      <c r="Z85" s="777"/>
      <c r="AA85" s="777"/>
      <c r="AB85" s="777"/>
      <c r="AC85" s="777"/>
      <c r="AD85" s="777"/>
      <c r="AE85" s="777"/>
      <c r="AF85" s="777"/>
      <c r="AG85" s="777"/>
      <c r="AH85" s="777"/>
      <c r="AI85" s="777"/>
      <c r="AJ85" s="777"/>
      <c r="AK85" s="777"/>
      <c r="AL85" s="777"/>
      <c r="AM85" s="777"/>
      <c r="AN85" s="777"/>
      <c r="AO85" s="777"/>
      <c r="AP85" s="777"/>
      <c r="AQ85" s="777"/>
      <c r="AR85" s="777"/>
      <c r="AS85" s="777"/>
      <c r="AT85" s="777"/>
      <c r="AU85" s="777"/>
      <c r="AV85" s="777"/>
      <c r="AW85" s="777"/>
      <c r="AX85" s="777"/>
      <c r="AY85" s="777"/>
      <c r="AZ85" s="777"/>
      <c r="BA85" s="777"/>
      <c r="BB85" s="777"/>
      <c r="BC85" s="777"/>
      <c r="BD85" s="777"/>
      <c r="BE85" s="777"/>
      <c r="BF85" s="777"/>
      <c r="BG85" s="777"/>
      <c r="BH85" s="777"/>
      <c r="BI85" s="777"/>
      <c r="BJ85" s="777"/>
      <c r="BK85" s="777"/>
      <c r="BL85" s="777"/>
      <c r="BM85" s="777"/>
      <c r="BN85" s="777"/>
      <c r="BO85" s="777"/>
      <c r="BP85" s="777"/>
      <c r="BQ85" s="777"/>
      <c r="BR85" s="777"/>
      <c r="BS85" s="777"/>
      <c r="BT85" s="777"/>
    </row>
    <row r="86" spans="1:72" x14ac:dyDescent="0.25">
      <c r="A86" s="777" t="s">
        <v>598</v>
      </c>
      <c r="B86" s="777">
        <v>20.65</v>
      </c>
      <c r="C86" s="777">
        <v>26.15</v>
      </c>
      <c r="D86" s="777">
        <v>19.82</v>
      </c>
      <c r="E86" s="777">
        <v>20.78</v>
      </c>
      <c r="F86" s="777">
        <v>20.86</v>
      </c>
      <c r="G86" s="777">
        <v>22.02</v>
      </c>
      <c r="H86" s="777">
        <v>23.23</v>
      </c>
      <c r="I86" s="777">
        <v>24.19</v>
      </c>
      <c r="J86" s="777">
        <v>24.77</v>
      </c>
      <c r="K86" s="777">
        <v>25.41</v>
      </c>
      <c r="L86" s="777">
        <v>25.95</v>
      </c>
      <c r="M86" s="777">
        <v>26.53</v>
      </c>
      <c r="N86" s="777">
        <v>26.79</v>
      </c>
      <c r="O86" s="777">
        <v>27.02</v>
      </c>
      <c r="P86" s="777">
        <v>27.25</v>
      </c>
      <c r="Q86" s="777">
        <v>27.46</v>
      </c>
      <c r="R86" s="777">
        <v>27.73</v>
      </c>
      <c r="S86" s="777">
        <v>28</v>
      </c>
      <c r="T86" s="777">
        <v>28.26</v>
      </c>
      <c r="U86" s="777">
        <v>28.41</v>
      </c>
      <c r="V86" s="777">
        <v>28.68</v>
      </c>
      <c r="W86" s="777">
        <v>28.93</v>
      </c>
      <c r="X86" s="777">
        <v>29.28</v>
      </c>
      <c r="Y86" s="777">
        <v>29.5</v>
      </c>
      <c r="Z86" s="777">
        <v>29.86</v>
      </c>
      <c r="AA86" s="777">
        <v>30.19</v>
      </c>
      <c r="AB86" s="777">
        <v>30.58</v>
      </c>
      <c r="AC86" s="777">
        <v>30.94</v>
      </c>
      <c r="AD86" s="777">
        <v>31.32</v>
      </c>
      <c r="AE86" s="813">
        <v>7.0000000000000001E-3</v>
      </c>
      <c r="AF86" s="777"/>
      <c r="AG86" s="777"/>
      <c r="AH86" s="777"/>
      <c r="AI86" s="777"/>
      <c r="AJ86" s="777"/>
      <c r="AK86" s="777"/>
      <c r="AL86" s="777"/>
      <c r="AM86" s="777"/>
      <c r="AN86" s="777"/>
      <c r="AO86" s="777"/>
      <c r="AP86" s="777"/>
      <c r="AQ86" s="777"/>
      <c r="AR86" s="777"/>
      <c r="AS86" s="777"/>
      <c r="AT86" s="777"/>
      <c r="AU86" s="777"/>
      <c r="AV86" s="777"/>
      <c r="AW86" s="777"/>
      <c r="AX86" s="777"/>
      <c r="AY86" s="777"/>
      <c r="AZ86" s="777"/>
      <c r="BA86" s="777"/>
      <c r="BB86" s="777"/>
      <c r="BC86" s="777"/>
      <c r="BD86" s="777"/>
      <c r="BE86" s="777"/>
      <c r="BF86" s="777"/>
      <c r="BG86" s="777"/>
      <c r="BH86" s="777"/>
      <c r="BI86" s="777"/>
      <c r="BJ86" s="777"/>
      <c r="BK86" s="777"/>
      <c r="BL86" s="777"/>
      <c r="BM86" s="777"/>
      <c r="BN86" s="777"/>
      <c r="BO86" s="777"/>
      <c r="BP86" s="777"/>
      <c r="BQ86" s="777"/>
      <c r="BR86" s="777"/>
      <c r="BS86" s="777"/>
      <c r="BT86" s="777"/>
    </row>
    <row r="87" spans="1:72" x14ac:dyDescent="0.25">
      <c r="A87" s="777" t="s">
        <v>599</v>
      </c>
      <c r="B87" s="777">
        <v>17.48</v>
      </c>
      <c r="C87" s="777">
        <v>21.5</v>
      </c>
      <c r="D87" s="777">
        <v>15.8</v>
      </c>
      <c r="E87" s="777">
        <v>14.82</v>
      </c>
      <c r="F87" s="777">
        <v>15.24</v>
      </c>
      <c r="G87" s="777">
        <v>16.38</v>
      </c>
      <c r="H87" s="777">
        <v>17.399999999999999</v>
      </c>
      <c r="I87" s="777">
        <v>18.11</v>
      </c>
      <c r="J87" s="777">
        <v>18.72</v>
      </c>
      <c r="K87" s="777">
        <v>19.559999999999999</v>
      </c>
      <c r="L87" s="777">
        <v>20.2</v>
      </c>
      <c r="M87" s="777">
        <v>20.84</v>
      </c>
      <c r="N87" s="777">
        <v>21.26</v>
      </c>
      <c r="O87" s="777">
        <v>21.6</v>
      </c>
      <c r="P87" s="777">
        <v>21.78</v>
      </c>
      <c r="Q87" s="777">
        <v>22.04</v>
      </c>
      <c r="R87" s="777">
        <v>22.29</v>
      </c>
      <c r="S87" s="777">
        <v>22.43</v>
      </c>
      <c r="T87" s="777">
        <v>22.72</v>
      </c>
      <c r="U87" s="777">
        <v>22.97</v>
      </c>
      <c r="V87" s="777">
        <v>23.21</v>
      </c>
      <c r="W87" s="777">
        <v>23.53</v>
      </c>
      <c r="X87" s="777">
        <v>23.93</v>
      </c>
      <c r="Y87" s="777">
        <v>24.11</v>
      </c>
      <c r="Z87" s="777">
        <v>24.54</v>
      </c>
      <c r="AA87" s="777">
        <v>24.94</v>
      </c>
      <c r="AB87" s="777">
        <v>25.28</v>
      </c>
      <c r="AC87" s="777">
        <v>25.69</v>
      </c>
      <c r="AD87" s="777">
        <v>26.13</v>
      </c>
      <c r="AE87" s="813">
        <v>7.0000000000000001E-3</v>
      </c>
      <c r="AF87" s="777"/>
      <c r="AG87" s="777"/>
      <c r="AH87" s="777"/>
      <c r="AI87" s="777"/>
      <c r="AJ87" s="777"/>
      <c r="AK87" s="777"/>
      <c r="AL87" s="777"/>
      <c r="AM87" s="777"/>
      <c r="AN87" s="777"/>
      <c r="AO87" s="777"/>
      <c r="AP87" s="777"/>
      <c r="AQ87" s="777"/>
      <c r="AR87" s="777"/>
      <c r="AS87" s="777"/>
      <c r="AT87" s="777"/>
      <c r="AU87" s="777"/>
      <c r="AV87" s="777"/>
      <c r="AW87" s="777"/>
      <c r="AX87" s="777"/>
      <c r="AY87" s="777"/>
      <c r="AZ87" s="777"/>
      <c r="BA87" s="777"/>
      <c r="BB87" s="777"/>
      <c r="BC87" s="777"/>
      <c r="BD87" s="777"/>
      <c r="BE87" s="777"/>
      <c r="BF87" s="777"/>
      <c r="BG87" s="777"/>
      <c r="BH87" s="777"/>
      <c r="BI87" s="777"/>
      <c r="BJ87" s="777"/>
      <c r="BK87" s="777"/>
      <c r="BL87" s="777"/>
      <c r="BM87" s="777"/>
      <c r="BN87" s="777"/>
      <c r="BO87" s="777"/>
      <c r="BP87" s="777"/>
      <c r="BQ87" s="777"/>
      <c r="BR87" s="777"/>
      <c r="BS87" s="777"/>
      <c r="BT87" s="777"/>
    </row>
    <row r="88" spans="1:72" x14ac:dyDescent="0.25">
      <c r="A88" s="777" t="s">
        <v>712</v>
      </c>
      <c r="B88" s="777">
        <v>8.39</v>
      </c>
      <c r="C88" s="777">
        <v>15.52</v>
      </c>
      <c r="D88" s="777">
        <v>9.27</v>
      </c>
      <c r="E88" s="777">
        <v>9.4499999999999993</v>
      </c>
      <c r="F88" s="777">
        <v>9.6300000000000008</v>
      </c>
      <c r="G88" s="777">
        <v>10.85</v>
      </c>
      <c r="H88" s="777">
        <v>11.98</v>
      </c>
      <c r="I88" s="777">
        <v>12.76</v>
      </c>
      <c r="J88" s="777">
        <v>13.13</v>
      </c>
      <c r="K88" s="777">
        <v>13.68</v>
      </c>
      <c r="L88" s="777">
        <v>14.17</v>
      </c>
      <c r="M88" s="777">
        <v>14.69</v>
      </c>
      <c r="N88" s="777">
        <v>15.26</v>
      </c>
      <c r="O88" s="777">
        <v>15.46</v>
      </c>
      <c r="P88" s="777">
        <v>15.68</v>
      </c>
      <c r="Q88" s="777">
        <v>15.89</v>
      </c>
      <c r="R88" s="777">
        <v>16.12</v>
      </c>
      <c r="S88" s="777">
        <v>16.34</v>
      </c>
      <c r="T88" s="777">
        <v>16.54</v>
      </c>
      <c r="U88" s="777">
        <v>16.63</v>
      </c>
      <c r="V88" s="777">
        <v>16.82</v>
      </c>
      <c r="W88" s="777">
        <v>17.059999999999999</v>
      </c>
      <c r="X88" s="777">
        <v>17.28</v>
      </c>
      <c r="Y88" s="777">
        <v>17.54</v>
      </c>
      <c r="Z88" s="777">
        <v>17.89</v>
      </c>
      <c r="AA88" s="777">
        <v>18.12</v>
      </c>
      <c r="AB88" s="777">
        <v>18.25</v>
      </c>
      <c r="AC88" s="777">
        <v>18.68</v>
      </c>
      <c r="AD88" s="777">
        <v>18.84</v>
      </c>
      <c r="AE88" s="813">
        <v>7.0000000000000001E-3</v>
      </c>
      <c r="AF88" s="777"/>
      <c r="AG88" s="777"/>
      <c r="AH88" s="777"/>
      <c r="AI88" s="777"/>
      <c r="AJ88" s="777"/>
      <c r="AK88" s="777"/>
      <c r="AL88" s="777"/>
      <c r="AM88" s="777"/>
      <c r="AN88" s="777"/>
      <c r="AO88" s="777"/>
      <c r="AP88" s="777"/>
      <c r="AQ88" s="777"/>
      <c r="AR88" s="777"/>
      <c r="AS88" s="777"/>
      <c r="AT88" s="777"/>
      <c r="AU88" s="777"/>
      <c r="AV88" s="777"/>
      <c r="AW88" s="777"/>
      <c r="AX88" s="777"/>
      <c r="AY88" s="777"/>
      <c r="AZ88" s="777"/>
      <c r="BA88" s="777"/>
      <c r="BB88" s="777"/>
      <c r="BC88" s="777"/>
      <c r="BD88" s="777"/>
      <c r="BE88" s="777"/>
      <c r="BF88" s="777"/>
      <c r="BG88" s="777"/>
      <c r="BH88" s="777"/>
      <c r="BI88" s="777"/>
      <c r="BJ88" s="777"/>
      <c r="BK88" s="777"/>
      <c r="BL88" s="777"/>
      <c r="BM88" s="777"/>
      <c r="BN88" s="777"/>
      <c r="BO88" s="777"/>
      <c r="BP88" s="777"/>
      <c r="BQ88" s="777"/>
      <c r="BR88" s="777"/>
      <c r="BS88" s="777"/>
      <c r="BT88" s="777"/>
    </row>
    <row r="89" spans="1:72" x14ac:dyDescent="0.25">
      <c r="A89" s="777" t="s">
        <v>500</v>
      </c>
      <c r="B89" s="777">
        <v>11.2</v>
      </c>
      <c r="C89" s="777">
        <v>11.94</v>
      </c>
      <c r="D89" s="777">
        <v>9.0500000000000007</v>
      </c>
      <c r="E89" s="777">
        <v>8.67</v>
      </c>
      <c r="F89" s="777">
        <v>9.7200000000000006</v>
      </c>
      <c r="G89" s="777">
        <v>10.07</v>
      </c>
      <c r="H89" s="777">
        <v>9.92</v>
      </c>
      <c r="I89" s="777">
        <v>9.85</v>
      </c>
      <c r="J89" s="777">
        <v>9.99</v>
      </c>
      <c r="K89" s="777">
        <v>10.08</v>
      </c>
      <c r="L89" s="777">
        <v>10.11</v>
      </c>
      <c r="M89" s="777">
        <v>10.16</v>
      </c>
      <c r="N89" s="777">
        <v>10.23</v>
      </c>
      <c r="O89" s="777">
        <v>10.35</v>
      </c>
      <c r="P89" s="777">
        <v>10.46</v>
      </c>
      <c r="Q89" s="777">
        <v>10.65</v>
      </c>
      <c r="R89" s="777">
        <v>10.69</v>
      </c>
      <c r="S89" s="777">
        <v>10.62</v>
      </c>
      <c r="T89" s="777">
        <v>10.7</v>
      </c>
      <c r="U89" s="777">
        <v>10.86</v>
      </c>
      <c r="V89" s="777">
        <v>11.04</v>
      </c>
      <c r="W89" s="777">
        <v>11.28</v>
      </c>
      <c r="X89" s="777">
        <v>11.52</v>
      </c>
      <c r="Y89" s="777">
        <v>11.78</v>
      </c>
      <c r="Z89" s="777">
        <v>12.11</v>
      </c>
      <c r="AA89" s="777">
        <v>12.26</v>
      </c>
      <c r="AB89" s="777">
        <v>12.32</v>
      </c>
      <c r="AC89" s="777">
        <v>12.52</v>
      </c>
      <c r="AD89" s="777">
        <v>12.66</v>
      </c>
      <c r="AE89" s="813">
        <v>2E-3</v>
      </c>
      <c r="AF89" s="777"/>
      <c r="AG89" s="777"/>
      <c r="AH89" s="777"/>
      <c r="AI89" s="777"/>
      <c r="AJ89" s="777"/>
      <c r="AK89" s="777"/>
      <c r="AL89" s="777"/>
      <c r="AM89" s="777"/>
      <c r="AN89" s="777"/>
      <c r="AO89" s="777"/>
      <c r="AP89" s="777"/>
      <c r="AQ89" s="777"/>
      <c r="AR89" s="777"/>
      <c r="AS89" s="777"/>
      <c r="AT89" s="777"/>
      <c r="AU89" s="777"/>
      <c r="AV89" s="777"/>
      <c r="AW89" s="777"/>
      <c r="AX89" s="777"/>
      <c r="AY89" s="777"/>
      <c r="AZ89" s="777"/>
      <c r="BA89" s="777"/>
      <c r="BB89" s="777"/>
      <c r="BC89" s="777"/>
      <c r="BD89" s="777"/>
      <c r="BE89" s="777"/>
      <c r="BF89" s="777"/>
      <c r="BG89" s="777"/>
      <c r="BH89" s="777"/>
      <c r="BI89" s="777"/>
      <c r="BJ89" s="777"/>
      <c r="BK89" s="777"/>
      <c r="BL89" s="777"/>
      <c r="BM89" s="777"/>
      <c r="BN89" s="777"/>
      <c r="BO89" s="777"/>
      <c r="BP89" s="777"/>
      <c r="BQ89" s="777"/>
      <c r="BR89" s="777"/>
      <c r="BS89" s="777"/>
      <c r="BT89" s="777"/>
    </row>
    <row r="90" spans="1:72" x14ac:dyDescent="0.25">
      <c r="A90" s="777" t="s">
        <v>469</v>
      </c>
      <c r="B90" s="777">
        <v>28.81</v>
      </c>
      <c r="C90" s="777">
        <v>30.47</v>
      </c>
      <c r="D90" s="777">
        <v>28.94</v>
      </c>
      <c r="E90" s="777">
        <v>27.37</v>
      </c>
      <c r="F90" s="777">
        <v>25.72</v>
      </c>
      <c r="G90" s="777">
        <v>26.72</v>
      </c>
      <c r="H90" s="777">
        <v>26.81</v>
      </c>
      <c r="I90" s="777">
        <v>26.55</v>
      </c>
      <c r="J90" s="777">
        <v>26.55</v>
      </c>
      <c r="K90" s="777">
        <v>26.81</v>
      </c>
      <c r="L90" s="777">
        <v>26.97</v>
      </c>
      <c r="M90" s="777">
        <v>26.98</v>
      </c>
      <c r="N90" s="777">
        <v>26.93</v>
      </c>
      <c r="O90" s="777">
        <v>27.12</v>
      </c>
      <c r="P90" s="777">
        <v>27.31</v>
      </c>
      <c r="Q90" s="777">
        <v>27.42</v>
      </c>
      <c r="R90" s="777">
        <v>27.62</v>
      </c>
      <c r="S90" s="777">
        <v>27.77</v>
      </c>
      <c r="T90" s="777">
        <v>27.72</v>
      </c>
      <c r="U90" s="777">
        <v>27.87</v>
      </c>
      <c r="V90" s="777">
        <v>28.05</v>
      </c>
      <c r="W90" s="777">
        <v>28.25</v>
      </c>
      <c r="X90" s="777">
        <v>28.67</v>
      </c>
      <c r="Y90" s="777">
        <v>28.99</v>
      </c>
      <c r="Z90" s="777">
        <v>29.37</v>
      </c>
      <c r="AA90" s="777">
        <v>29.73</v>
      </c>
      <c r="AB90" s="777">
        <v>29.9</v>
      </c>
      <c r="AC90" s="777">
        <v>30.15</v>
      </c>
      <c r="AD90" s="777">
        <v>30.37</v>
      </c>
      <c r="AE90" s="813">
        <v>0</v>
      </c>
      <c r="AF90" s="777"/>
      <c r="AG90" s="777"/>
      <c r="AH90" s="777"/>
      <c r="AI90" s="777"/>
      <c r="AJ90" s="777"/>
      <c r="AK90" s="777"/>
      <c r="AL90" s="777"/>
      <c r="AM90" s="777"/>
      <c r="AN90" s="777"/>
      <c r="AO90" s="777"/>
      <c r="AP90" s="777"/>
      <c r="AQ90" s="777"/>
      <c r="AR90" s="777"/>
      <c r="AS90" s="777"/>
      <c r="AT90" s="777"/>
      <c r="AU90" s="777"/>
      <c r="AV90" s="777"/>
      <c r="AW90" s="777"/>
      <c r="AX90" s="777"/>
      <c r="AY90" s="777"/>
      <c r="AZ90" s="777"/>
      <c r="BA90" s="777"/>
      <c r="BB90" s="777"/>
      <c r="BC90" s="777"/>
      <c r="BD90" s="777"/>
      <c r="BE90" s="777"/>
      <c r="BF90" s="777"/>
      <c r="BG90" s="777"/>
      <c r="BH90" s="777"/>
      <c r="BI90" s="777"/>
      <c r="BJ90" s="777"/>
      <c r="BK90" s="777"/>
      <c r="BL90" s="777"/>
      <c r="BM90" s="777"/>
      <c r="BN90" s="777"/>
      <c r="BO90" s="777"/>
      <c r="BP90" s="777"/>
      <c r="BQ90" s="777"/>
      <c r="BR90" s="777"/>
      <c r="BS90" s="777"/>
      <c r="BT90" s="777"/>
    </row>
    <row r="91" spans="1:72" x14ac:dyDescent="0.25">
      <c r="A91" s="777"/>
      <c r="B91" s="777"/>
      <c r="C91" s="777"/>
      <c r="D91" s="777"/>
      <c r="E91" s="777"/>
      <c r="F91" s="777"/>
      <c r="G91" s="777"/>
      <c r="H91" s="777"/>
      <c r="I91" s="777"/>
      <c r="J91" s="777"/>
      <c r="K91" s="777"/>
      <c r="L91" s="777"/>
      <c r="M91" s="777"/>
      <c r="N91" s="777"/>
      <c r="O91" s="777"/>
      <c r="P91" s="777"/>
      <c r="Q91" s="777"/>
      <c r="R91" s="777"/>
      <c r="S91" s="777"/>
      <c r="T91" s="777"/>
      <c r="U91" s="777"/>
      <c r="V91" s="777"/>
      <c r="W91" s="777"/>
      <c r="X91" s="777"/>
      <c r="Y91" s="777"/>
      <c r="Z91" s="777"/>
      <c r="AA91" s="777"/>
      <c r="AB91" s="777"/>
      <c r="AC91" s="777"/>
      <c r="AD91" s="777"/>
      <c r="AE91" s="777"/>
      <c r="AF91" s="777"/>
      <c r="AG91" s="777"/>
      <c r="AH91" s="777"/>
      <c r="AI91" s="777"/>
      <c r="AJ91" s="777"/>
      <c r="AK91" s="777"/>
      <c r="AL91" s="777"/>
      <c r="AM91" s="777"/>
      <c r="AN91" s="777"/>
      <c r="AO91" s="777"/>
      <c r="AP91" s="777"/>
      <c r="AQ91" s="777"/>
      <c r="AR91" s="777"/>
      <c r="AS91" s="777"/>
      <c r="AT91" s="777"/>
      <c r="AU91" s="777"/>
      <c r="AV91" s="777"/>
      <c r="AW91" s="777"/>
      <c r="AX91" s="777"/>
      <c r="AY91" s="777"/>
      <c r="AZ91" s="777"/>
      <c r="BA91" s="777"/>
      <c r="BB91" s="777"/>
      <c r="BC91" s="777"/>
      <c r="BD91" s="777"/>
      <c r="BE91" s="777"/>
      <c r="BF91" s="777"/>
      <c r="BG91" s="777"/>
      <c r="BH91" s="777"/>
      <c r="BI91" s="777"/>
      <c r="BJ91" s="777"/>
      <c r="BK91" s="777"/>
      <c r="BL91" s="777"/>
      <c r="BM91" s="777"/>
      <c r="BN91" s="777"/>
      <c r="BO91" s="777"/>
      <c r="BP91" s="777"/>
      <c r="BQ91" s="777"/>
      <c r="BR91" s="777"/>
      <c r="BS91" s="777"/>
      <c r="BT91" s="777"/>
    </row>
    <row r="92" spans="1:72" x14ac:dyDescent="0.25">
      <c r="A92" s="777" t="s">
        <v>601</v>
      </c>
      <c r="B92" s="777"/>
      <c r="C92" s="777"/>
      <c r="D92" s="777"/>
      <c r="E92" s="777"/>
      <c r="F92" s="777"/>
      <c r="G92" s="777"/>
      <c r="H92" s="777"/>
      <c r="I92" s="777"/>
      <c r="J92" s="777"/>
      <c r="K92" s="777"/>
      <c r="L92" s="777"/>
      <c r="M92" s="777"/>
      <c r="N92" s="777"/>
      <c r="O92" s="777"/>
      <c r="P92" s="777"/>
      <c r="Q92" s="777"/>
      <c r="R92" s="777"/>
      <c r="S92" s="777"/>
      <c r="T92" s="777"/>
      <c r="U92" s="777"/>
      <c r="V92" s="777"/>
      <c r="W92" s="777"/>
      <c r="X92" s="777"/>
      <c r="Y92" s="777"/>
      <c r="Z92" s="777"/>
      <c r="AA92" s="777"/>
      <c r="AB92" s="777"/>
      <c r="AC92" s="777"/>
      <c r="AD92" s="777"/>
      <c r="AE92" s="777"/>
      <c r="AF92" s="777"/>
      <c r="AG92" s="777"/>
      <c r="AH92" s="777"/>
      <c r="AI92" s="777"/>
      <c r="AJ92" s="777"/>
      <c r="AK92" s="777"/>
      <c r="AL92" s="777"/>
      <c r="AM92" s="777"/>
      <c r="AN92" s="777"/>
      <c r="AO92" s="777"/>
      <c r="AP92" s="777"/>
      <c r="AQ92" s="777"/>
      <c r="AR92" s="777"/>
      <c r="AS92" s="777"/>
      <c r="AT92" s="777"/>
      <c r="AU92" s="777"/>
      <c r="AV92" s="777"/>
      <c r="AW92" s="777"/>
      <c r="AX92" s="777"/>
      <c r="AY92" s="777"/>
      <c r="AZ92" s="777"/>
      <c r="BA92" s="777"/>
      <c r="BB92" s="777"/>
      <c r="BC92" s="777"/>
      <c r="BD92" s="777"/>
      <c r="BE92" s="777"/>
      <c r="BF92" s="777"/>
      <c r="BG92" s="777"/>
      <c r="BH92" s="777"/>
      <c r="BI92" s="777"/>
      <c r="BJ92" s="777"/>
      <c r="BK92" s="777"/>
      <c r="BL92" s="777"/>
      <c r="BM92" s="777"/>
      <c r="BN92" s="777"/>
      <c r="BO92" s="777"/>
      <c r="BP92" s="777"/>
      <c r="BQ92" s="777"/>
      <c r="BR92" s="777"/>
      <c r="BS92" s="777"/>
      <c r="BT92" s="777"/>
    </row>
    <row r="93" spans="1:72" x14ac:dyDescent="0.25">
      <c r="A93" s="777" t="s">
        <v>598</v>
      </c>
      <c r="B93" s="777">
        <v>22.01</v>
      </c>
      <c r="C93" s="777">
        <v>24.2</v>
      </c>
      <c r="D93" s="777">
        <v>18.64</v>
      </c>
      <c r="E93" s="777">
        <v>18.36</v>
      </c>
      <c r="F93" s="777">
        <v>18.46</v>
      </c>
      <c r="G93" s="777">
        <v>19.61</v>
      </c>
      <c r="H93" s="777">
        <v>20.9</v>
      </c>
      <c r="I93" s="777">
        <v>21.9</v>
      </c>
      <c r="J93" s="777">
        <v>22.49</v>
      </c>
      <c r="K93" s="777">
        <v>23.25</v>
      </c>
      <c r="L93" s="777">
        <v>23.76</v>
      </c>
      <c r="M93" s="777">
        <v>24.31</v>
      </c>
      <c r="N93" s="777">
        <v>24.62</v>
      </c>
      <c r="O93" s="777">
        <v>24.86</v>
      </c>
      <c r="P93" s="777">
        <v>25.09</v>
      </c>
      <c r="Q93" s="777">
        <v>25.3</v>
      </c>
      <c r="R93" s="777">
        <v>25.59</v>
      </c>
      <c r="S93" s="777">
        <v>25.86</v>
      </c>
      <c r="T93" s="777">
        <v>26.12</v>
      </c>
      <c r="U93" s="777">
        <v>26.27</v>
      </c>
      <c r="V93" s="777">
        <v>26.55</v>
      </c>
      <c r="W93" s="777">
        <v>26.8</v>
      </c>
      <c r="X93" s="777">
        <v>27.15</v>
      </c>
      <c r="Y93" s="777">
        <v>27.38</v>
      </c>
      <c r="Z93" s="777">
        <v>27.74</v>
      </c>
      <c r="AA93" s="777">
        <v>28.08</v>
      </c>
      <c r="AB93" s="777">
        <v>28.48</v>
      </c>
      <c r="AC93" s="777">
        <v>28.86</v>
      </c>
      <c r="AD93" s="777">
        <v>29.25</v>
      </c>
      <c r="AE93" s="813">
        <v>7.0000000000000001E-3</v>
      </c>
      <c r="AF93" s="777"/>
      <c r="AG93" s="777"/>
      <c r="AH93" s="777"/>
      <c r="AI93" s="777"/>
      <c r="AJ93" s="777"/>
      <c r="AK93" s="777"/>
      <c r="AL93" s="777"/>
      <c r="AM93" s="777"/>
      <c r="AN93" s="777"/>
      <c r="AO93" s="777"/>
      <c r="AP93" s="777"/>
      <c r="AQ93" s="777"/>
      <c r="AR93" s="777"/>
      <c r="AS93" s="777"/>
      <c r="AT93" s="777"/>
      <c r="AU93" s="777"/>
      <c r="AV93" s="777"/>
      <c r="AW93" s="777"/>
      <c r="AX93" s="777"/>
      <c r="AY93" s="777"/>
      <c r="AZ93" s="777"/>
      <c r="BA93" s="777"/>
      <c r="BB93" s="777"/>
      <c r="BC93" s="777"/>
      <c r="BD93" s="777"/>
      <c r="BE93" s="777"/>
      <c r="BF93" s="777"/>
      <c r="BG93" s="777"/>
      <c r="BH93" s="777"/>
      <c r="BI93" s="777"/>
      <c r="BJ93" s="777"/>
      <c r="BK93" s="777"/>
      <c r="BL93" s="777"/>
      <c r="BM93" s="777"/>
      <c r="BN93" s="777"/>
      <c r="BO93" s="777"/>
      <c r="BP93" s="777"/>
      <c r="BQ93" s="777"/>
      <c r="BR93" s="777"/>
      <c r="BS93" s="777"/>
      <c r="BT93" s="777"/>
    </row>
    <row r="94" spans="1:72" x14ac:dyDescent="0.25">
      <c r="A94" s="777" t="s">
        <v>599</v>
      </c>
      <c r="B94" s="777">
        <v>18.07</v>
      </c>
      <c r="C94" s="777">
        <v>22.31</v>
      </c>
      <c r="D94" s="777">
        <v>16.399999999999999</v>
      </c>
      <c r="E94" s="777">
        <v>14.38</v>
      </c>
      <c r="F94" s="777">
        <v>15.38</v>
      </c>
      <c r="G94" s="777">
        <v>16.55</v>
      </c>
      <c r="H94" s="777">
        <v>17.59</v>
      </c>
      <c r="I94" s="777">
        <v>18.32</v>
      </c>
      <c r="J94" s="777">
        <v>19</v>
      </c>
      <c r="K94" s="777">
        <v>19.8</v>
      </c>
      <c r="L94" s="777">
        <v>20.440000000000001</v>
      </c>
      <c r="M94" s="777">
        <v>21.08</v>
      </c>
      <c r="N94" s="777">
        <v>21.49</v>
      </c>
      <c r="O94" s="777">
        <v>21.83</v>
      </c>
      <c r="P94" s="777">
        <v>22.03</v>
      </c>
      <c r="Q94" s="777">
        <v>22.36</v>
      </c>
      <c r="R94" s="777">
        <v>22.56</v>
      </c>
      <c r="S94" s="777">
        <v>22.67</v>
      </c>
      <c r="T94" s="777">
        <v>22.97</v>
      </c>
      <c r="U94" s="777">
        <v>23.22</v>
      </c>
      <c r="V94" s="777">
        <v>23.48</v>
      </c>
      <c r="W94" s="777">
        <v>23.81</v>
      </c>
      <c r="X94" s="777">
        <v>24.22</v>
      </c>
      <c r="Y94" s="777">
        <v>24.4</v>
      </c>
      <c r="Z94" s="777">
        <v>24.84</v>
      </c>
      <c r="AA94" s="777">
        <v>25.25</v>
      </c>
      <c r="AB94" s="777">
        <v>25.6</v>
      </c>
      <c r="AC94" s="777">
        <v>26.02</v>
      </c>
      <c r="AD94" s="777">
        <v>26.48</v>
      </c>
      <c r="AE94" s="813">
        <v>6.0000000000000001E-3</v>
      </c>
      <c r="AF94" s="777"/>
      <c r="AG94" s="777"/>
      <c r="AH94" s="777"/>
      <c r="AI94" s="777"/>
      <c r="AJ94" s="777"/>
      <c r="AK94" s="777"/>
      <c r="AL94" s="777"/>
      <c r="AM94" s="777"/>
      <c r="AN94" s="777"/>
      <c r="AO94" s="777"/>
      <c r="AP94" s="777"/>
      <c r="AQ94" s="777"/>
      <c r="AR94" s="777"/>
      <c r="AS94" s="777"/>
      <c r="AT94" s="777"/>
      <c r="AU94" s="777"/>
      <c r="AV94" s="777"/>
      <c r="AW94" s="777"/>
      <c r="AX94" s="777"/>
      <c r="AY94" s="777"/>
      <c r="AZ94" s="777"/>
      <c r="BA94" s="777"/>
      <c r="BB94" s="777"/>
      <c r="BC94" s="777"/>
      <c r="BD94" s="777"/>
      <c r="BE94" s="777"/>
      <c r="BF94" s="777"/>
      <c r="BG94" s="777"/>
      <c r="BH94" s="777"/>
      <c r="BI94" s="777"/>
      <c r="BJ94" s="777"/>
      <c r="BK94" s="777"/>
      <c r="BL94" s="777"/>
      <c r="BM94" s="777"/>
      <c r="BN94" s="777"/>
      <c r="BO94" s="777"/>
      <c r="BP94" s="777"/>
      <c r="BQ94" s="777"/>
      <c r="BR94" s="777"/>
      <c r="BS94" s="777"/>
      <c r="BT94" s="777"/>
    </row>
    <row r="95" spans="1:72" x14ac:dyDescent="0.25">
      <c r="A95" s="777" t="s">
        <v>600</v>
      </c>
      <c r="B95" s="777">
        <v>8.84</v>
      </c>
      <c r="C95" s="777">
        <v>16.309999999999999</v>
      </c>
      <c r="D95" s="777">
        <v>9.75</v>
      </c>
      <c r="E95" s="777">
        <v>13.12</v>
      </c>
      <c r="F95" s="777">
        <v>13.24</v>
      </c>
      <c r="G95" s="777">
        <v>14.32</v>
      </c>
      <c r="H95" s="777">
        <v>15.31</v>
      </c>
      <c r="I95" s="777">
        <v>16.079999999999998</v>
      </c>
      <c r="J95" s="777">
        <v>16.47</v>
      </c>
      <c r="K95" s="777">
        <v>16.96</v>
      </c>
      <c r="L95" s="777">
        <v>17.37</v>
      </c>
      <c r="M95" s="777">
        <v>17.82</v>
      </c>
      <c r="N95" s="777">
        <v>18.09</v>
      </c>
      <c r="O95" s="777">
        <v>18.2</v>
      </c>
      <c r="P95" s="777">
        <v>18.43</v>
      </c>
      <c r="Q95" s="777">
        <v>18.61</v>
      </c>
      <c r="R95" s="777">
        <v>18.82</v>
      </c>
      <c r="S95" s="777">
        <v>19.03</v>
      </c>
      <c r="T95" s="777">
        <v>19.23</v>
      </c>
      <c r="U95" s="777">
        <v>19.3</v>
      </c>
      <c r="V95" s="777">
        <v>19.489999999999998</v>
      </c>
      <c r="W95" s="777">
        <v>19.73</v>
      </c>
      <c r="X95" s="777">
        <v>19.98</v>
      </c>
      <c r="Y95" s="777">
        <v>20.27</v>
      </c>
      <c r="Z95" s="777">
        <v>20.61</v>
      </c>
      <c r="AA95" s="777">
        <v>20.87</v>
      </c>
      <c r="AB95" s="777">
        <v>21.12</v>
      </c>
      <c r="AC95" s="777">
        <v>21.44</v>
      </c>
      <c r="AD95" s="777">
        <v>21.72</v>
      </c>
      <c r="AE95" s="813">
        <v>1.0999999999999999E-2</v>
      </c>
      <c r="AF95" s="777"/>
      <c r="AG95" s="777"/>
      <c r="AH95" s="777"/>
      <c r="AI95" s="777"/>
      <c r="AJ95" s="777"/>
      <c r="AK95" s="777"/>
      <c r="AL95" s="777"/>
      <c r="AM95" s="777"/>
      <c r="AN95" s="777"/>
      <c r="AO95" s="777"/>
      <c r="AP95" s="777"/>
      <c r="AQ95" s="777"/>
      <c r="AR95" s="777"/>
      <c r="AS95" s="777"/>
      <c r="AT95" s="777"/>
      <c r="AU95" s="777"/>
      <c r="AV95" s="777"/>
      <c r="AW95" s="777"/>
      <c r="AX95" s="777"/>
      <c r="AY95" s="777"/>
      <c r="AZ95" s="777"/>
      <c r="BA95" s="777"/>
      <c r="BB95" s="777"/>
      <c r="BC95" s="777"/>
      <c r="BD95" s="777"/>
      <c r="BE95" s="777"/>
      <c r="BF95" s="777"/>
      <c r="BG95" s="777"/>
      <c r="BH95" s="777"/>
      <c r="BI95" s="777"/>
      <c r="BJ95" s="777"/>
      <c r="BK95" s="777"/>
      <c r="BL95" s="777"/>
      <c r="BM95" s="777"/>
      <c r="BN95" s="777"/>
      <c r="BO95" s="777"/>
      <c r="BP95" s="777"/>
      <c r="BQ95" s="777"/>
      <c r="BR95" s="777"/>
      <c r="BS95" s="777"/>
      <c r="BT95" s="777"/>
    </row>
    <row r="96" spans="1:72" x14ac:dyDescent="0.25">
      <c r="A96" s="777" t="s">
        <v>602</v>
      </c>
      <c r="B96" s="777">
        <v>7.58</v>
      </c>
      <c r="C96" s="777">
        <v>9.11</v>
      </c>
      <c r="D96" s="777">
        <v>4.2</v>
      </c>
      <c r="E96" s="777">
        <v>4.87</v>
      </c>
      <c r="F96" s="777">
        <v>5.97</v>
      </c>
      <c r="G96" s="777">
        <v>6.39</v>
      </c>
      <c r="H96" s="777">
        <v>6.33</v>
      </c>
      <c r="I96" s="777">
        <v>6.28</v>
      </c>
      <c r="J96" s="777">
        <v>6.45</v>
      </c>
      <c r="K96" s="777">
        <v>6.52</v>
      </c>
      <c r="L96" s="777">
        <v>6.51</v>
      </c>
      <c r="M96" s="777">
        <v>6.55</v>
      </c>
      <c r="N96" s="777">
        <v>6.6</v>
      </c>
      <c r="O96" s="777">
        <v>6.7</v>
      </c>
      <c r="P96" s="777">
        <v>6.78</v>
      </c>
      <c r="Q96" s="777">
        <v>6.96</v>
      </c>
      <c r="R96" s="777">
        <v>7.01</v>
      </c>
      <c r="S96" s="777">
        <v>6.96</v>
      </c>
      <c r="T96" s="777">
        <v>7.02</v>
      </c>
      <c r="U96" s="777">
        <v>7.15</v>
      </c>
      <c r="V96" s="777">
        <v>7.29</v>
      </c>
      <c r="W96" s="777">
        <v>7.51</v>
      </c>
      <c r="X96" s="777">
        <v>7.73</v>
      </c>
      <c r="Y96" s="777">
        <v>7.98</v>
      </c>
      <c r="Z96" s="777">
        <v>8.2899999999999991</v>
      </c>
      <c r="AA96" s="777">
        <v>8.4</v>
      </c>
      <c r="AB96" s="777">
        <v>8.42</v>
      </c>
      <c r="AC96" s="777">
        <v>8.61</v>
      </c>
      <c r="AD96" s="777">
        <v>8.73</v>
      </c>
      <c r="AE96" s="813">
        <v>-2E-3</v>
      </c>
      <c r="AF96" s="777"/>
      <c r="AG96" s="777"/>
      <c r="AH96" s="777"/>
      <c r="AI96" s="777"/>
      <c r="AJ96" s="777"/>
      <c r="AK96" s="777"/>
      <c r="AL96" s="777"/>
      <c r="AM96" s="777"/>
      <c r="AN96" s="777"/>
      <c r="AO96" s="777"/>
      <c r="AP96" s="777"/>
      <c r="AQ96" s="777"/>
      <c r="AR96" s="777"/>
      <c r="AS96" s="777"/>
      <c r="AT96" s="777"/>
      <c r="AU96" s="777"/>
      <c r="AV96" s="777"/>
      <c r="AW96" s="777"/>
      <c r="AX96" s="777"/>
      <c r="AY96" s="777"/>
      <c r="AZ96" s="777"/>
      <c r="BA96" s="777"/>
      <c r="BB96" s="777"/>
      <c r="BC96" s="777"/>
      <c r="BD96" s="777"/>
      <c r="BE96" s="777"/>
      <c r="BF96" s="777"/>
      <c r="BG96" s="777"/>
      <c r="BH96" s="777"/>
      <c r="BI96" s="777"/>
      <c r="BJ96" s="777"/>
      <c r="BK96" s="777"/>
      <c r="BL96" s="777"/>
      <c r="BM96" s="777"/>
      <c r="BN96" s="777"/>
      <c r="BO96" s="777"/>
      <c r="BP96" s="777"/>
      <c r="BQ96" s="777"/>
      <c r="BR96" s="777"/>
      <c r="BS96" s="777"/>
      <c r="BT96" s="777"/>
    </row>
    <row r="97" spans="1:72" x14ac:dyDescent="0.25">
      <c r="A97" s="777" t="s">
        <v>603</v>
      </c>
      <c r="B97" s="777">
        <v>3.69</v>
      </c>
      <c r="C97" s="777">
        <v>4.49</v>
      </c>
      <c r="D97" s="777">
        <v>4.72</v>
      </c>
      <c r="E97" s="777">
        <v>4.8</v>
      </c>
      <c r="F97" s="777">
        <v>4.8600000000000003</v>
      </c>
      <c r="G97" s="777">
        <v>5.0199999999999996</v>
      </c>
      <c r="H97" s="777">
        <v>5.05</v>
      </c>
      <c r="I97" s="777">
        <v>5.08</v>
      </c>
      <c r="J97" s="777">
        <v>5.08</v>
      </c>
      <c r="K97" s="777">
        <v>5.09</v>
      </c>
      <c r="L97" s="777">
        <v>5.16</v>
      </c>
      <c r="M97" s="777">
        <v>5.22</v>
      </c>
      <c r="N97" s="777">
        <v>5.29</v>
      </c>
      <c r="O97" s="777">
        <v>5.32</v>
      </c>
      <c r="P97" s="777">
        <v>5.35</v>
      </c>
      <c r="Q97" s="777">
        <v>5.36</v>
      </c>
      <c r="R97" s="777">
        <v>5.35</v>
      </c>
      <c r="S97" s="777">
        <v>5.32</v>
      </c>
      <c r="T97" s="777">
        <v>5.24</v>
      </c>
      <c r="U97" s="777">
        <v>5.16</v>
      </c>
      <c r="V97" s="777">
        <v>5.14</v>
      </c>
      <c r="W97" s="777">
        <v>5.14</v>
      </c>
      <c r="X97" s="777">
        <v>5.1100000000000003</v>
      </c>
      <c r="Y97" s="777">
        <v>5.1100000000000003</v>
      </c>
      <c r="Z97" s="777">
        <v>5.09</v>
      </c>
      <c r="AA97" s="777">
        <v>5.08</v>
      </c>
      <c r="AB97" s="777">
        <v>5.08</v>
      </c>
      <c r="AC97" s="777">
        <v>5.0599999999999996</v>
      </c>
      <c r="AD97" s="777">
        <v>5.0599999999999996</v>
      </c>
      <c r="AE97" s="813">
        <v>4.0000000000000001E-3</v>
      </c>
      <c r="AF97" s="777"/>
      <c r="AG97" s="777"/>
      <c r="AH97" s="777"/>
      <c r="AI97" s="777"/>
      <c r="AJ97" s="777"/>
      <c r="AK97" s="777"/>
      <c r="AL97" s="777"/>
      <c r="AM97" s="777"/>
      <c r="AN97" s="777"/>
      <c r="AO97" s="777"/>
      <c r="AP97" s="777"/>
      <c r="AQ97" s="777"/>
      <c r="AR97" s="777"/>
      <c r="AS97" s="777"/>
      <c r="AT97" s="777"/>
      <c r="AU97" s="777"/>
      <c r="AV97" s="777"/>
      <c r="AW97" s="777"/>
      <c r="AX97" s="777"/>
      <c r="AY97" s="777"/>
      <c r="AZ97" s="777"/>
      <c r="BA97" s="777"/>
      <c r="BB97" s="777"/>
      <c r="BC97" s="777"/>
      <c r="BD97" s="777"/>
      <c r="BE97" s="777"/>
      <c r="BF97" s="777"/>
      <c r="BG97" s="777"/>
      <c r="BH97" s="777"/>
      <c r="BI97" s="777"/>
      <c r="BJ97" s="777"/>
      <c r="BK97" s="777"/>
      <c r="BL97" s="777"/>
      <c r="BM97" s="777"/>
      <c r="BN97" s="777"/>
      <c r="BO97" s="777"/>
      <c r="BP97" s="777"/>
      <c r="BQ97" s="777"/>
      <c r="BR97" s="777"/>
      <c r="BS97" s="777"/>
      <c r="BT97" s="777"/>
    </row>
    <row r="98" spans="1:72" x14ac:dyDescent="0.25">
      <c r="A98" s="777" t="s">
        <v>604</v>
      </c>
      <c r="B98" s="777">
        <v>2.48</v>
      </c>
      <c r="C98" s="777">
        <v>2.84</v>
      </c>
      <c r="D98" s="777">
        <v>2.79</v>
      </c>
      <c r="E98" s="777">
        <v>2.69</v>
      </c>
      <c r="F98" s="777">
        <v>2.69</v>
      </c>
      <c r="G98" s="777">
        <v>2.69</v>
      </c>
      <c r="H98" s="777">
        <v>2.66</v>
      </c>
      <c r="I98" s="777">
        <v>2.68</v>
      </c>
      <c r="J98" s="777">
        <v>2.69</v>
      </c>
      <c r="K98" s="777">
        <v>2.68</v>
      </c>
      <c r="L98" s="777">
        <v>2.69</v>
      </c>
      <c r="M98" s="777">
        <v>2.68</v>
      </c>
      <c r="N98" s="777">
        <v>2.67</v>
      </c>
      <c r="O98" s="777">
        <v>2.66</v>
      </c>
      <c r="P98" s="777">
        <v>2.65</v>
      </c>
      <c r="Q98" s="777">
        <v>2.65</v>
      </c>
      <c r="R98" s="777">
        <v>2.63</v>
      </c>
      <c r="S98" s="777">
        <v>2.63</v>
      </c>
      <c r="T98" s="777">
        <v>2.63</v>
      </c>
      <c r="U98" s="777">
        <v>2.64</v>
      </c>
      <c r="V98" s="777">
        <v>2.63</v>
      </c>
      <c r="W98" s="777">
        <v>2.64</v>
      </c>
      <c r="X98" s="777">
        <v>2.65</v>
      </c>
      <c r="Y98" s="777">
        <v>2.66</v>
      </c>
      <c r="Z98" s="777">
        <v>2.67</v>
      </c>
      <c r="AA98" s="777">
        <v>2.67</v>
      </c>
      <c r="AB98" s="777">
        <v>2.69</v>
      </c>
      <c r="AC98" s="777">
        <v>2.7</v>
      </c>
      <c r="AD98" s="777">
        <v>2.71</v>
      </c>
      <c r="AE98" s="813">
        <v>-2E-3</v>
      </c>
      <c r="AF98" s="777"/>
      <c r="AG98" s="777"/>
      <c r="AH98" s="777"/>
      <c r="AI98" s="777"/>
      <c r="AJ98" s="777"/>
      <c r="AK98" s="777"/>
      <c r="AL98" s="777"/>
      <c r="AM98" s="777"/>
      <c r="AN98" s="777"/>
      <c r="AO98" s="777"/>
      <c r="AP98" s="777"/>
      <c r="AQ98" s="777"/>
      <c r="AR98" s="777"/>
      <c r="AS98" s="777"/>
      <c r="AT98" s="777"/>
      <c r="AU98" s="777"/>
      <c r="AV98" s="777"/>
      <c r="AW98" s="777"/>
      <c r="AX98" s="777"/>
      <c r="AY98" s="777"/>
      <c r="AZ98" s="777"/>
      <c r="BA98" s="777"/>
      <c r="BB98" s="777"/>
      <c r="BC98" s="777"/>
      <c r="BD98" s="777"/>
      <c r="BE98" s="777"/>
      <c r="BF98" s="777"/>
      <c r="BG98" s="777"/>
      <c r="BH98" s="777"/>
      <c r="BI98" s="777"/>
      <c r="BJ98" s="777"/>
      <c r="BK98" s="777"/>
      <c r="BL98" s="777"/>
      <c r="BM98" s="777"/>
      <c r="BN98" s="777"/>
      <c r="BO98" s="777"/>
      <c r="BP98" s="777"/>
      <c r="BQ98" s="777"/>
      <c r="BR98" s="777"/>
      <c r="BS98" s="777"/>
      <c r="BT98" s="777"/>
    </row>
    <row r="99" spans="1:72" x14ac:dyDescent="0.25">
      <c r="A99" s="777" t="s">
        <v>605</v>
      </c>
      <c r="B99" s="777" t="s">
        <v>777</v>
      </c>
      <c r="C99" s="777" t="s">
        <v>777</v>
      </c>
      <c r="D99" s="777" t="s">
        <v>777</v>
      </c>
      <c r="E99" s="777" t="s">
        <v>777</v>
      </c>
      <c r="F99" s="777">
        <v>1.26</v>
      </c>
      <c r="G99" s="777">
        <v>1.04</v>
      </c>
      <c r="H99" s="777">
        <v>1.04</v>
      </c>
      <c r="I99" s="777">
        <v>1.41</v>
      </c>
      <c r="J99" s="777">
        <v>1.42</v>
      </c>
      <c r="K99" s="777">
        <v>1.46</v>
      </c>
      <c r="L99" s="777">
        <v>1.48</v>
      </c>
      <c r="M99" s="777">
        <v>1.48</v>
      </c>
      <c r="N99" s="777">
        <v>1.47</v>
      </c>
      <c r="O99" s="777">
        <v>1.46</v>
      </c>
      <c r="P99" s="777">
        <v>1.49</v>
      </c>
      <c r="Q99" s="777">
        <v>1.5</v>
      </c>
      <c r="R99" s="777">
        <v>1.52</v>
      </c>
      <c r="S99" s="777">
        <v>1.49</v>
      </c>
      <c r="T99" s="777">
        <v>1.49</v>
      </c>
      <c r="U99" s="777">
        <v>1.47</v>
      </c>
      <c r="V99" s="777">
        <v>1.46</v>
      </c>
      <c r="W99" s="777">
        <v>1.45</v>
      </c>
      <c r="X99" s="777">
        <v>1.44</v>
      </c>
      <c r="Y99" s="777">
        <v>1.44</v>
      </c>
      <c r="Z99" s="777">
        <v>1.44</v>
      </c>
      <c r="AA99" s="777">
        <v>1.44</v>
      </c>
      <c r="AB99" s="777">
        <v>1.46</v>
      </c>
      <c r="AC99" s="777">
        <v>1.48</v>
      </c>
      <c r="AD99" s="777">
        <v>1.51</v>
      </c>
      <c r="AE99" s="777" t="s">
        <v>777</v>
      </c>
      <c r="AF99" s="777"/>
      <c r="AG99" s="777"/>
      <c r="AH99" s="777"/>
      <c r="AI99" s="777"/>
      <c r="AJ99" s="777"/>
      <c r="AK99" s="777"/>
      <c r="AL99" s="777"/>
      <c r="AM99" s="777"/>
      <c r="AN99" s="777"/>
      <c r="AO99" s="777"/>
      <c r="AP99" s="777"/>
      <c r="AQ99" s="777"/>
      <c r="AR99" s="777"/>
      <c r="AS99" s="777"/>
      <c r="AT99" s="777"/>
      <c r="AU99" s="777"/>
      <c r="AV99" s="777"/>
      <c r="AW99" s="777"/>
      <c r="AX99" s="777"/>
      <c r="AY99" s="777"/>
      <c r="AZ99" s="777"/>
      <c r="BA99" s="777"/>
      <c r="BB99" s="777"/>
      <c r="BC99" s="777"/>
      <c r="BD99" s="777"/>
      <c r="BE99" s="777"/>
      <c r="BF99" s="777"/>
      <c r="BG99" s="777"/>
      <c r="BH99" s="777"/>
      <c r="BI99" s="777"/>
      <c r="BJ99" s="777"/>
      <c r="BK99" s="777"/>
      <c r="BL99" s="777"/>
      <c r="BM99" s="777"/>
      <c r="BN99" s="777"/>
      <c r="BO99" s="777"/>
      <c r="BP99" s="777"/>
      <c r="BQ99" s="777"/>
      <c r="BR99" s="777"/>
      <c r="BS99" s="777"/>
      <c r="BT99" s="777"/>
    </row>
    <row r="100" spans="1:72" x14ac:dyDescent="0.25">
      <c r="A100" s="777" t="s">
        <v>469</v>
      </c>
      <c r="B100" s="777">
        <v>19.02</v>
      </c>
      <c r="C100" s="777">
        <v>20.21</v>
      </c>
      <c r="D100" s="777">
        <v>20.04</v>
      </c>
      <c r="E100" s="777">
        <v>19.149999999999999</v>
      </c>
      <c r="F100" s="777">
        <v>17.11</v>
      </c>
      <c r="G100" s="777">
        <v>17.73</v>
      </c>
      <c r="H100" s="777">
        <v>17.62</v>
      </c>
      <c r="I100" s="777">
        <v>17.350000000000001</v>
      </c>
      <c r="J100" s="777">
        <v>17.37</v>
      </c>
      <c r="K100" s="777">
        <v>17.62</v>
      </c>
      <c r="L100" s="777">
        <v>17.75</v>
      </c>
      <c r="M100" s="777">
        <v>17.77</v>
      </c>
      <c r="N100" s="777">
        <v>17.75</v>
      </c>
      <c r="O100" s="777">
        <v>17.920000000000002</v>
      </c>
      <c r="P100" s="777">
        <v>18.07</v>
      </c>
      <c r="Q100" s="777">
        <v>18.190000000000001</v>
      </c>
      <c r="R100" s="777">
        <v>18.38</v>
      </c>
      <c r="S100" s="777">
        <v>18.53</v>
      </c>
      <c r="T100" s="777">
        <v>18.5</v>
      </c>
      <c r="U100" s="777">
        <v>18.61</v>
      </c>
      <c r="V100" s="777">
        <v>18.78</v>
      </c>
      <c r="W100" s="777">
        <v>18.97</v>
      </c>
      <c r="X100" s="777">
        <v>19.3</v>
      </c>
      <c r="Y100" s="777">
        <v>19.579999999999998</v>
      </c>
      <c r="Z100" s="777">
        <v>19.88</v>
      </c>
      <c r="AA100" s="777">
        <v>20.16</v>
      </c>
      <c r="AB100" s="777">
        <v>20.3</v>
      </c>
      <c r="AC100" s="777">
        <v>20.52</v>
      </c>
      <c r="AD100" s="777">
        <v>20.71</v>
      </c>
      <c r="AE100" s="813">
        <v>1E-3</v>
      </c>
      <c r="AF100" s="777"/>
      <c r="AG100" s="777"/>
      <c r="AH100" s="777"/>
      <c r="AI100" s="777"/>
      <c r="AJ100" s="777"/>
      <c r="AK100" s="777"/>
      <c r="AL100" s="777"/>
      <c r="AM100" s="777"/>
      <c r="AN100" s="777"/>
      <c r="AO100" s="777"/>
      <c r="AP100" s="777"/>
      <c r="AQ100" s="777"/>
      <c r="AR100" s="777"/>
      <c r="AS100" s="777"/>
      <c r="AT100" s="777"/>
      <c r="AU100" s="777"/>
      <c r="AV100" s="777"/>
      <c r="AW100" s="777"/>
      <c r="AX100" s="777"/>
      <c r="AY100" s="777"/>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row>
    <row r="101" spans="1:72" x14ac:dyDescent="0.25">
      <c r="A101" s="777"/>
      <c r="B101" s="777"/>
      <c r="C101" s="777"/>
      <c r="D101" s="777"/>
      <c r="E101" s="777"/>
      <c r="F101" s="777"/>
      <c r="G101" s="777"/>
      <c r="H101" s="777"/>
      <c r="I101" s="777"/>
      <c r="J101" s="777"/>
      <c r="K101" s="777"/>
      <c r="L101" s="777"/>
      <c r="M101" s="777"/>
      <c r="N101" s="777"/>
      <c r="O101" s="777"/>
      <c r="P101" s="777"/>
      <c r="Q101" s="777"/>
      <c r="R101" s="777"/>
      <c r="S101" s="777"/>
      <c r="T101" s="777"/>
      <c r="U101" s="777"/>
      <c r="V101" s="777"/>
      <c r="W101" s="777"/>
      <c r="X101" s="777"/>
      <c r="Y101" s="777"/>
      <c r="Z101" s="777"/>
      <c r="AA101" s="777"/>
      <c r="AB101" s="777"/>
      <c r="AC101" s="777"/>
      <c r="AD101" s="777"/>
      <c r="AE101" s="777"/>
      <c r="AF101" s="777"/>
      <c r="AG101" s="777"/>
      <c r="AH101" s="777"/>
      <c r="AI101" s="777"/>
      <c r="AJ101" s="777"/>
      <c r="AK101" s="777"/>
      <c r="AL101" s="777"/>
      <c r="AM101" s="777"/>
      <c r="AN101" s="777"/>
      <c r="AO101" s="777"/>
      <c r="AP101" s="777"/>
      <c r="AQ101" s="777"/>
      <c r="AR101" s="777"/>
      <c r="AS101" s="777"/>
      <c r="AT101" s="777"/>
      <c r="AU101" s="777"/>
      <c r="AV101" s="777"/>
      <c r="AW101" s="777"/>
      <c r="AX101" s="777"/>
      <c r="AY101" s="777"/>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row>
    <row r="102" spans="1:72" x14ac:dyDescent="0.25">
      <c r="A102" s="777" t="s">
        <v>477</v>
      </c>
      <c r="B102" s="777"/>
      <c r="C102" s="777"/>
      <c r="D102" s="777"/>
      <c r="E102" s="777"/>
      <c r="F102" s="777"/>
      <c r="G102" s="777"/>
      <c r="H102" s="777"/>
      <c r="I102" s="777"/>
      <c r="J102" s="777"/>
      <c r="K102" s="777"/>
      <c r="L102" s="777"/>
      <c r="M102" s="777"/>
      <c r="N102" s="777"/>
      <c r="O102" s="777"/>
      <c r="P102" s="777"/>
      <c r="Q102" s="777"/>
      <c r="R102" s="777"/>
      <c r="S102" s="777"/>
      <c r="T102" s="777"/>
      <c r="U102" s="777"/>
      <c r="V102" s="777"/>
      <c r="W102" s="777"/>
      <c r="X102" s="777"/>
      <c r="Y102" s="777"/>
      <c r="Z102" s="777"/>
      <c r="AA102" s="777"/>
      <c r="AB102" s="777"/>
      <c r="AC102" s="777"/>
      <c r="AD102" s="777"/>
      <c r="AE102" s="777"/>
      <c r="AF102" s="777"/>
      <c r="AG102" s="777"/>
      <c r="AH102" s="777"/>
      <c r="AI102" s="777"/>
      <c r="AJ102" s="777"/>
      <c r="AK102" s="777"/>
      <c r="AL102" s="777"/>
      <c r="AM102" s="777"/>
      <c r="AN102" s="777"/>
      <c r="AO102" s="777"/>
      <c r="AP102" s="777"/>
      <c r="AQ102" s="777"/>
      <c r="AR102" s="777"/>
      <c r="AS102" s="777"/>
      <c r="AT102" s="777"/>
      <c r="AU102" s="777"/>
      <c r="AV102" s="777"/>
      <c r="AW102" s="777"/>
      <c r="AX102" s="777"/>
      <c r="AY102" s="777"/>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row>
    <row r="103" spans="1:72" x14ac:dyDescent="0.25">
      <c r="A103" s="777" t="s">
        <v>606</v>
      </c>
      <c r="B103" s="777">
        <v>23.83</v>
      </c>
      <c r="C103" s="777">
        <v>29.93</v>
      </c>
      <c r="D103" s="777">
        <v>25.2</v>
      </c>
      <c r="E103" s="777">
        <v>23.89</v>
      </c>
      <c r="F103" s="777">
        <v>23.98</v>
      </c>
      <c r="G103" s="777">
        <v>25.13</v>
      </c>
      <c r="H103" s="777">
        <v>26.33</v>
      </c>
      <c r="I103" s="777">
        <v>27.29</v>
      </c>
      <c r="J103" s="777">
        <v>27.88</v>
      </c>
      <c r="K103" s="777">
        <v>28.53</v>
      </c>
      <c r="L103" s="777">
        <v>29.07</v>
      </c>
      <c r="M103" s="777">
        <v>29.65</v>
      </c>
      <c r="N103" s="777">
        <v>29.91</v>
      </c>
      <c r="O103" s="777">
        <v>30.13</v>
      </c>
      <c r="P103" s="777">
        <v>30.36</v>
      </c>
      <c r="Q103" s="777">
        <v>30.56</v>
      </c>
      <c r="R103" s="777">
        <v>30.83</v>
      </c>
      <c r="S103" s="777">
        <v>31.1</v>
      </c>
      <c r="T103" s="777">
        <v>31.36</v>
      </c>
      <c r="U103" s="777">
        <v>31.5</v>
      </c>
      <c r="V103" s="777">
        <v>31.77</v>
      </c>
      <c r="W103" s="777">
        <v>32.01</v>
      </c>
      <c r="X103" s="777">
        <v>32.36</v>
      </c>
      <c r="Y103" s="777">
        <v>32.58</v>
      </c>
      <c r="Z103" s="777">
        <v>32.93</v>
      </c>
      <c r="AA103" s="777">
        <v>33.26</v>
      </c>
      <c r="AB103" s="777">
        <v>33.64</v>
      </c>
      <c r="AC103" s="777">
        <v>34</v>
      </c>
      <c r="AD103" s="777">
        <v>34.380000000000003</v>
      </c>
      <c r="AE103" s="813">
        <v>5.0000000000000001E-3</v>
      </c>
      <c r="AF103" s="777"/>
      <c r="AG103" s="777"/>
      <c r="AH103" s="777"/>
      <c r="AI103" s="777"/>
      <c r="AJ103" s="777"/>
      <c r="AK103" s="777"/>
      <c r="AL103" s="777"/>
      <c r="AM103" s="777"/>
      <c r="AN103" s="777"/>
      <c r="AO103" s="777"/>
      <c r="AP103" s="777"/>
      <c r="AQ103" s="777"/>
      <c r="AR103" s="777"/>
      <c r="AS103" s="777"/>
      <c r="AT103" s="777"/>
      <c r="AU103" s="777"/>
      <c r="AV103" s="777"/>
      <c r="AW103" s="777"/>
      <c r="AX103" s="777"/>
      <c r="AY103" s="777"/>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row>
    <row r="104" spans="1:72" x14ac:dyDescent="0.25">
      <c r="A104" s="777" t="s">
        <v>607</v>
      </c>
      <c r="B104" s="777">
        <v>27.43</v>
      </c>
      <c r="C104" s="777">
        <v>26.93</v>
      </c>
      <c r="D104" s="777">
        <v>23.29</v>
      </c>
      <c r="E104" s="777">
        <v>20.64</v>
      </c>
      <c r="F104" s="777">
        <v>20.97</v>
      </c>
      <c r="G104" s="777">
        <v>22.13</v>
      </c>
      <c r="H104" s="777">
        <v>24.21</v>
      </c>
      <c r="I104" s="777">
        <v>25.23</v>
      </c>
      <c r="J104" s="777">
        <v>25.55</v>
      </c>
      <c r="K104" s="777">
        <v>25.08</v>
      </c>
      <c r="L104" s="777">
        <v>25.9</v>
      </c>
      <c r="M104" s="777">
        <v>26.54</v>
      </c>
      <c r="N104" s="777">
        <v>26.68</v>
      </c>
      <c r="O104" s="777">
        <v>26.95</v>
      </c>
      <c r="P104" s="777">
        <v>27.32</v>
      </c>
      <c r="Q104" s="777">
        <v>27.82</v>
      </c>
      <c r="R104" s="777">
        <v>28.31</v>
      </c>
      <c r="S104" s="777">
        <v>28.55</v>
      </c>
      <c r="T104" s="777">
        <v>28.86</v>
      </c>
      <c r="U104" s="777">
        <v>29.22</v>
      </c>
      <c r="V104" s="777">
        <v>29.49</v>
      </c>
      <c r="W104" s="777">
        <v>30.03</v>
      </c>
      <c r="X104" s="777">
        <v>30.44</v>
      </c>
      <c r="Y104" s="777">
        <v>30.64</v>
      </c>
      <c r="Z104" s="777">
        <v>30.86</v>
      </c>
      <c r="AA104" s="777">
        <v>31.29</v>
      </c>
      <c r="AB104" s="777">
        <v>31.49</v>
      </c>
      <c r="AC104" s="777">
        <v>31.77</v>
      </c>
      <c r="AD104" s="777">
        <v>32.229999999999997</v>
      </c>
      <c r="AE104" s="813">
        <v>7.0000000000000001E-3</v>
      </c>
      <c r="AF104" s="777"/>
      <c r="AG104" s="777"/>
      <c r="AH104" s="777"/>
      <c r="AI104" s="777"/>
      <c r="AJ104" s="777"/>
      <c r="AK104" s="777"/>
      <c r="AL104" s="777"/>
      <c r="AM104" s="777"/>
      <c r="AN104" s="777"/>
      <c r="AO104" s="777"/>
      <c r="AP104" s="777"/>
      <c r="AQ104" s="777"/>
      <c r="AR104" s="777"/>
      <c r="AS104" s="777"/>
      <c r="AT104" s="777"/>
      <c r="AU104" s="777"/>
      <c r="AV104" s="777"/>
      <c r="AW104" s="777"/>
      <c r="AX104" s="777"/>
      <c r="AY104" s="777"/>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row>
    <row r="105" spans="1:72" x14ac:dyDescent="0.25">
      <c r="A105" s="777" t="s">
        <v>608</v>
      </c>
      <c r="B105" s="777">
        <v>23.66</v>
      </c>
      <c r="C105" s="777">
        <v>26.76</v>
      </c>
      <c r="D105" s="777">
        <v>19.14</v>
      </c>
      <c r="E105" s="777">
        <v>20.55</v>
      </c>
      <c r="F105" s="777">
        <v>20.88</v>
      </c>
      <c r="G105" s="777">
        <v>22.03</v>
      </c>
      <c r="H105" s="777">
        <v>24.02</v>
      </c>
      <c r="I105" s="777">
        <v>24.94</v>
      </c>
      <c r="J105" s="777">
        <v>25.37</v>
      </c>
      <c r="K105" s="777">
        <v>25.94</v>
      </c>
      <c r="L105" s="777">
        <v>26.47</v>
      </c>
      <c r="M105" s="777">
        <v>26.89</v>
      </c>
      <c r="N105" s="777">
        <v>27.2</v>
      </c>
      <c r="O105" s="777">
        <v>27.59</v>
      </c>
      <c r="P105" s="777">
        <v>27.82</v>
      </c>
      <c r="Q105" s="777">
        <v>28.18</v>
      </c>
      <c r="R105" s="777">
        <v>28.42</v>
      </c>
      <c r="S105" s="777">
        <v>28.54</v>
      </c>
      <c r="T105" s="777">
        <v>28.87</v>
      </c>
      <c r="U105" s="777">
        <v>29.19</v>
      </c>
      <c r="V105" s="777">
        <v>29.47</v>
      </c>
      <c r="W105" s="777">
        <v>29.9</v>
      </c>
      <c r="X105" s="777">
        <v>30.27</v>
      </c>
      <c r="Y105" s="777">
        <v>30.42</v>
      </c>
      <c r="Z105" s="777">
        <v>30.77</v>
      </c>
      <c r="AA105" s="777">
        <v>31.16</v>
      </c>
      <c r="AB105" s="777">
        <v>31.44</v>
      </c>
      <c r="AC105" s="777">
        <v>31.81</v>
      </c>
      <c r="AD105" s="777">
        <v>32.33</v>
      </c>
      <c r="AE105" s="813">
        <v>7.0000000000000001E-3</v>
      </c>
      <c r="AF105" s="777"/>
      <c r="AG105" s="777"/>
      <c r="AH105" s="777"/>
      <c r="AI105" s="777"/>
      <c r="AJ105" s="777"/>
      <c r="AK105" s="777"/>
      <c r="AL105" s="777"/>
      <c r="AM105" s="777"/>
      <c r="AN105" s="777"/>
      <c r="AO105" s="777"/>
      <c r="AP105" s="777"/>
      <c r="AQ105" s="777"/>
      <c r="AR105" s="777"/>
      <c r="AS105" s="777"/>
      <c r="AT105" s="777"/>
      <c r="AU105" s="777"/>
      <c r="AV105" s="777"/>
      <c r="AW105" s="777"/>
      <c r="AX105" s="777"/>
      <c r="AY105" s="777"/>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row>
    <row r="106" spans="1:72" x14ac:dyDescent="0.25">
      <c r="A106" s="777" t="s">
        <v>609</v>
      </c>
      <c r="B106" s="777">
        <v>15.77</v>
      </c>
      <c r="C106" s="777">
        <v>22.71</v>
      </c>
      <c r="D106" s="777">
        <v>12.73</v>
      </c>
      <c r="E106" s="777">
        <v>14.79</v>
      </c>
      <c r="F106" s="777">
        <v>15.16</v>
      </c>
      <c r="G106" s="777">
        <v>16.54</v>
      </c>
      <c r="H106" s="777">
        <v>17.690000000000001</v>
      </c>
      <c r="I106" s="777">
        <v>18.46</v>
      </c>
      <c r="J106" s="777">
        <v>19.04</v>
      </c>
      <c r="K106" s="777">
        <v>19.760000000000002</v>
      </c>
      <c r="L106" s="777">
        <v>20.41</v>
      </c>
      <c r="M106" s="777">
        <v>20.97</v>
      </c>
      <c r="N106" s="777">
        <v>21.35</v>
      </c>
      <c r="O106" s="777">
        <v>21.69</v>
      </c>
      <c r="P106" s="777">
        <v>21.85</v>
      </c>
      <c r="Q106" s="777">
        <v>22.09</v>
      </c>
      <c r="R106" s="777">
        <v>22.41</v>
      </c>
      <c r="S106" s="777">
        <v>22.61</v>
      </c>
      <c r="T106" s="777">
        <v>22.92</v>
      </c>
      <c r="U106" s="777">
        <v>23.19</v>
      </c>
      <c r="V106" s="777">
        <v>23.48</v>
      </c>
      <c r="W106" s="777">
        <v>23.9</v>
      </c>
      <c r="X106" s="777">
        <v>24.26</v>
      </c>
      <c r="Y106" s="777">
        <v>24.51</v>
      </c>
      <c r="Z106" s="777">
        <v>24.9</v>
      </c>
      <c r="AA106" s="777">
        <v>25.3</v>
      </c>
      <c r="AB106" s="777">
        <v>25.64</v>
      </c>
      <c r="AC106" s="777">
        <v>26.05</v>
      </c>
      <c r="AD106" s="777">
        <v>26.48</v>
      </c>
      <c r="AE106" s="813">
        <v>6.0000000000000001E-3</v>
      </c>
      <c r="AF106" s="777"/>
      <c r="AG106" s="777"/>
      <c r="AH106" s="777"/>
      <c r="AI106" s="777"/>
      <c r="AJ106" s="777"/>
      <c r="AK106" s="777"/>
      <c r="AL106" s="777"/>
      <c r="AM106" s="777"/>
      <c r="AN106" s="777"/>
      <c r="AO106" s="777"/>
      <c r="AP106" s="777"/>
      <c r="AQ106" s="777"/>
      <c r="AR106" s="777"/>
      <c r="AS106" s="777"/>
      <c r="AT106" s="777"/>
      <c r="AU106" s="777"/>
      <c r="AV106" s="777"/>
      <c r="AW106" s="777"/>
      <c r="AX106" s="777"/>
      <c r="AY106" s="777"/>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row>
    <row r="107" spans="1:72" x14ac:dyDescent="0.25">
      <c r="A107" s="777" t="s">
        <v>713</v>
      </c>
      <c r="B107" s="777">
        <v>21.55</v>
      </c>
      <c r="C107" s="777">
        <v>27.65</v>
      </c>
      <c r="D107" s="777">
        <v>17.77</v>
      </c>
      <c r="E107" s="777">
        <v>19.12</v>
      </c>
      <c r="F107" s="777">
        <v>19.309999999999999</v>
      </c>
      <c r="G107" s="777">
        <v>20.51</v>
      </c>
      <c r="H107" s="777">
        <v>21.54</v>
      </c>
      <c r="I107" s="777">
        <v>22.25</v>
      </c>
      <c r="J107" s="777">
        <v>22.93</v>
      </c>
      <c r="K107" s="777">
        <v>23.68</v>
      </c>
      <c r="L107" s="777">
        <v>24.26</v>
      </c>
      <c r="M107" s="777">
        <v>24.91</v>
      </c>
      <c r="N107" s="777">
        <v>25.29</v>
      </c>
      <c r="O107" s="777">
        <v>25.6</v>
      </c>
      <c r="P107" s="777">
        <v>25.79</v>
      </c>
      <c r="Q107" s="777">
        <v>26.12</v>
      </c>
      <c r="R107" s="777">
        <v>26.26</v>
      </c>
      <c r="S107" s="777">
        <v>26.34</v>
      </c>
      <c r="T107" s="777">
        <v>26.63</v>
      </c>
      <c r="U107" s="777">
        <v>26.83</v>
      </c>
      <c r="V107" s="777">
        <v>27.09</v>
      </c>
      <c r="W107" s="777">
        <v>27.4</v>
      </c>
      <c r="X107" s="777">
        <v>27.8</v>
      </c>
      <c r="Y107" s="777">
        <v>27.96</v>
      </c>
      <c r="Z107" s="777">
        <v>28.38</v>
      </c>
      <c r="AA107" s="777">
        <v>28.78</v>
      </c>
      <c r="AB107" s="777">
        <v>29.09</v>
      </c>
      <c r="AC107" s="777">
        <v>29.49</v>
      </c>
      <c r="AD107" s="777">
        <v>29.96</v>
      </c>
      <c r="AE107" s="813">
        <v>3.0000000000000001E-3</v>
      </c>
      <c r="AF107" s="777"/>
      <c r="AG107" s="777"/>
      <c r="AH107" s="777"/>
      <c r="AI107" s="777"/>
      <c r="AJ107" s="777"/>
      <c r="AK107" s="777"/>
      <c r="AL107" s="777"/>
      <c r="AM107" s="777"/>
      <c r="AN107" s="777"/>
      <c r="AO107" s="777"/>
      <c r="AP107" s="777"/>
      <c r="AQ107" s="777"/>
      <c r="AR107" s="777"/>
      <c r="AS107" s="777"/>
      <c r="AT107" s="777"/>
      <c r="AU107" s="777"/>
      <c r="AV107" s="777"/>
      <c r="AW107" s="777"/>
      <c r="AX107" s="777"/>
      <c r="AY107" s="777"/>
      <c r="AZ107" s="777"/>
      <c r="BA107" s="777"/>
      <c r="BB107" s="777"/>
      <c r="BC107" s="777"/>
      <c r="BD107" s="777"/>
      <c r="BE107" s="777"/>
      <c r="BF107" s="777"/>
      <c r="BG107" s="777"/>
      <c r="BH107" s="777"/>
      <c r="BI107" s="777"/>
      <c r="BJ107" s="777"/>
      <c r="BK107" s="777"/>
      <c r="BL107" s="777"/>
      <c r="BM107" s="777"/>
      <c r="BN107" s="777"/>
      <c r="BO107" s="777"/>
      <c r="BP107" s="777"/>
      <c r="BQ107" s="777"/>
      <c r="BR107" s="777"/>
      <c r="BS107" s="777"/>
      <c r="BT107" s="777"/>
    </row>
    <row r="108" spans="1:72" x14ac:dyDescent="0.25">
      <c r="A108" s="777" t="s">
        <v>600</v>
      </c>
      <c r="B108" s="777">
        <v>9.19</v>
      </c>
      <c r="C108" s="777">
        <v>14.49</v>
      </c>
      <c r="D108" s="777">
        <v>8.86</v>
      </c>
      <c r="E108" s="777">
        <v>10.210000000000001</v>
      </c>
      <c r="F108" s="777">
        <v>10.32</v>
      </c>
      <c r="G108" s="777">
        <v>11.5</v>
      </c>
      <c r="H108" s="777">
        <v>12.44</v>
      </c>
      <c r="I108" s="777">
        <v>13.18</v>
      </c>
      <c r="J108" s="777">
        <v>13.58</v>
      </c>
      <c r="K108" s="777">
        <v>13.9</v>
      </c>
      <c r="L108" s="777">
        <v>14.43</v>
      </c>
      <c r="M108" s="777">
        <v>14.81</v>
      </c>
      <c r="N108" s="777">
        <v>14.97</v>
      </c>
      <c r="O108" s="777">
        <v>14.99</v>
      </c>
      <c r="P108" s="777">
        <v>15.23</v>
      </c>
      <c r="Q108" s="777">
        <v>15.34</v>
      </c>
      <c r="R108" s="777">
        <v>15.55</v>
      </c>
      <c r="S108" s="777">
        <v>15.75</v>
      </c>
      <c r="T108" s="777">
        <v>15.93</v>
      </c>
      <c r="U108" s="777">
        <v>15.98</v>
      </c>
      <c r="V108" s="777">
        <v>16.27</v>
      </c>
      <c r="W108" s="777">
        <v>16.5</v>
      </c>
      <c r="X108" s="777">
        <v>16.8</v>
      </c>
      <c r="Y108" s="777">
        <v>17.100000000000001</v>
      </c>
      <c r="Z108" s="777">
        <v>17.420000000000002</v>
      </c>
      <c r="AA108" s="777">
        <v>17.690000000000001</v>
      </c>
      <c r="AB108" s="777">
        <v>17.93</v>
      </c>
      <c r="AC108" s="777">
        <v>18.239999999999998</v>
      </c>
      <c r="AD108" s="777">
        <v>18.600000000000001</v>
      </c>
      <c r="AE108" s="813">
        <v>8.9999999999999993E-3</v>
      </c>
      <c r="AF108" s="777"/>
      <c r="AG108" s="777"/>
      <c r="AH108" s="777"/>
      <c r="AI108" s="777"/>
      <c r="AJ108" s="777"/>
      <c r="AK108" s="777"/>
      <c r="AL108" s="777"/>
      <c r="AM108" s="777"/>
      <c r="AN108" s="777"/>
      <c r="AO108" s="777"/>
      <c r="AP108" s="777"/>
      <c r="AQ108" s="777"/>
      <c r="AR108" s="777"/>
      <c r="AS108" s="777"/>
      <c r="AT108" s="777"/>
      <c r="AU108" s="777"/>
      <c r="AV108" s="777"/>
      <c r="AW108" s="777"/>
      <c r="AX108" s="777"/>
      <c r="AY108" s="777"/>
      <c r="AZ108" s="777"/>
      <c r="BA108" s="777"/>
      <c r="BB108" s="777"/>
      <c r="BC108" s="777"/>
      <c r="BD108" s="777"/>
      <c r="BE108" s="777"/>
      <c r="BF108" s="777"/>
      <c r="BG108" s="777"/>
      <c r="BH108" s="777"/>
      <c r="BI108" s="777"/>
      <c r="BJ108" s="777"/>
      <c r="BK108" s="777"/>
      <c r="BL108" s="777"/>
      <c r="BM108" s="777"/>
      <c r="BN108" s="777"/>
      <c r="BO108" s="777"/>
      <c r="BP108" s="777"/>
      <c r="BQ108" s="777"/>
      <c r="BR108" s="777"/>
      <c r="BS108" s="777"/>
      <c r="BT108" s="777"/>
    </row>
    <row r="109" spans="1:72" x14ac:dyDescent="0.25">
      <c r="A109" s="777" t="s">
        <v>611</v>
      </c>
      <c r="B109" s="777">
        <v>13.84</v>
      </c>
      <c r="C109" s="777">
        <v>15.96</v>
      </c>
      <c r="D109" s="777">
        <v>11.36</v>
      </c>
      <c r="E109" s="777">
        <v>12</v>
      </c>
      <c r="F109" s="777">
        <v>13.09</v>
      </c>
      <c r="G109" s="777">
        <v>13.49</v>
      </c>
      <c r="H109" s="777">
        <v>13.36</v>
      </c>
      <c r="I109" s="777">
        <v>13.25</v>
      </c>
      <c r="J109" s="777">
        <v>13.37</v>
      </c>
      <c r="K109" s="777">
        <v>13.41</v>
      </c>
      <c r="L109" s="777">
        <v>13.38</v>
      </c>
      <c r="M109" s="777">
        <v>13.37</v>
      </c>
      <c r="N109" s="777">
        <v>13.38</v>
      </c>
      <c r="O109" s="777">
        <v>13.44</v>
      </c>
      <c r="P109" s="777">
        <v>13.46</v>
      </c>
      <c r="Q109" s="777">
        <v>13.58</v>
      </c>
      <c r="R109" s="777">
        <v>13.54</v>
      </c>
      <c r="S109" s="777">
        <v>13.41</v>
      </c>
      <c r="T109" s="777">
        <v>13.43</v>
      </c>
      <c r="U109" s="777">
        <v>13.54</v>
      </c>
      <c r="V109" s="777">
        <v>13.65</v>
      </c>
      <c r="W109" s="777">
        <v>13.83</v>
      </c>
      <c r="X109" s="777">
        <v>14</v>
      </c>
      <c r="Y109" s="777">
        <v>14.19</v>
      </c>
      <c r="Z109" s="777">
        <v>14.46</v>
      </c>
      <c r="AA109" s="777">
        <v>14.54</v>
      </c>
      <c r="AB109" s="777">
        <v>14.55</v>
      </c>
      <c r="AC109" s="777">
        <v>14.7</v>
      </c>
      <c r="AD109" s="777">
        <v>14.78</v>
      </c>
      <c r="AE109" s="813">
        <v>-3.0000000000000001E-3</v>
      </c>
      <c r="AF109" s="777"/>
      <c r="AG109" s="777"/>
      <c r="AH109" s="777"/>
      <c r="AI109" s="777"/>
      <c r="AJ109" s="777"/>
      <c r="AK109" s="777"/>
      <c r="AL109" s="777"/>
      <c r="AM109" s="777"/>
      <c r="AN109" s="777"/>
      <c r="AO109" s="777"/>
      <c r="AP109" s="777"/>
      <c r="AQ109" s="777"/>
      <c r="AR109" s="777"/>
      <c r="AS109" s="777"/>
      <c r="AT109" s="777"/>
      <c r="AU109" s="777"/>
      <c r="AV109" s="777"/>
      <c r="AW109" s="777"/>
      <c r="AX109" s="777"/>
      <c r="AY109" s="777"/>
      <c r="AZ109" s="777"/>
      <c r="BA109" s="777"/>
      <c r="BB109" s="777"/>
      <c r="BC109" s="777"/>
      <c r="BD109" s="777"/>
      <c r="BE109" s="777"/>
      <c r="BF109" s="777"/>
      <c r="BG109" s="777"/>
      <c r="BH109" s="777"/>
      <c r="BI109" s="777"/>
      <c r="BJ109" s="777"/>
      <c r="BK109" s="777"/>
      <c r="BL109" s="777"/>
      <c r="BM109" s="777"/>
      <c r="BN109" s="777"/>
      <c r="BO109" s="777"/>
      <c r="BP109" s="777"/>
      <c r="BQ109" s="777"/>
      <c r="BR109" s="777"/>
      <c r="BS109" s="777"/>
      <c r="BT109" s="777"/>
    </row>
    <row r="110" spans="1:72" x14ac:dyDescent="0.25">
      <c r="A110" s="777" t="s">
        <v>469</v>
      </c>
      <c r="B110" s="777">
        <v>32.03</v>
      </c>
      <c r="C110" s="777">
        <v>33.729999999999997</v>
      </c>
      <c r="D110" s="777">
        <v>32.299999999999997</v>
      </c>
      <c r="E110" s="777">
        <v>30.29</v>
      </c>
      <c r="F110" s="777">
        <v>27.63</v>
      </c>
      <c r="G110" s="777">
        <v>29.66</v>
      </c>
      <c r="H110" s="777">
        <v>29.72</v>
      </c>
      <c r="I110" s="777">
        <v>29.07</v>
      </c>
      <c r="J110" s="777">
        <v>28.79</v>
      </c>
      <c r="K110" s="777">
        <v>29.01</v>
      </c>
      <c r="L110" s="777">
        <v>29.04</v>
      </c>
      <c r="M110" s="777">
        <v>28.87</v>
      </c>
      <c r="N110" s="777">
        <v>28.59</v>
      </c>
      <c r="O110" s="777">
        <v>28.55</v>
      </c>
      <c r="P110" s="777">
        <v>28.54</v>
      </c>
      <c r="Q110" s="777">
        <v>28.43</v>
      </c>
      <c r="R110" s="777">
        <v>28.48</v>
      </c>
      <c r="S110" s="777">
        <v>28.64</v>
      </c>
      <c r="T110" s="777">
        <v>28.63</v>
      </c>
      <c r="U110" s="777">
        <v>28.88</v>
      </c>
      <c r="V110" s="777">
        <v>29.32</v>
      </c>
      <c r="W110" s="777">
        <v>29.79</v>
      </c>
      <c r="X110" s="777">
        <v>30.51</v>
      </c>
      <c r="Y110" s="777">
        <v>31.01</v>
      </c>
      <c r="Z110" s="777">
        <v>31.61</v>
      </c>
      <c r="AA110" s="777">
        <v>32.15</v>
      </c>
      <c r="AB110" s="777">
        <v>32.47</v>
      </c>
      <c r="AC110" s="777">
        <v>32.89</v>
      </c>
      <c r="AD110" s="777">
        <v>33.26</v>
      </c>
      <c r="AE110" s="813">
        <v>-1E-3</v>
      </c>
      <c r="AF110" s="777"/>
      <c r="AG110" s="777"/>
      <c r="AH110" s="777"/>
      <c r="AI110" s="777"/>
      <c r="AJ110" s="777"/>
      <c r="AK110" s="777"/>
      <c r="AL110" s="777"/>
      <c r="AM110" s="777"/>
      <c r="AN110" s="777"/>
      <c r="AO110" s="777"/>
      <c r="AP110" s="777"/>
      <c r="AQ110" s="777"/>
      <c r="AR110" s="777"/>
      <c r="AS110" s="777"/>
      <c r="AT110" s="777"/>
      <c r="AU110" s="777"/>
      <c r="AV110" s="777"/>
      <c r="AW110" s="777"/>
      <c r="AX110" s="777"/>
      <c r="AY110" s="777"/>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row>
    <row r="111" spans="1:72" x14ac:dyDescent="0.25">
      <c r="A111" s="777"/>
      <c r="B111" s="777"/>
      <c r="C111" s="777"/>
      <c r="D111" s="777"/>
      <c r="E111" s="777"/>
      <c r="F111" s="777"/>
      <c r="G111" s="777"/>
      <c r="H111" s="777"/>
      <c r="I111" s="777"/>
      <c r="J111" s="777"/>
      <c r="K111" s="777"/>
      <c r="L111" s="777"/>
      <c r="M111" s="777"/>
      <c r="N111" s="777"/>
      <c r="O111" s="777"/>
      <c r="P111" s="777"/>
      <c r="Q111" s="777"/>
      <c r="R111" s="777"/>
      <c r="S111" s="777"/>
      <c r="T111" s="777"/>
      <c r="U111" s="777"/>
      <c r="V111" s="777"/>
      <c r="W111" s="777"/>
      <c r="X111" s="777"/>
      <c r="Y111" s="777"/>
      <c r="Z111" s="777"/>
      <c r="AA111" s="777"/>
      <c r="AB111" s="777"/>
      <c r="AC111" s="777"/>
      <c r="AD111" s="777"/>
      <c r="AE111" s="777"/>
      <c r="AF111" s="777"/>
      <c r="AG111" s="777"/>
      <c r="AH111" s="777"/>
      <c r="AI111" s="777"/>
      <c r="AJ111" s="777"/>
      <c r="AK111" s="777"/>
      <c r="AL111" s="777"/>
      <c r="AM111" s="777"/>
      <c r="AN111" s="777"/>
      <c r="AO111" s="777"/>
      <c r="AP111" s="777"/>
      <c r="AQ111" s="777"/>
      <c r="AR111" s="777"/>
      <c r="AS111" s="777"/>
      <c r="AT111" s="777"/>
      <c r="AU111" s="777"/>
      <c r="AV111" s="777"/>
      <c r="AW111" s="777"/>
      <c r="AX111" s="777"/>
      <c r="AY111" s="777"/>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row>
    <row r="112" spans="1:72" x14ac:dyDescent="0.25">
      <c r="A112" s="777" t="s">
        <v>612</v>
      </c>
      <c r="B112" s="777"/>
      <c r="C112" s="777"/>
      <c r="D112" s="777"/>
      <c r="E112" s="777"/>
      <c r="F112" s="777"/>
      <c r="G112" s="777"/>
      <c r="H112" s="777"/>
      <c r="I112" s="777"/>
      <c r="J112" s="777"/>
      <c r="K112" s="777"/>
      <c r="L112" s="777"/>
      <c r="M112" s="777"/>
      <c r="N112" s="777"/>
      <c r="O112" s="777"/>
      <c r="P112" s="777"/>
      <c r="Q112" s="777"/>
      <c r="R112" s="777"/>
      <c r="S112" s="777"/>
      <c r="T112" s="777"/>
      <c r="U112" s="777"/>
      <c r="V112" s="777"/>
      <c r="W112" s="777"/>
      <c r="X112" s="777"/>
      <c r="Y112" s="777"/>
      <c r="Z112" s="777"/>
      <c r="AA112" s="777"/>
      <c r="AB112" s="777"/>
      <c r="AC112" s="777"/>
      <c r="AD112" s="777"/>
      <c r="AE112" s="777"/>
      <c r="AF112" s="777"/>
      <c r="AG112" s="777"/>
      <c r="AH112" s="777"/>
      <c r="AI112" s="777"/>
      <c r="AJ112" s="777"/>
      <c r="AK112" s="777"/>
      <c r="AL112" s="777"/>
      <c r="AM112" s="777"/>
      <c r="AN112" s="777"/>
      <c r="AO112" s="777"/>
      <c r="AP112" s="777"/>
      <c r="AQ112" s="777"/>
      <c r="AR112" s="777"/>
      <c r="AS112" s="777"/>
      <c r="AT112" s="777"/>
      <c r="AU112" s="777"/>
      <c r="AV112" s="777"/>
      <c r="AW112" s="777"/>
      <c r="AX112" s="777"/>
      <c r="AY112" s="777"/>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row>
    <row r="113" spans="1:72" x14ac:dyDescent="0.25">
      <c r="A113" s="777" t="s">
        <v>599</v>
      </c>
      <c r="B113" s="777">
        <v>15.75</v>
      </c>
      <c r="C113" s="777">
        <v>19.37</v>
      </c>
      <c r="D113" s="777">
        <v>14.24</v>
      </c>
      <c r="E113" s="777">
        <v>13.91</v>
      </c>
      <c r="F113" s="777">
        <v>14.06</v>
      </c>
      <c r="G113" s="777">
        <v>15.2</v>
      </c>
      <c r="H113" s="777">
        <v>16.21</v>
      </c>
      <c r="I113" s="777">
        <v>16.89</v>
      </c>
      <c r="J113" s="777">
        <v>17.36</v>
      </c>
      <c r="K113" s="777">
        <v>18.22</v>
      </c>
      <c r="L113" s="777">
        <v>18.88</v>
      </c>
      <c r="M113" s="777">
        <v>19.510000000000002</v>
      </c>
      <c r="N113" s="777">
        <v>19.920000000000002</v>
      </c>
      <c r="O113" s="777">
        <v>20.25</v>
      </c>
      <c r="P113" s="777">
        <v>20.399999999999999</v>
      </c>
      <c r="Q113" s="777">
        <v>20.58</v>
      </c>
      <c r="R113" s="777">
        <v>20.89</v>
      </c>
      <c r="S113" s="777">
        <v>21.07</v>
      </c>
      <c r="T113" s="777">
        <v>21.35</v>
      </c>
      <c r="U113" s="777">
        <v>21.6</v>
      </c>
      <c r="V113" s="777">
        <v>21.83</v>
      </c>
      <c r="W113" s="777">
        <v>22.14</v>
      </c>
      <c r="X113" s="777">
        <v>22.54</v>
      </c>
      <c r="Y113" s="777">
        <v>22.71</v>
      </c>
      <c r="Z113" s="777">
        <v>23.14</v>
      </c>
      <c r="AA113" s="777">
        <v>23.54</v>
      </c>
      <c r="AB113" s="777">
        <v>23.87</v>
      </c>
      <c r="AC113" s="777">
        <v>24.28</v>
      </c>
      <c r="AD113" s="777">
        <v>24.7</v>
      </c>
      <c r="AE113" s="813">
        <v>8.9999999999999993E-3</v>
      </c>
      <c r="AF113" s="777"/>
      <c r="AG113" s="777"/>
      <c r="AH113" s="777"/>
      <c r="AI113" s="777"/>
      <c r="AJ113" s="777"/>
      <c r="AK113" s="777"/>
      <c r="AL113" s="777"/>
      <c r="AM113" s="777"/>
      <c r="AN113" s="777"/>
      <c r="AO113" s="777"/>
      <c r="AP113" s="777"/>
      <c r="AQ113" s="777"/>
      <c r="AR113" s="777"/>
      <c r="AS113" s="777"/>
      <c r="AT113" s="777"/>
      <c r="AU113" s="777"/>
      <c r="AV113" s="777"/>
      <c r="AW113" s="777"/>
      <c r="AX113" s="777"/>
      <c r="AY113" s="777"/>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row>
    <row r="114" spans="1:72" x14ac:dyDescent="0.25">
      <c r="A114" s="777" t="s">
        <v>600</v>
      </c>
      <c r="B114" s="777">
        <v>9.0399999999999991</v>
      </c>
      <c r="C114" s="777">
        <v>14.56</v>
      </c>
      <c r="D114" s="777">
        <v>8.7799999999999994</v>
      </c>
      <c r="E114" s="777">
        <v>12</v>
      </c>
      <c r="F114" s="777">
        <v>12.17</v>
      </c>
      <c r="G114" s="777">
        <v>13.34</v>
      </c>
      <c r="H114" s="777">
        <v>14.37</v>
      </c>
      <c r="I114" s="777">
        <v>15.11</v>
      </c>
      <c r="J114" s="777">
        <v>15.53</v>
      </c>
      <c r="K114" s="777">
        <v>15.93</v>
      </c>
      <c r="L114" s="777">
        <v>16.45</v>
      </c>
      <c r="M114" s="777">
        <v>16.89</v>
      </c>
      <c r="N114" s="777">
        <v>17.14</v>
      </c>
      <c r="O114" s="777">
        <v>17.22</v>
      </c>
      <c r="P114" s="777">
        <v>17.47</v>
      </c>
      <c r="Q114" s="777">
        <v>17.63</v>
      </c>
      <c r="R114" s="777">
        <v>17.850000000000001</v>
      </c>
      <c r="S114" s="777">
        <v>18.079999999999998</v>
      </c>
      <c r="T114" s="777">
        <v>18.3</v>
      </c>
      <c r="U114" s="777">
        <v>18.38</v>
      </c>
      <c r="V114" s="777">
        <v>18.68</v>
      </c>
      <c r="W114" s="777">
        <v>18.940000000000001</v>
      </c>
      <c r="X114" s="777">
        <v>19.23</v>
      </c>
      <c r="Y114" s="777">
        <v>19.55</v>
      </c>
      <c r="Z114" s="777">
        <v>19.899999999999999</v>
      </c>
      <c r="AA114" s="777">
        <v>20.190000000000001</v>
      </c>
      <c r="AB114" s="777">
        <v>20.43</v>
      </c>
      <c r="AC114" s="777">
        <v>20.77</v>
      </c>
      <c r="AD114" s="777">
        <v>21.12</v>
      </c>
      <c r="AE114" s="813">
        <v>1.4E-2</v>
      </c>
      <c r="AF114" s="777"/>
      <c r="AG114" s="777"/>
      <c r="AH114" s="777"/>
      <c r="AI114" s="777"/>
      <c r="AJ114" s="777"/>
      <c r="AK114" s="777"/>
      <c r="AL114" s="777"/>
      <c r="AM114" s="777"/>
      <c r="AN114" s="777"/>
      <c r="AO114" s="777"/>
      <c r="AP114" s="777"/>
      <c r="AQ114" s="777"/>
      <c r="AR114" s="777"/>
      <c r="AS114" s="777"/>
      <c r="AT114" s="777"/>
      <c r="AU114" s="777"/>
      <c r="AV114" s="777"/>
      <c r="AW114" s="777"/>
      <c r="AX114" s="777"/>
      <c r="AY114" s="777"/>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row>
    <row r="115" spans="1:72" x14ac:dyDescent="0.25">
      <c r="A115" s="777" t="s">
        <v>500</v>
      </c>
      <c r="B115" s="777">
        <v>7.26</v>
      </c>
      <c r="C115" s="777">
        <v>9.09</v>
      </c>
      <c r="D115" s="777">
        <v>4.1399999999999997</v>
      </c>
      <c r="E115" s="777">
        <v>4.8499999999999996</v>
      </c>
      <c r="F115" s="777">
        <v>5.82</v>
      </c>
      <c r="G115" s="777">
        <v>6.17</v>
      </c>
      <c r="H115" s="777">
        <v>5.94</v>
      </c>
      <c r="I115" s="777">
        <v>5.9</v>
      </c>
      <c r="J115" s="777">
        <v>6.08</v>
      </c>
      <c r="K115" s="777">
        <v>6.16</v>
      </c>
      <c r="L115" s="777">
        <v>6.17</v>
      </c>
      <c r="M115" s="777">
        <v>6.22</v>
      </c>
      <c r="N115" s="777">
        <v>6.29</v>
      </c>
      <c r="O115" s="777">
        <v>6.42</v>
      </c>
      <c r="P115" s="777">
        <v>6.52</v>
      </c>
      <c r="Q115" s="777">
        <v>6.69</v>
      </c>
      <c r="R115" s="777">
        <v>6.74</v>
      </c>
      <c r="S115" s="777">
        <v>6.7</v>
      </c>
      <c r="T115" s="777">
        <v>6.75</v>
      </c>
      <c r="U115" s="777">
        <v>6.91</v>
      </c>
      <c r="V115" s="777">
        <v>7.05</v>
      </c>
      <c r="W115" s="777">
        <v>7.27</v>
      </c>
      <c r="X115" s="777">
        <v>7.51</v>
      </c>
      <c r="Y115" s="777">
        <v>7.73</v>
      </c>
      <c r="Z115" s="777">
        <v>8.02</v>
      </c>
      <c r="AA115" s="777">
        <v>8.14</v>
      </c>
      <c r="AB115" s="777">
        <v>8.17</v>
      </c>
      <c r="AC115" s="777">
        <v>8.35</v>
      </c>
      <c r="AD115" s="777">
        <v>8.4600000000000009</v>
      </c>
      <c r="AE115" s="813">
        <v>-3.0000000000000001E-3</v>
      </c>
      <c r="AF115" s="777"/>
      <c r="AG115" s="777"/>
      <c r="AH115" s="777"/>
      <c r="AI115" s="777"/>
      <c r="AJ115" s="777"/>
      <c r="AK115" s="777"/>
      <c r="AL115" s="777"/>
      <c r="AM115" s="777"/>
      <c r="AN115" s="777"/>
      <c r="AO115" s="777"/>
      <c r="AP115" s="777"/>
      <c r="AQ115" s="777"/>
      <c r="AR115" s="777"/>
      <c r="AS115" s="777"/>
      <c r="AT115" s="777"/>
      <c r="AU115" s="777"/>
      <c r="AV115" s="777"/>
      <c r="AW115" s="777"/>
      <c r="AX115" s="777"/>
      <c r="AY115" s="777"/>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row>
    <row r="116" spans="1:72" x14ac:dyDescent="0.25">
      <c r="A116" s="777" t="s">
        <v>613</v>
      </c>
      <c r="B116" s="777">
        <v>1.8</v>
      </c>
      <c r="C116" s="777">
        <v>2.0499999999999998</v>
      </c>
      <c r="D116" s="777">
        <v>2.15</v>
      </c>
      <c r="E116" s="777">
        <v>1.99</v>
      </c>
      <c r="F116" s="777">
        <v>1.98</v>
      </c>
      <c r="G116" s="777">
        <v>1.99</v>
      </c>
      <c r="H116" s="777">
        <v>1.99</v>
      </c>
      <c r="I116" s="777">
        <v>1.99</v>
      </c>
      <c r="J116" s="777">
        <v>2.0099999999999998</v>
      </c>
      <c r="K116" s="777">
        <v>1.99</v>
      </c>
      <c r="L116" s="777">
        <v>2</v>
      </c>
      <c r="M116" s="777">
        <v>1.99</v>
      </c>
      <c r="N116" s="777">
        <v>1.99</v>
      </c>
      <c r="O116" s="777">
        <v>1.98</v>
      </c>
      <c r="P116" s="777">
        <v>1.98</v>
      </c>
      <c r="Q116" s="777">
        <v>1.99</v>
      </c>
      <c r="R116" s="777">
        <v>1.99</v>
      </c>
      <c r="S116" s="777">
        <v>1.99</v>
      </c>
      <c r="T116" s="777">
        <v>1.99</v>
      </c>
      <c r="U116" s="777">
        <v>2</v>
      </c>
      <c r="V116" s="777">
        <v>2</v>
      </c>
      <c r="W116" s="777">
        <v>2.0099999999999998</v>
      </c>
      <c r="X116" s="777">
        <v>2.02</v>
      </c>
      <c r="Y116" s="777">
        <v>2.0299999999999998</v>
      </c>
      <c r="Z116" s="777">
        <v>2.04</v>
      </c>
      <c r="AA116" s="777">
        <v>2.0499999999999998</v>
      </c>
      <c r="AB116" s="777">
        <v>2.06</v>
      </c>
      <c r="AC116" s="777">
        <v>2.0699999999999998</v>
      </c>
      <c r="AD116" s="777">
        <v>2.09</v>
      </c>
      <c r="AE116" s="813">
        <v>1E-3</v>
      </c>
      <c r="AF116" s="777"/>
      <c r="AG116" s="777"/>
      <c r="AH116" s="777"/>
      <c r="AI116" s="777"/>
      <c r="AJ116" s="777"/>
      <c r="AK116" s="777"/>
      <c r="AL116" s="777"/>
      <c r="AM116" s="777"/>
      <c r="AN116" s="777"/>
      <c r="AO116" s="777"/>
      <c r="AP116" s="777"/>
      <c r="AQ116" s="777"/>
      <c r="AR116" s="777"/>
      <c r="AS116" s="777"/>
      <c r="AT116" s="777"/>
      <c r="AU116" s="777"/>
      <c r="AV116" s="777"/>
      <c r="AW116" s="777"/>
      <c r="AX116" s="777"/>
      <c r="AY116" s="777"/>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row>
    <row r="117" spans="1:72" x14ac:dyDescent="0.25">
      <c r="A117" s="777"/>
      <c r="B117" s="777"/>
      <c r="C117" s="777"/>
      <c r="D117" s="777"/>
      <c r="E117" s="777"/>
      <c r="F117" s="777"/>
      <c r="G117" s="777"/>
      <c r="H117" s="777"/>
      <c r="I117" s="777"/>
      <c r="J117" s="777"/>
      <c r="K117" s="777"/>
      <c r="L117" s="777"/>
      <c r="M117" s="777"/>
      <c r="N117" s="777"/>
      <c r="O117" s="777"/>
      <c r="P117" s="777"/>
      <c r="Q117" s="777"/>
      <c r="R117" s="777"/>
      <c r="S117" s="777"/>
      <c r="T117" s="777"/>
      <c r="U117" s="777"/>
      <c r="V117" s="777"/>
      <c r="W117" s="777"/>
      <c r="X117" s="777"/>
      <c r="Y117" s="777"/>
      <c r="Z117" s="777"/>
      <c r="AA117" s="777"/>
      <c r="AB117" s="777"/>
      <c r="AC117" s="777"/>
      <c r="AD117" s="777"/>
      <c r="AE117" s="777"/>
      <c r="AF117" s="777"/>
      <c r="AG117" s="777"/>
      <c r="AH117" s="777"/>
      <c r="AI117" s="777"/>
      <c r="AJ117" s="777"/>
      <c r="AK117" s="777"/>
      <c r="AL117" s="777"/>
      <c r="AM117" s="777"/>
      <c r="AN117" s="777"/>
      <c r="AO117" s="777"/>
      <c r="AP117" s="777"/>
      <c r="AQ117" s="777"/>
      <c r="AR117" s="777"/>
      <c r="AS117" s="777"/>
      <c r="AT117" s="777"/>
      <c r="AU117" s="777"/>
      <c r="AV117" s="777"/>
      <c r="AW117" s="777"/>
      <c r="AX117" s="777"/>
      <c r="AY117" s="777"/>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row>
    <row r="118" spans="1:72" x14ac:dyDescent="0.25">
      <c r="A118" s="777" t="s">
        <v>614</v>
      </c>
      <c r="B118" s="777"/>
      <c r="C118" s="777"/>
      <c r="D118" s="777"/>
      <c r="E118" s="777"/>
      <c r="F118" s="777"/>
      <c r="G118" s="777"/>
      <c r="H118" s="777"/>
      <c r="I118" s="777"/>
      <c r="J118" s="777"/>
      <c r="K118" s="777"/>
      <c r="L118" s="777"/>
      <c r="M118" s="777"/>
      <c r="N118" s="777"/>
      <c r="O118" s="777"/>
      <c r="P118" s="777"/>
      <c r="Q118" s="777"/>
      <c r="R118" s="777"/>
      <c r="S118" s="777"/>
      <c r="T118" s="777"/>
      <c r="U118" s="777"/>
      <c r="V118" s="777"/>
      <c r="W118" s="777"/>
      <c r="X118" s="777"/>
      <c r="Y118" s="777"/>
      <c r="Z118" s="777"/>
      <c r="AA118" s="777"/>
      <c r="AB118" s="777"/>
      <c r="AC118" s="777"/>
      <c r="AD118" s="777"/>
      <c r="AE118" s="777"/>
      <c r="AF118" s="777"/>
      <c r="AG118" s="777"/>
      <c r="AH118" s="777"/>
      <c r="AI118" s="777"/>
      <c r="AJ118" s="777"/>
      <c r="AK118" s="777"/>
      <c r="AL118" s="777"/>
      <c r="AM118" s="777"/>
      <c r="AN118" s="777"/>
      <c r="AO118" s="777"/>
      <c r="AP118" s="777"/>
      <c r="AQ118" s="777"/>
      <c r="AR118" s="777"/>
      <c r="AS118" s="777"/>
      <c r="AT118" s="777"/>
      <c r="AU118" s="777"/>
      <c r="AV118" s="777"/>
      <c r="AW118" s="777"/>
      <c r="AX118" s="777"/>
      <c r="AY118" s="777"/>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row>
    <row r="119" spans="1:72" x14ac:dyDescent="0.25">
      <c r="A119" s="777" t="s">
        <v>598</v>
      </c>
      <c r="B119" s="777">
        <v>18.940000000000001</v>
      </c>
      <c r="C119" s="777">
        <v>20.190000000000001</v>
      </c>
      <c r="D119" s="777">
        <v>18.36</v>
      </c>
      <c r="E119" s="777">
        <v>16.850000000000001</v>
      </c>
      <c r="F119" s="777">
        <v>16.87</v>
      </c>
      <c r="G119" s="777">
        <v>17.87</v>
      </c>
      <c r="H119" s="777">
        <v>18.97</v>
      </c>
      <c r="I119" s="777">
        <v>19.82</v>
      </c>
      <c r="J119" s="777">
        <v>20.3</v>
      </c>
      <c r="K119" s="777">
        <v>20.84</v>
      </c>
      <c r="L119" s="777">
        <v>21.26</v>
      </c>
      <c r="M119" s="777">
        <v>21.71</v>
      </c>
      <c r="N119" s="777">
        <v>21.93</v>
      </c>
      <c r="O119" s="777">
        <v>22.15</v>
      </c>
      <c r="P119" s="777">
        <v>22.36</v>
      </c>
      <c r="Q119" s="777">
        <v>22.56</v>
      </c>
      <c r="R119" s="777">
        <v>22.83</v>
      </c>
      <c r="S119" s="777">
        <v>23.09</v>
      </c>
      <c r="T119" s="777">
        <v>23.34</v>
      </c>
      <c r="U119" s="777">
        <v>23.49</v>
      </c>
      <c r="V119" s="777">
        <v>23.75</v>
      </c>
      <c r="W119" s="777">
        <v>24</v>
      </c>
      <c r="X119" s="777">
        <v>24.34</v>
      </c>
      <c r="Y119" s="777">
        <v>24.55</v>
      </c>
      <c r="Z119" s="777">
        <v>24.91</v>
      </c>
      <c r="AA119" s="777">
        <v>25.25</v>
      </c>
      <c r="AB119" s="777">
        <v>25.63</v>
      </c>
      <c r="AC119" s="777">
        <v>25.99</v>
      </c>
      <c r="AD119" s="777">
        <v>26.37</v>
      </c>
      <c r="AE119" s="813">
        <v>0.01</v>
      </c>
      <c r="AF119" s="777"/>
      <c r="AG119" s="777"/>
      <c r="AH119" s="777"/>
      <c r="AI119" s="777"/>
      <c r="AJ119" s="777"/>
      <c r="AK119" s="777"/>
      <c r="AL119" s="777"/>
      <c r="AM119" s="777"/>
      <c r="AN119" s="777"/>
      <c r="AO119" s="777"/>
      <c r="AP119" s="777"/>
      <c r="AQ119" s="777"/>
      <c r="AR119" s="777"/>
      <c r="AS119" s="777"/>
      <c r="AT119" s="777"/>
      <c r="AU119" s="777"/>
      <c r="AV119" s="777"/>
      <c r="AW119" s="777"/>
      <c r="AX119" s="777"/>
      <c r="AY119" s="777"/>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row>
    <row r="120" spans="1:72" x14ac:dyDescent="0.25">
      <c r="A120" s="777" t="s">
        <v>607</v>
      </c>
      <c r="B120" s="777">
        <v>27.43</v>
      </c>
      <c r="C120" s="777">
        <v>26.93</v>
      </c>
      <c r="D120" s="777">
        <v>23.29</v>
      </c>
      <c r="E120" s="777">
        <v>20.64</v>
      </c>
      <c r="F120" s="777">
        <v>20.97</v>
      </c>
      <c r="G120" s="777">
        <v>22.13</v>
      </c>
      <c r="H120" s="777">
        <v>24.21</v>
      </c>
      <c r="I120" s="777">
        <v>25.23</v>
      </c>
      <c r="J120" s="777">
        <v>25.55</v>
      </c>
      <c r="K120" s="777">
        <v>25.08</v>
      </c>
      <c r="L120" s="777">
        <v>25.9</v>
      </c>
      <c r="M120" s="777">
        <v>26.54</v>
      </c>
      <c r="N120" s="777">
        <v>26.68</v>
      </c>
      <c r="O120" s="777">
        <v>26.95</v>
      </c>
      <c r="P120" s="777">
        <v>27.32</v>
      </c>
      <c r="Q120" s="777">
        <v>27.82</v>
      </c>
      <c r="R120" s="777">
        <v>28.31</v>
      </c>
      <c r="S120" s="777">
        <v>28.55</v>
      </c>
      <c r="T120" s="777">
        <v>28.86</v>
      </c>
      <c r="U120" s="777">
        <v>29.22</v>
      </c>
      <c r="V120" s="777">
        <v>29.49</v>
      </c>
      <c r="W120" s="777">
        <v>30.03</v>
      </c>
      <c r="X120" s="777">
        <v>30.44</v>
      </c>
      <c r="Y120" s="777">
        <v>30.64</v>
      </c>
      <c r="Z120" s="777">
        <v>30.86</v>
      </c>
      <c r="AA120" s="777">
        <v>31.29</v>
      </c>
      <c r="AB120" s="777">
        <v>31.49</v>
      </c>
      <c r="AC120" s="777">
        <v>31.77</v>
      </c>
      <c r="AD120" s="777">
        <v>32.229999999999997</v>
      </c>
      <c r="AE120" s="813">
        <v>7.0000000000000001E-3</v>
      </c>
      <c r="AF120" s="777"/>
      <c r="AG120" s="777"/>
      <c r="AH120" s="777"/>
      <c r="AI120" s="777"/>
      <c r="AJ120" s="777"/>
      <c r="AK120" s="777"/>
      <c r="AL120" s="777"/>
      <c r="AM120" s="777"/>
      <c r="AN120" s="777"/>
      <c r="AO120" s="777"/>
      <c r="AP120" s="777"/>
      <c r="AQ120" s="777"/>
      <c r="AR120" s="777"/>
      <c r="AS120" s="777"/>
      <c r="AT120" s="777"/>
      <c r="AU120" s="777"/>
      <c r="AV120" s="777"/>
      <c r="AW120" s="777"/>
      <c r="AX120" s="777"/>
      <c r="AY120" s="777"/>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row>
    <row r="121" spans="1:72" x14ac:dyDescent="0.25">
      <c r="A121" s="777" t="s">
        <v>608</v>
      </c>
      <c r="B121" s="777">
        <v>23.55</v>
      </c>
      <c r="C121" s="777">
        <v>26.54</v>
      </c>
      <c r="D121" s="777">
        <v>19.149999999999999</v>
      </c>
      <c r="E121" s="777">
        <v>20.55</v>
      </c>
      <c r="F121" s="777">
        <v>20.88</v>
      </c>
      <c r="G121" s="777">
        <v>22.03</v>
      </c>
      <c r="H121" s="777">
        <v>24.01</v>
      </c>
      <c r="I121" s="777">
        <v>24.94</v>
      </c>
      <c r="J121" s="777">
        <v>25.36</v>
      </c>
      <c r="K121" s="777">
        <v>25.93</v>
      </c>
      <c r="L121" s="777">
        <v>26.46</v>
      </c>
      <c r="M121" s="777">
        <v>26.89</v>
      </c>
      <c r="N121" s="777">
        <v>27.2</v>
      </c>
      <c r="O121" s="777">
        <v>27.59</v>
      </c>
      <c r="P121" s="777">
        <v>27.82</v>
      </c>
      <c r="Q121" s="777">
        <v>28.17</v>
      </c>
      <c r="R121" s="777">
        <v>28.41</v>
      </c>
      <c r="S121" s="777">
        <v>28.54</v>
      </c>
      <c r="T121" s="777">
        <v>28.87</v>
      </c>
      <c r="U121" s="777">
        <v>29.18</v>
      </c>
      <c r="V121" s="777">
        <v>29.47</v>
      </c>
      <c r="W121" s="777">
        <v>29.9</v>
      </c>
      <c r="X121" s="777">
        <v>30.27</v>
      </c>
      <c r="Y121" s="777">
        <v>30.41</v>
      </c>
      <c r="Z121" s="777">
        <v>30.76</v>
      </c>
      <c r="AA121" s="777">
        <v>31.16</v>
      </c>
      <c r="AB121" s="777">
        <v>31.43</v>
      </c>
      <c r="AC121" s="777">
        <v>31.81</v>
      </c>
      <c r="AD121" s="777">
        <v>32.32</v>
      </c>
      <c r="AE121" s="813">
        <v>7.0000000000000001E-3</v>
      </c>
      <c r="AF121" s="777"/>
      <c r="AG121" s="777"/>
      <c r="AH121" s="777"/>
      <c r="AI121" s="777"/>
      <c r="AJ121" s="777"/>
      <c r="AK121" s="777"/>
      <c r="AL121" s="777"/>
      <c r="AM121" s="777"/>
      <c r="AN121" s="777"/>
      <c r="AO121" s="777"/>
      <c r="AP121" s="777"/>
      <c r="AQ121" s="777"/>
      <c r="AR121" s="777"/>
      <c r="AS121" s="777"/>
      <c r="AT121" s="777"/>
      <c r="AU121" s="777"/>
      <c r="AV121" s="777"/>
      <c r="AW121" s="777"/>
      <c r="AX121" s="777"/>
      <c r="AY121" s="777"/>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row>
    <row r="122" spans="1:72" x14ac:dyDescent="0.25">
      <c r="A122" s="777" t="s">
        <v>615</v>
      </c>
      <c r="B122" s="777">
        <v>15.77</v>
      </c>
      <c r="C122" s="777">
        <v>22.71</v>
      </c>
      <c r="D122" s="777">
        <v>12.73</v>
      </c>
      <c r="E122" s="777">
        <v>14.79</v>
      </c>
      <c r="F122" s="777">
        <v>15.16</v>
      </c>
      <c r="G122" s="777">
        <v>16.54</v>
      </c>
      <c r="H122" s="777">
        <v>17.690000000000001</v>
      </c>
      <c r="I122" s="777">
        <v>18.46</v>
      </c>
      <c r="J122" s="777">
        <v>19.04</v>
      </c>
      <c r="K122" s="777">
        <v>19.760000000000002</v>
      </c>
      <c r="L122" s="777">
        <v>20.41</v>
      </c>
      <c r="M122" s="777">
        <v>20.97</v>
      </c>
      <c r="N122" s="777">
        <v>21.35</v>
      </c>
      <c r="O122" s="777">
        <v>21.69</v>
      </c>
      <c r="P122" s="777">
        <v>21.85</v>
      </c>
      <c r="Q122" s="777">
        <v>22.09</v>
      </c>
      <c r="R122" s="777">
        <v>22.41</v>
      </c>
      <c r="S122" s="777">
        <v>22.61</v>
      </c>
      <c r="T122" s="777">
        <v>22.92</v>
      </c>
      <c r="U122" s="777">
        <v>23.19</v>
      </c>
      <c r="V122" s="777">
        <v>23.48</v>
      </c>
      <c r="W122" s="777">
        <v>23.9</v>
      </c>
      <c r="X122" s="777">
        <v>24.26</v>
      </c>
      <c r="Y122" s="777">
        <v>24.51</v>
      </c>
      <c r="Z122" s="777">
        <v>24.9</v>
      </c>
      <c r="AA122" s="777">
        <v>25.3</v>
      </c>
      <c r="AB122" s="777">
        <v>25.64</v>
      </c>
      <c r="AC122" s="777">
        <v>26.05</v>
      </c>
      <c r="AD122" s="777">
        <v>26.48</v>
      </c>
      <c r="AE122" s="813">
        <v>6.0000000000000001E-3</v>
      </c>
      <c r="AF122" s="777"/>
      <c r="AG122" s="777"/>
      <c r="AH122" s="777"/>
      <c r="AI122" s="777"/>
      <c r="AJ122" s="777"/>
      <c r="AK122" s="777"/>
      <c r="AL122" s="777"/>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row>
    <row r="123" spans="1:72" x14ac:dyDescent="0.25">
      <c r="A123" s="777" t="s">
        <v>599</v>
      </c>
      <c r="B123" s="777">
        <v>20.71</v>
      </c>
      <c r="C123" s="777">
        <v>26.27</v>
      </c>
      <c r="D123" s="777">
        <v>17.46</v>
      </c>
      <c r="E123" s="777">
        <v>17.73</v>
      </c>
      <c r="F123" s="777">
        <v>18.149999999999999</v>
      </c>
      <c r="G123" s="777">
        <v>19.45</v>
      </c>
      <c r="H123" s="777">
        <v>20.62</v>
      </c>
      <c r="I123" s="777">
        <v>21.35</v>
      </c>
      <c r="J123" s="777">
        <v>22.03</v>
      </c>
      <c r="K123" s="777">
        <v>22.8</v>
      </c>
      <c r="L123" s="777">
        <v>23.45</v>
      </c>
      <c r="M123" s="777">
        <v>24.07</v>
      </c>
      <c r="N123" s="777">
        <v>24.47</v>
      </c>
      <c r="O123" s="777">
        <v>24.79</v>
      </c>
      <c r="P123" s="777">
        <v>24.99</v>
      </c>
      <c r="Q123" s="777">
        <v>25.32</v>
      </c>
      <c r="R123" s="777">
        <v>25.5</v>
      </c>
      <c r="S123" s="777">
        <v>25.59</v>
      </c>
      <c r="T123" s="777">
        <v>25.89</v>
      </c>
      <c r="U123" s="777">
        <v>26.12</v>
      </c>
      <c r="V123" s="777">
        <v>26.38</v>
      </c>
      <c r="W123" s="777">
        <v>26.71</v>
      </c>
      <c r="X123" s="777">
        <v>27.11</v>
      </c>
      <c r="Y123" s="777">
        <v>27.29</v>
      </c>
      <c r="Z123" s="777">
        <v>27.73</v>
      </c>
      <c r="AA123" s="777">
        <v>28.13</v>
      </c>
      <c r="AB123" s="777">
        <v>28.46</v>
      </c>
      <c r="AC123" s="777">
        <v>28.87</v>
      </c>
      <c r="AD123" s="777">
        <v>29.34</v>
      </c>
      <c r="AE123" s="813">
        <v>4.0000000000000001E-3</v>
      </c>
      <c r="AF123" s="777"/>
      <c r="AG123" s="777"/>
      <c r="AH123" s="777"/>
      <c r="AI123" s="777"/>
      <c r="AJ123" s="777"/>
      <c r="AK123" s="777"/>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row>
    <row r="124" spans="1:72" x14ac:dyDescent="0.25">
      <c r="A124" s="777" t="s">
        <v>600</v>
      </c>
      <c r="B124" s="777">
        <v>9.07</v>
      </c>
      <c r="C124" s="777">
        <v>14.77</v>
      </c>
      <c r="D124" s="777">
        <v>8.9600000000000009</v>
      </c>
      <c r="E124" s="777">
        <v>10.9</v>
      </c>
      <c r="F124" s="777">
        <v>11.01</v>
      </c>
      <c r="G124" s="777">
        <v>12.17</v>
      </c>
      <c r="H124" s="777">
        <v>13.13</v>
      </c>
      <c r="I124" s="777">
        <v>13.86</v>
      </c>
      <c r="J124" s="777">
        <v>14.26</v>
      </c>
      <c r="K124" s="777">
        <v>14.63</v>
      </c>
      <c r="L124" s="777">
        <v>15.14</v>
      </c>
      <c r="M124" s="777">
        <v>15.55</v>
      </c>
      <c r="N124" s="777">
        <v>15.76</v>
      </c>
      <c r="O124" s="777">
        <v>15.81</v>
      </c>
      <c r="P124" s="777">
        <v>16.05</v>
      </c>
      <c r="Q124" s="777">
        <v>16.190000000000001</v>
      </c>
      <c r="R124" s="777">
        <v>16.399999999999999</v>
      </c>
      <c r="S124" s="777">
        <v>16.600000000000001</v>
      </c>
      <c r="T124" s="777">
        <v>16.8</v>
      </c>
      <c r="U124" s="777">
        <v>16.850000000000001</v>
      </c>
      <c r="V124" s="777">
        <v>17.13</v>
      </c>
      <c r="W124" s="777">
        <v>17.37</v>
      </c>
      <c r="X124" s="777">
        <v>17.66</v>
      </c>
      <c r="Y124" s="777">
        <v>17.96</v>
      </c>
      <c r="Z124" s="777">
        <v>18.3</v>
      </c>
      <c r="AA124" s="777">
        <v>18.559999999999999</v>
      </c>
      <c r="AB124" s="777">
        <v>18.79</v>
      </c>
      <c r="AC124" s="777">
        <v>19.12</v>
      </c>
      <c r="AD124" s="777">
        <v>19.46</v>
      </c>
      <c r="AE124" s="813">
        <v>0.01</v>
      </c>
      <c r="AF124" s="777"/>
      <c r="AG124" s="777"/>
      <c r="AH124" s="777"/>
      <c r="AI124" s="777"/>
      <c r="AJ124" s="777"/>
      <c r="AK124" s="777"/>
      <c r="AL124" s="777"/>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row>
    <row r="125" spans="1:72" x14ac:dyDescent="0.25">
      <c r="A125" s="777" t="s">
        <v>500</v>
      </c>
      <c r="B125" s="777">
        <v>9.19</v>
      </c>
      <c r="C125" s="777">
        <v>10.53</v>
      </c>
      <c r="D125" s="777">
        <v>6.57</v>
      </c>
      <c r="E125" s="777">
        <v>6.87</v>
      </c>
      <c r="F125" s="777">
        <v>7.87</v>
      </c>
      <c r="G125" s="777">
        <v>8.1999999999999993</v>
      </c>
      <c r="H125" s="777">
        <v>8.0500000000000007</v>
      </c>
      <c r="I125" s="777">
        <v>8.02</v>
      </c>
      <c r="J125" s="777">
        <v>8.14</v>
      </c>
      <c r="K125" s="777">
        <v>8.2200000000000006</v>
      </c>
      <c r="L125" s="777">
        <v>8.2200000000000006</v>
      </c>
      <c r="M125" s="777">
        <v>8.27</v>
      </c>
      <c r="N125" s="777">
        <v>8.33</v>
      </c>
      <c r="O125" s="777">
        <v>8.44</v>
      </c>
      <c r="P125" s="777">
        <v>8.5500000000000007</v>
      </c>
      <c r="Q125" s="777">
        <v>8.73</v>
      </c>
      <c r="R125" s="777">
        <v>8.77</v>
      </c>
      <c r="S125" s="777">
        <v>8.68</v>
      </c>
      <c r="T125" s="777">
        <v>8.75</v>
      </c>
      <c r="U125" s="777">
        <v>8.89</v>
      </c>
      <c r="V125" s="777">
        <v>9.0399999999999991</v>
      </c>
      <c r="W125" s="777">
        <v>9.26</v>
      </c>
      <c r="X125" s="777">
        <v>9.49</v>
      </c>
      <c r="Y125" s="777">
        <v>9.74</v>
      </c>
      <c r="Z125" s="777">
        <v>10.050000000000001</v>
      </c>
      <c r="AA125" s="777">
        <v>10.17</v>
      </c>
      <c r="AB125" s="777">
        <v>10.210000000000001</v>
      </c>
      <c r="AC125" s="777">
        <v>10.4</v>
      </c>
      <c r="AD125" s="777">
        <v>10.54</v>
      </c>
      <c r="AE125" s="813">
        <v>0</v>
      </c>
      <c r="AF125" s="777"/>
      <c r="AG125" s="777"/>
      <c r="AH125" s="777"/>
      <c r="AI125" s="777"/>
      <c r="AJ125" s="777"/>
      <c r="AK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row>
    <row r="126" spans="1:72" x14ac:dyDescent="0.25">
      <c r="A126" s="777" t="s">
        <v>603</v>
      </c>
      <c r="B126" s="777">
        <v>3.69</v>
      </c>
      <c r="C126" s="777">
        <v>4.49</v>
      </c>
      <c r="D126" s="777">
        <v>4.72</v>
      </c>
      <c r="E126" s="777">
        <v>4.8</v>
      </c>
      <c r="F126" s="777">
        <v>4.8600000000000003</v>
      </c>
      <c r="G126" s="777">
        <v>5.0199999999999996</v>
      </c>
      <c r="H126" s="777">
        <v>5.05</v>
      </c>
      <c r="I126" s="777">
        <v>5.08</v>
      </c>
      <c r="J126" s="777">
        <v>5.08</v>
      </c>
      <c r="K126" s="777">
        <v>5.09</v>
      </c>
      <c r="L126" s="777">
        <v>5.16</v>
      </c>
      <c r="M126" s="777">
        <v>5.22</v>
      </c>
      <c r="N126" s="777">
        <v>5.29</v>
      </c>
      <c r="O126" s="777">
        <v>5.32</v>
      </c>
      <c r="P126" s="777">
        <v>5.35</v>
      </c>
      <c r="Q126" s="777">
        <v>5.36</v>
      </c>
      <c r="R126" s="777">
        <v>5.35</v>
      </c>
      <c r="S126" s="777">
        <v>5.32</v>
      </c>
      <c r="T126" s="777">
        <v>5.24</v>
      </c>
      <c r="U126" s="777">
        <v>5.16</v>
      </c>
      <c r="V126" s="777">
        <v>5.14</v>
      </c>
      <c r="W126" s="777">
        <v>5.14</v>
      </c>
      <c r="X126" s="777">
        <v>5.1100000000000003</v>
      </c>
      <c r="Y126" s="777">
        <v>5.1100000000000003</v>
      </c>
      <c r="Z126" s="777">
        <v>5.09</v>
      </c>
      <c r="AA126" s="777">
        <v>5.08</v>
      </c>
      <c r="AB126" s="777">
        <v>5.08</v>
      </c>
      <c r="AC126" s="777">
        <v>5.0599999999999996</v>
      </c>
      <c r="AD126" s="777">
        <v>5.0599999999999996</v>
      </c>
      <c r="AE126" s="813">
        <v>4.0000000000000001E-3</v>
      </c>
      <c r="AF126" s="777"/>
      <c r="AG126" s="777"/>
      <c r="AH126" s="777"/>
      <c r="AI126" s="777"/>
      <c r="AJ126" s="777"/>
      <c r="AK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row>
    <row r="127" spans="1:72" x14ac:dyDescent="0.25">
      <c r="A127" s="777" t="s">
        <v>616</v>
      </c>
      <c r="B127" s="777">
        <v>1.84</v>
      </c>
      <c r="C127" s="777">
        <v>2.1</v>
      </c>
      <c r="D127" s="777">
        <v>2.19</v>
      </c>
      <c r="E127" s="777">
        <v>2.0299999999999998</v>
      </c>
      <c r="F127" s="777">
        <v>2.02</v>
      </c>
      <c r="G127" s="777">
        <v>2.0299999999999998</v>
      </c>
      <c r="H127" s="777">
        <v>2.0299999999999998</v>
      </c>
      <c r="I127" s="777">
        <v>2.0299999999999998</v>
      </c>
      <c r="J127" s="777">
        <v>2.0499999999999998</v>
      </c>
      <c r="K127" s="777">
        <v>2.0299999999999998</v>
      </c>
      <c r="L127" s="777">
        <v>2.04</v>
      </c>
      <c r="M127" s="777">
        <v>2.0299999999999998</v>
      </c>
      <c r="N127" s="777">
        <v>2.02</v>
      </c>
      <c r="O127" s="777">
        <v>2.02</v>
      </c>
      <c r="P127" s="777">
        <v>2.02</v>
      </c>
      <c r="Q127" s="777">
        <v>2.0299999999999998</v>
      </c>
      <c r="R127" s="777">
        <v>2.02</v>
      </c>
      <c r="S127" s="777">
        <v>2.02</v>
      </c>
      <c r="T127" s="777">
        <v>2.02</v>
      </c>
      <c r="U127" s="777">
        <v>2.0299999999999998</v>
      </c>
      <c r="V127" s="777">
        <v>2.0299999999999998</v>
      </c>
      <c r="W127" s="777">
        <v>2.04</v>
      </c>
      <c r="X127" s="777">
        <v>2.0499999999999998</v>
      </c>
      <c r="Y127" s="777">
        <v>2.06</v>
      </c>
      <c r="Z127" s="777">
        <v>2.0699999999999998</v>
      </c>
      <c r="AA127" s="777">
        <v>2.08</v>
      </c>
      <c r="AB127" s="777">
        <v>2.09</v>
      </c>
      <c r="AC127" s="777">
        <v>2.1</v>
      </c>
      <c r="AD127" s="777">
        <v>2.12</v>
      </c>
      <c r="AE127" s="813">
        <v>0</v>
      </c>
      <c r="AF127" s="777"/>
      <c r="AG127" s="777"/>
      <c r="AH127" s="777"/>
      <c r="AI127" s="777"/>
      <c r="AJ127" s="777"/>
      <c r="AK127" s="777"/>
      <c r="AL127" s="777"/>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row>
    <row r="128" spans="1:72" x14ac:dyDescent="0.25">
      <c r="A128" s="777" t="s">
        <v>605</v>
      </c>
      <c r="B128" s="777" t="s">
        <v>777</v>
      </c>
      <c r="C128" s="777" t="s">
        <v>777</v>
      </c>
      <c r="D128" s="777" t="s">
        <v>777</v>
      </c>
      <c r="E128" s="777" t="s">
        <v>777</v>
      </c>
      <c r="F128" s="777">
        <v>1.26</v>
      </c>
      <c r="G128" s="777">
        <v>1.04</v>
      </c>
      <c r="H128" s="777">
        <v>1.04</v>
      </c>
      <c r="I128" s="777">
        <v>1.41</v>
      </c>
      <c r="J128" s="777">
        <v>1.42</v>
      </c>
      <c r="K128" s="777">
        <v>1.46</v>
      </c>
      <c r="L128" s="777">
        <v>1.48</v>
      </c>
      <c r="M128" s="777">
        <v>1.48</v>
      </c>
      <c r="N128" s="777">
        <v>1.47</v>
      </c>
      <c r="O128" s="777">
        <v>1.46</v>
      </c>
      <c r="P128" s="777">
        <v>1.49</v>
      </c>
      <c r="Q128" s="777">
        <v>1.5</v>
      </c>
      <c r="R128" s="777">
        <v>1.52</v>
      </c>
      <c r="S128" s="777">
        <v>1.49</v>
      </c>
      <c r="T128" s="777">
        <v>1.49</v>
      </c>
      <c r="U128" s="777">
        <v>1.47</v>
      </c>
      <c r="V128" s="777">
        <v>1.46</v>
      </c>
      <c r="W128" s="777">
        <v>1.45</v>
      </c>
      <c r="X128" s="777">
        <v>1.44</v>
      </c>
      <c r="Y128" s="777">
        <v>1.44</v>
      </c>
      <c r="Z128" s="777">
        <v>1.44</v>
      </c>
      <c r="AA128" s="777">
        <v>1.44</v>
      </c>
      <c r="AB128" s="777">
        <v>1.46</v>
      </c>
      <c r="AC128" s="777">
        <v>1.48</v>
      </c>
      <c r="AD128" s="777">
        <v>1.51</v>
      </c>
      <c r="AE128" s="777" t="s">
        <v>777</v>
      </c>
      <c r="AF128" s="777"/>
      <c r="AG128" s="777"/>
      <c r="AH128" s="777"/>
      <c r="AI128" s="777"/>
      <c r="AJ128" s="777"/>
      <c r="AK128" s="777"/>
      <c r="AL128" s="777"/>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row>
    <row r="129" spans="1:72" x14ac:dyDescent="0.25">
      <c r="A129" s="777" t="s">
        <v>469</v>
      </c>
      <c r="B129" s="777">
        <v>27.25</v>
      </c>
      <c r="C129" s="777">
        <v>28.81</v>
      </c>
      <c r="D129" s="777">
        <v>28.07</v>
      </c>
      <c r="E129" s="777">
        <v>26.77</v>
      </c>
      <c r="F129" s="777">
        <v>25.2</v>
      </c>
      <c r="G129" s="777">
        <v>26.1</v>
      </c>
      <c r="H129" s="777">
        <v>26.17</v>
      </c>
      <c r="I129" s="777">
        <v>25.97</v>
      </c>
      <c r="J129" s="777">
        <v>25.95</v>
      </c>
      <c r="K129" s="777">
        <v>26.2</v>
      </c>
      <c r="L129" s="777">
        <v>26.36</v>
      </c>
      <c r="M129" s="777">
        <v>26.37</v>
      </c>
      <c r="N129" s="777">
        <v>26.31</v>
      </c>
      <c r="O129" s="777">
        <v>26.51</v>
      </c>
      <c r="P129" s="777">
        <v>26.7</v>
      </c>
      <c r="Q129" s="777">
        <v>26.84</v>
      </c>
      <c r="R129" s="777">
        <v>27.04</v>
      </c>
      <c r="S129" s="777">
        <v>27.19</v>
      </c>
      <c r="T129" s="777">
        <v>27.17</v>
      </c>
      <c r="U129" s="777">
        <v>27.33</v>
      </c>
      <c r="V129" s="777">
        <v>27.53</v>
      </c>
      <c r="W129" s="777">
        <v>27.74</v>
      </c>
      <c r="X129" s="777">
        <v>28.16</v>
      </c>
      <c r="Y129" s="777">
        <v>28.49</v>
      </c>
      <c r="Z129" s="777">
        <v>28.86</v>
      </c>
      <c r="AA129" s="777">
        <v>29.21</v>
      </c>
      <c r="AB129" s="777">
        <v>29.38</v>
      </c>
      <c r="AC129" s="777">
        <v>29.64</v>
      </c>
      <c r="AD129" s="777">
        <v>29.87</v>
      </c>
      <c r="AE129" s="813">
        <v>1E-3</v>
      </c>
      <c r="AF129" s="777"/>
      <c r="AG129" s="777"/>
      <c r="AH129" s="777"/>
      <c r="AI129" s="777"/>
      <c r="AJ129" s="777"/>
      <c r="AK129" s="777"/>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row>
    <row r="130" spans="1:72" x14ac:dyDescent="0.25">
      <c r="A130" s="777"/>
      <c r="B130" s="777"/>
      <c r="C130" s="777"/>
      <c r="D130" s="777"/>
      <c r="E130" s="777"/>
      <c r="F130" s="777"/>
      <c r="G130" s="777"/>
      <c r="H130" s="777"/>
      <c r="I130" s="777"/>
      <c r="J130" s="777"/>
      <c r="K130" s="777"/>
      <c r="L130" s="777"/>
      <c r="M130" s="777"/>
      <c r="N130" s="777"/>
      <c r="O130" s="777"/>
      <c r="P130" s="777"/>
      <c r="Q130" s="777"/>
      <c r="R130" s="777"/>
      <c r="S130" s="777"/>
      <c r="T130" s="777"/>
      <c r="U130" s="777"/>
      <c r="V130" s="777"/>
      <c r="W130" s="777"/>
      <c r="X130" s="777"/>
      <c r="Y130" s="777"/>
      <c r="Z130" s="777"/>
      <c r="AA130" s="777"/>
      <c r="AB130" s="777"/>
      <c r="AC130" s="777"/>
      <c r="AD130" s="777"/>
      <c r="AE130" s="777"/>
      <c r="AF130" s="777"/>
      <c r="AG130" s="777"/>
      <c r="AH130" s="777"/>
      <c r="AI130" s="777"/>
      <c r="AJ130" s="777"/>
      <c r="AK130" s="777"/>
      <c r="AL130" s="777"/>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row>
    <row r="131" spans="1:72" x14ac:dyDescent="0.25">
      <c r="A131" s="777" t="s">
        <v>503</v>
      </c>
      <c r="B131" s="777"/>
      <c r="C131" s="777"/>
      <c r="D131" s="777"/>
      <c r="E131" s="777"/>
      <c r="F131" s="777"/>
      <c r="G131" s="777"/>
      <c r="H131" s="777"/>
      <c r="I131" s="777"/>
      <c r="J131" s="777"/>
      <c r="K131" s="777"/>
      <c r="L131" s="777"/>
      <c r="M131" s="777"/>
      <c r="N131" s="777"/>
      <c r="O131" s="777"/>
      <c r="P131" s="777"/>
      <c r="Q131" s="777"/>
      <c r="R131" s="777"/>
      <c r="S131" s="777"/>
      <c r="T131" s="777"/>
      <c r="U131" s="777"/>
      <c r="V131" s="777"/>
      <c r="W131" s="777"/>
      <c r="X131" s="777"/>
      <c r="Y131" s="777"/>
      <c r="Z131" s="777"/>
      <c r="AA131" s="777"/>
      <c r="AB131" s="777"/>
      <c r="AC131" s="777"/>
      <c r="AD131" s="777"/>
      <c r="AE131" s="777"/>
      <c r="AF131" s="777"/>
      <c r="AG131" s="777"/>
      <c r="AH131" s="777"/>
      <c r="AI131" s="777"/>
      <c r="AJ131" s="777"/>
      <c r="AK131" s="777"/>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row>
    <row r="132" spans="1:72" x14ac:dyDescent="0.25">
      <c r="A132" s="777" t="s">
        <v>778</v>
      </c>
      <c r="B132" s="777"/>
      <c r="C132" s="777"/>
      <c r="D132" s="777"/>
      <c r="E132" s="777"/>
      <c r="F132" s="777"/>
      <c r="G132" s="777"/>
      <c r="H132" s="777"/>
      <c r="I132" s="777"/>
      <c r="J132" s="777"/>
      <c r="K132" s="777"/>
      <c r="L132" s="777"/>
      <c r="M132" s="777"/>
      <c r="N132" s="777"/>
      <c r="O132" s="777"/>
      <c r="P132" s="777"/>
      <c r="Q132" s="777"/>
      <c r="R132" s="777"/>
      <c r="S132" s="777"/>
      <c r="T132" s="777"/>
      <c r="U132" s="777"/>
      <c r="V132" s="777"/>
      <c r="W132" s="777"/>
      <c r="X132" s="777"/>
      <c r="Y132" s="777"/>
      <c r="Z132" s="777"/>
      <c r="AA132" s="777"/>
      <c r="AB132" s="777"/>
      <c r="AC132" s="777"/>
      <c r="AD132" s="777"/>
      <c r="AE132" s="777"/>
      <c r="AF132" s="777"/>
      <c r="AG132" s="777"/>
      <c r="AH132" s="777"/>
      <c r="AI132" s="777"/>
      <c r="AJ132" s="777"/>
      <c r="AK132" s="777"/>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row>
    <row r="133" spans="1:72" x14ac:dyDescent="0.25">
      <c r="A133" s="777" t="s">
        <v>463</v>
      </c>
      <c r="B133" s="777">
        <v>241.67</v>
      </c>
      <c r="C133" s="777">
        <v>254.66</v>
      </c>
      <c r="D133" s="777">
        <v>231.65</v>
      </c>
      <c r="E133" s="777">
        <v>223.76</v>
      </c>
      <c r="F133" s="777">
        <v>222.61</v>
      </c>
      <c r="G133" s="777">
        <v>230.62</v>
      </c>
      <c r="H133" s="777">
        <v>228.9</v>
      </c>
      <c r="I133" s="777">
        <v>229.4</v>
      </c>
      <c r="J133" s="777">
        <v>230.89</v>
      </c>
      <c r="K133" s="777">
        <v>234.53</v>
      </c>
      <c r="L133" s="777">
        <v>236.76</v>
      </c>
      <c r="M133" s="777">
        <v>239.14</v>
      </c>
      <c r="N133" s="777">
        <v>241.36</v>
      </c>
      <c r="O133" s="777">
        <v>245.14</v>
      </c>
      <c r="P133" s="777">
        <v>247.96</v>
      </c>
      <c r="Q133" s="777">
        <v>251.14</v>
      </c>
      <c r="R133" s="777">
        <v>253.92</v>
      </c>
      <c r="S133" s="777">
        <v>256.67</v>
      </c>
      <c r="T133" s="777">
        <v>258.7</v>
      </c>
      <c r="U133" s="777">
        <v>262.54000000000002</v>
      </c>
      <c r="V133" s="777">
        <v>266.58999999999997</v>
      </c>
      <c r="W133" s="777">
        <v>271.26</v>
      </c>
      <c r="X133" s="777">
        <v>275.8</v>
      </c>
      <c r="Y133" s="777">
        <v>280.39999999999998</v>
      </c>
      <c r="Z133" s="777">
        <v>285.83</v>
      </c>
      <c r="AA133" s="777">
        <v>290.58999999999997</v>
      </c>
      <c r="AB133" s="777">
        <v>292.89999999999998</v>
      </c>
      <c r="AC133" s="777">
        <v>297.16000000000003</v>
      </c>
      <c r="AD133" s="777">
        <v>301.11</v>
      </c>
      <c r="AE133" s="813">
        <v>6.0000000000000001E-3</v>
      </c>
      <c r="AF133" s="777"/>
      <c r="AG133" s="777"/>
      <c r="AH133" s="777"/>
      <c r="AI133" s="777"/>
      <c r="AJ133" s="777"/>
      <c r="AK133" s="777"/>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row>
    <row r="134" spans="1:72" x14ac:dyDescent="0.25">
      <c r="A134" s="777" t="s">
        <v>470</v>
      </c>
      <c r="B134" s="777">
        <v>176.61</v>
      </c>
      <c r="C134" s="777">
        <v>191.19</v>
      </c>
      <c r="D134" s="777">
        <v>168.7</v>
      </c>
      <c r="E134" s="777">
        <v>163.43</v>
      </c>
      <c r="F134" s="777">
        <v>163.69</v>
      </c>
      <c r="G134" s="777">
        <v>172.64</v>
      </c>
      <c r="H134" s="777">
        <v>173.85</v>
      </c>
      <c r="I134" s="777">
        <v>174.18</v>
      </c>
      <c r="J134" s="777">
        <v>176.9</v>
      </c>
      <c r="K134" s="777">
        <v>180.82</v>
      </c>
      <c r="L134" s="777">
        <v>184.11</v>
      </c>
      <c r="M134" s="777">
        <v>186.86</v>
      </c>
      <c r="N134" s="777">
        <v>189.36</v>
      </c>
      <c r="O134" s="777">
        <v>193.15</v>
      </c>
      <c r="P134" s="777">
        <v>196.83</v>
      </c>
      <c r="Q134" s="777">
        <v>200.4</v>
      </c>
      <c r="R134" s="777">
        <v>204.1</v>
      </c>
      <c r="S134" s="777">
        <v>207.27</v>
      </c>
      <c r="T134" s="777">
        <v>210.07</v>
      </c>
      <c r="U134" s="777">
        <v>214.23</v>
      </c>
      <c r="V134" s="777">
        <v>218.63</v>
      </c>
      <c r="W134" s="777">
        <v>223.34</v>
      </c>
      <c r="X134" s="777">
        <v>229.36</v>
      </c>
      <c r="Y134" s="777">
        <v>234.79</v>
      </c>
      <c r="Z134" s="777">
        <v>240.94</v>
      </c>
      <c r="AA134" s="777">
        <v>246.37</v>
      </c>
      <c r="AB134" s="777">
        <v>250.61</v>
      </c>
      <c r="AC134" s="777">
        <v>256.01</v>
      </c>
      <c r="AD134" s="777">
        <v>261.07</v>
      </c>
      <c r="AE134" s="813">
        <v>1.2E-2</v>
      </c>
      <c r="AF134" s="777"/>
      <c r="AG134" s="777"/>
      <c r="AH134" s="777"/>
      <c r="AI134" s="777"/>
      <c r="AJ134" s="777"/>
      <c r="AK134" s="777"/>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row>
    <row r="135" spans="1:72" x14ac:dyDescent="0.25">
      <c r="A135" s="777" t="s">
        <v>505</v>
      </c>
      <c r="B135" s="777">
        <v>219.69</v>
      </c>
      <c r="C135" s="777">
        <v>244.81</v>
      </c>
      <c r="D135" s="777">
        <v>175.42</v>
      </c>
      <c r="E135" s="777">
        <v>163.24</v>
      </c>
      <c r="F135" s="777">
        <v>173.51</v>
      </c>
      <c r="G135" s="777">
        <v>191.66</v>
      </c>
      <c r="H135" s="777">
        <v>201.52</v>
      </c>
      <c r="I135" s="777">
        <v>207.49</v>
      </c>
      <c r="J135" s="777">
        <v>213.14</v>
      </c>
      <c r="K135" s="777">
        <v>218.86</v>
      </c>
      <c r="L135" s="777">
        <v>223.15</v>
      </c>
      <c r="M135" s="777">
        <v>228.05</v>
      </c>
      <c r="N135" s="777">
        <v>231.33</v>
      </c>
      <c r="O135" s="777">
        <v>234.86</v>
      </c>
      <c r="P135" s="777">
        <v>236.42</v>
      </c>
      <c r="Q135" s="777">
        <v>237.67</v>
      </c>
      <c r="R135" s="777">
        <v>239.07</v>
      </c>
      <c r="S135" s="777">
        <v>240.3</v>
      </c>
      <c r="T135" s="777">
        <v>241.75</v>
      </c>
      <c r="U135" s="777">
        <v>242.96</v>
      </c>
      <c r="V135" s="777">
        <v>245.17</v>
      </c>
      <c r="W135" s="777">
        <v>247.67</v>
      </c>
      <c r="X135" s="777">
        <v>250.95</v>
      </c>
      <c r="Y135" s="777">
        <v>253.51</v>
      </c>
      <c r="Z135" s="777">
        <v>257.7</v>
      </c>
      <c r="AA135" s="777">
        <v>259.55</v>
      </c>
      <c r="AB135" s="777">
        <v>261.58</v>
      </c>
      <c r="AC135" s="777">
        <v>265.05</v>
      </c>
      <c r="AD135" s="777">
        <v>267.18</v>
      </c>
      <c r="AE135" s="813">
        <v>3.0000000000000001E-3</v>
      </c>
      <c r="AF135" s="777"/>
      <c r="AG135" s="777"/>
      <c r="AH135" s="777"/>
      <c r="AI135" s="777"/>
      <c r="AJ135" s="777"/>
      <c r="AK135" s="777"/>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row>
    <row r="136" spans="1:72" x14ac:dyDescent="0.25">
      <c r="A136" s="777" t="s">
        <v>477</v>
      </c>
      <c r="B136" s="777">
        <v>613.37</v>
      </c>
      <c r="C136" s="777">
        <v>705.86</v>
      </c>
      <c r="D136" s="777">
        <v>465.68</v>
      </c>
      <c r="E136" s="777">
        <v>508.22</v>
      </c>
      <c r="F136" s="777">
        <v>528.5</v>
      </c>
      <c r="G136" s="777">
        <v>567.33000000000004</v>
      </c>
      <c r="H136" s="777">
        <v>615.79</v>
      </c>
      <c r="I136" s="777">
        <v>640.91999999999996</v>
      </c>
      <c r="J136" s="777">
        <v>655.77</v>
      </c>
      <c r="K136" s="777">
        <v>671.91</v>
      </c>
      <c r="L136" s="777">
        <v>690.32</v>
      </c>
      <c r="M136" s="777">
        <v>704.34</v>
      </c>
      <c r="N136" s="777">
        <v>717.08</v>
      </c>
      <c r="O136" s="777">
        <v>729.77</v>
      </c>
      <c r="P136" s="777">
        <v>737.71</v>
      </c>
      <c r="Q136" s="777">
        <v>743.52</v>
      </c>
      <c r="R136" s="777">
        <v>757.24</v>
      </c>
      <c r="S136" s="777">
        <v>767.89</v>
      </c>
      <c r="T136" s="777">
        <v>782.71</v>
      </c>
      <c r="U136" s="777">
        <v>795.25</v>
      </c>
      <c r="V136" s="777">
        <v>808.06</v>
      </c>
      <c r="W136" s="777">
        <v>822.03</v>
      </c>
      <c r="X136" s="777">
        <v>834.45</v>
      </c>
      <c r="Y136" s="777">
        <v>846.64</v>
      </c>
      <c r="Z136" s="777">
        <v>856.24</v>
      </c>
      <c r="AA136" s="777">
        <v>869.12</v>
      </c>
      <c r="AB136" s="777">
        <v>883.55</v>
      </c>
      <c r="AC136" s="777">
        <v>894.05</v>
      </c>
      <c r="AD136" s="777">
        <v>908.01</v>
      </c>
      <c r="AE136" s="813">
        <v>8.9999999999999993E-3</v>
      </c>
      <c r="AF136" s="777"/>
      <c r="AG136" s="777"/>
      <c r="AH136" s="777"/>
      <c r="AI136" s="777"/>
      <c r="AJ136" s="777"/>
      <c r="AK136" s="777"/>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row>
    <row r="137" spans="1:72" x14ac:dyDescent="0.25">
      <c r="A137" s="777" t="s">
        <v>506</v>
      </c>
      <c r="B137" s="777">
        <v>1251.3499999999999</v>
      </c>
      <c r="C137" s="777">
        <v>1396.52</v>
      </c>
      <c r="D137" s="777">
        <v>1041.45</v>
      </c>
      <c r="E137" s="777">
        <v>1058.6500000000001</v>
      </c>
      <c r="F137" s="777">
        <v>1088.31</v>
      </c>
      <c r="G137" s="777">
        <v>1162.25</v>
      </c>
      <c r="H137" s="777">
        <v>1220.05</v>
      </c>
      <c r="I137" s="777">
        <v>1251.99</v>
      </c>
      <c r="J137" s="777">
        <v>1276.69</v>
      </c>
      <c r="K137" s="777">
        <v>1306.1199999999999</v>
      </c>
      <c r="L137" s="777">
        <v>1334.33</v>
      </c>
      <c r="M137" s="777">
        <v>1358.39</v>
      </c>
      <c r="N137" s="777">
        <v>1379.14</v>
      </c>
      <c r="O137" s="777">
        <v>1402.91</v>
      </c>
      <c r="P137" s="777">
        <v>1418.92</v>
      </c>
      <c r="Q137" s="777">
        <v>1432.73</v>
      </c>
      <c r="R137" s="777">
        <v>1454.32</v>
      </c>
      <c r="S137" s="777">
        <v>1472.13</v>
      </c>
      <c r="T137" s="777">
        <v>1493.23</v>
      </c>
      <c r="U137" s="777">
        <v>1514.98</v>
      </c>
      <c r="V137" s="777">
        <v>1538.45</v>
      </c>
      <c r="W137" s="777">
        <v>1564.3</v>
      </c>
      <c r="X137" s="777">
        <v>1590.55</v>
      </c>
      <c r="Y137" s="777">
        <v>1615.34</v>
      </c>
      <c r="Z137" s="777">
        <v>1640.71</v>
      </c>
      <c r="AA137" s="777">
        <v>1665.62</v>
      </c>
      <c r="AB137" s="777">
        <v>1688.65</v>
      </c>
      <c r="AC137" s="777">
        <v>1712.28</v>
      </c>
      <c r="AD137" s="777">
        <v>1737.37</v>
      </c>
      <c r="AE137" s="813">
        <v>8.0000000000000002E-3</v>
      </c>
      <c r="AF137" s="777"/>
      <c r="AG137" s="777"/>
      <c r="AH137" s="777"/>
      <c r="AI137" s="777"/>
      <c r="AJ137" s="777"/>
      <c r="AK137" s="777"/>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row>
    <row r="138" spans="1:72" x14ac:dyDescent="0.25">
      <c r="A138" s="777" t="s">
        <v>618</v>
      </c>
      <c r="B138" s="777">
        <v>0.05</v>
      </c>
      <c r="C138" s="777">
        <v>0.17</v>
      </c>
      <c r="D138" s="777">
        <v>0.04</v>
      </c>
      <c r="E138" s="777">
        <v>0.09</v>
      </c>
      <c r="F138" s="777">
        <v>0.11</v>
      </c>
      <c r="G138" s="777">
        <v>0.13</v>
      </c>
      <c r="H138" s="777">
        <v>0.15</v>
      </c>
      <c r="I138" s="777">
        <v>0.17</v>
      </c>
      <c r="J138" s="777">
        <v>0.21</v>
      </c>
      <c r="K138" s="777">
        <v>2.34</v>
      </c>
      <c r="L138" s="777">
        <v>3.15</v>
      </c>
      <c r="M138" s="777">
        <v>4</v>
      </c>
      <c r="N138" s="777">
        <v>5.31</v>
      </c>
      <c r="O138" s="777">
        <v>7.12</v>
      </c>
      <c r="P138" s="777">
        <v>9.59</v>
      </c>
      <c r="Q138" s="777">
        <v>17.39</v>
      </c>
      <c r="R138" s="777">
        <v>15.56</v>
      </c>
      <c r="S138" s="777">
        <v>14.53</v>
      </c>
      <c r="T138" s="777">
        <v>15.06</v>
      </c>
      <c r="U138" s="777">
        <v>16.98</v>
      </c>
      <c r="V138" s="777">
        <v>18.95</v>
      </c>
      <c r="W138" s="777">
        <v>20.57</v>
      </c>
      <c r="X138" s="777">
        <v>23.66</v>
      </c>
      <c r="Y138" s="777">
        <v>25.05</v>
      </c>
      <c r="Z138" s="777">
        <v>31.91</v>
      </c>
      <c r="AA138" s="777">
        <v>36.74</v>
      </c>
      <c r="AB138" s="777">
        <v>40.74</v>
      </c>
      <c r="AC138" s="777">
        <v>48.35</v>
      </c>
      <c r="AD138" s="777">
        <v>56.42</v>
      </c>
      <c r="AE138" s="813">
        <v>0.24099999999999999</v>
      </c>
      <c r="AF138" s="777"/>
      <c r="AG138" s="777"/>
      <c r="AH138" s="777"/>
      <c r="AI138" s="777"/>
      <c r="AJ138" s="777"/>
      <c r="AK138" s="777"/>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row>
    <row r="139" spans="1:72" x14ac:dyDescent="0.25">
      <c r="A139" s="777" t="s">
        <v>508</v>
      </c>
      <c r="B139" s="777">
        <v>1251.3900000000001</v>
      </c>
      <c r="C139" s="777">
        <v>1396.69</v>
      </c>
      <c r="D139" s="777">
        <v>1041.49</v>
      </c>
      <c r="E139" s="777">
        <v>1058.74</v>
      </c>
      <c r="F139" s="777">
        <v>1088.42</v>
      </c>
      <c r="G139" s="777">
        <v>1162.3699999999999</v>
      </c>
      <c r="H139" s="777">
        <v>1220.2</v>
      </c>
      <c r="I139" s="777">
        <v>1252.1600000000001</v>
      </c>
      <c r="J139" s="777">
        <v>1276.9000000000001</v>
      </c>
      <c r="K139" s="777">
        <v>1308.46</v>
      </c>
      <c r="L139" s="777">
        <v>1337.48</v>
      </c>
      <c r="M139" s="777">
        <v>1362.4</v>
      </c>
      <c r="N139" s="777">
        <v>1384.44</v>
      </c>
      <c r="O139" s="777">
        <v>1410.03</v>
      </c>
      <c r="P139" s="777">
        <v>1428.51</v>
      </c>
      <c r="Q139" s="777">
        <v>1450.12</v>
      </c>
      <c r="R139" s="777">
        <v>1469.88</v>
      </c>
      <c r="S139" s="777">
        <v>1486.66</v>
      </c>
      <c r="T139" s="777">
        <v>1508.29</v>
      </c>
      <c r="U139" s="777">
        <v>1531.96</v>
      </c>
      <c r="V139" s="777">
        <v>1557.41</v>
      </c>
      <c r="W139" s="777">
        <v>1584.86</v>
      </c>
      <c r="X139" s="777">
        <v>1614.21</v>
      </c>
      <c r="Y139" s="777">
        <v>1640.39</v>
      </c>
      <c r="Z139" s="777">
        <v>1672.62</v>
      </c>
      <c r="AA139" s="777">
        <v>1702.37</v>
      </c>
      <c r="AB139" s="777">
        <v>1729.39</v>
      </c>
      <c r="AC139" s="777">
        <v>1760.62</v>
      </c>
      <c r="AD139" s="777">
        <v>1793.79</v>
      </c>
      <c r="AE139" s="813">
        <v>8.9999999999999993E-3</v>
      </c>
      <c r="AF139" s="777"/>
      <c r="AG139" s="777"/>
      <c r="AH139" s="777"/>
      <c r="AI139" s="777"/>
      <c r="AJ139" s="777"/>
      <c r="AK139" s="777"/>
      <c r="AL139" s="777"/>
      <c r="AM139" s="777"/>
      <c r="AN139" s="777"/>
      <c r="AO139" s="777"/>
      <c r="AP139" s="777"/>
      <c r="AQ139" s="777"/>
      <c r="AR139" s="777"/>
      <c r="AS139" s="777"/>
      <c r="AT139" s="777"/>
      <c r="AU139" s="777"/>
      <c r="AV139" s="777"/>
      <c r="AW139" s="777"/>
      <c r="AX139" s="777"/>
      <c r="AY139" s="777"/>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row>
    <row r="140" spans="1:72" x14ac:dyDescent="0.25">
      <c r="A140" s="777"/>
      <c r="B140" s="777"/>
      <c r="C140" s="777"/>
      <c r="D140" s="777"/>
      <c r="E140" s="777"/>
      <c r="F140" s="777"/>
      <c r="G140" s="777"/>
      <c r="H140" s="777"/>
      <c r="I140" s="777"/>
      <c r="J140" s="777"/>
      <c r="K140" s="777"/>
      <c r="L140" s="777"/>
      <c r="M140" s="777"/>
      <c r="N140" s="777"/>
      <c r="O140" s="777"/>
      <c r="P140" s="777"/>
      <c r="Q140" s="777"/>
      <c r="R140" s="777"/>
      <c r="S140" s="777"/>
      <c r="T140" s="777"/>
      <c r="U140" s="777"/>
      <c r="V140" s="777"/>
      <c r="W140" s="777"/>
      <c r="X140" s="777"/>
      <c r="Y140" s="777"/>
      <c r="Z140" s="777"/>
      <c r="AA140" s="777"/>
      <c r="AB140" s="777"/>
      <c r="AC140" s="777"/>
      <c r="AD140" s="777"/>
      <c r="AE140" s="777"/>
      <c r="AF140" s="777"/>
      <c r="AG140" s="777"/>
      <c r="AH140" s="777"/>
      <c r="AI140" s="777"/>
      <c r="AJ140" s="777"/>
      <c r="AK140" s="777"/>
      <c r="AL140" s="777"/>
      <c r="AM140" s="777"/>
      <c r="AN140" s="777"/>
      <c r="AO140" s="777"/>
      <c r="AP140" s="777"/>
      <c r="AQ140" s="777"/>
      <c r="AR140" s="777"/>
      <c r="AS140" s="777"/>
      <c r="AT140" s="777"/>
      <c r="AU140" s="777"/>
      <c r="AV140" s="777"/>
      <c r="AW140" s="777"/>
      <c r="AX140" s="777"/>
      <c r="AY140" s="777"/>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row>
    <row r="141" spans="1:72" x14ac:dyDescent="0.25">
      <c r="A141" s="777"/>
      <c r="B141" s="777"/>
      <c r="C141" s="777"/>
      <c r="D141" s="777"/>
      <c r="E141" s="777"/>
      <c r="F141" s="777"/>
      <c r="G141" s="777"/>
      <c r="H141" s="777"/>
      <c r="I141" s="777"/>
      <c r="J141" s="777"/>
      <c r="K141" s="777"/>
      <c r="L141" s="777"/>
      <c r="M141" s="777"/>
      <c r="N141" s="777"/>
      <c r="O141" s="777"/>
      <c r="P141" s="777"/>
      <c r="Q141" s="777"/>
      <c r="R141" s="777"/>
      <c r="S141" s="777"/>
      <c r="T141" s="777"/>
      <c r="U141" s="777"/>
      <c r="V141" s="777"/>
      <c r="W141" s="777"/>
      <c r="X141" s="777"/>
      <c r="Y141" s="777"/>
      <c r="Z141" s="777"/>
      <c r="AA141" s="777"/>
      <c r="AB141" s="777"/>
      <c r="AC141" s="777"/>
      <c r="AD141" s="777"/>
      <c r="AE141" s="777"/>
      <c r="AF141" s="777"/>
      <c r="AG141" s="777"/>
      <c r="AH141" s="777"/>
      <c r="AI141" s="777"/>
      <c r="AJ141" s="777"/>
      <c r="AK141" s="777"/>
      <c r="AL141" s="777"/>
      <c r="AM141" s="777"/>
      <c r="AN141" s="777"/>
      <c r="AO141" s="777"/>
      <c r="AP141" s="777"/>
      <c r="AQ141" s="777"/>
      <c r="AR141" s="777"/>
      <c r="AS141" s="777"/>
      <c r="AT141" s="777"/>
      <c r="AU141" s="777"/>
      <c r="AV141" s="777"/>
      <c r="AW141" s="777"/>
      <c r="AX141" s="777"/>
      <c r="AY141" s="777"/>
      <c r="AZ141" s="777"/>
      <c r="BA141" s="777"/>
      <c r="BB141" s="777"/>
      <c r="BC141" s="777"/>
      <c r="BD141" s="777"/>
      <c r="BE141" s="777"/>
      <c r="BF141" s="777"/>
      <c r="BG141" s="777"/>
      <c r="BH141" s="777"/>
      <c r="BI141" s="777"/>
      <c r="BJ141" s="777"/>
      <c r="BK141" s="777"/>
      <c r="BL141" s="777"/>
      <c r="BM141" s="777"/>
      <c r="BN141" s="777"/>
      <c r="BO141" s="777"/>
      <c r="BP141" s="777"/>
      <c r="BQ141" s="777"/>
      <c r="BR141" s="777"/>
      <c r="BS141" s="777"/>
      <c r="BT141" s="777"/>
    </row>
    <row r="142" spans="1:72" x14ac:dyDescent="0.25">
      <c r="A142" s="777" t="s">
        <v>715</v>
      </c>
      <c r="B142" s="777"/>
      <c r="C142" s="777"/>
      <c r="D142" s="777"/>
      <c r="E142" s="777"/>
      <c r="F142" s="777"/>
      <c r="G142" s="777"/>
      <c r="H142" s="777"/>
      <c r="I142" s="777"/>
      <c r="J142" s="777"/>
      <c r="K142" s="777"/>
      <c r="L142" s="777"/>
      <c r="M142" s="777"/>
      <c r="N142" s="777"/>
      <c r="O142" s="777"/>
      <c r="P142" s="777"/>
      <c r="Q142" s="777"/>
      <c r="R142" s="777"/>
      <c r="S142" s="777"/>
      <c r="T142" s="777"/>
      <c r="U142" s="777"/>
      <c r="V142" s="777"/>
      <c r="W142" s="777"/>
      <c r="X142" s="777"/>
      <c r="Y142" s="777"/>
      <c r="Z142" s="777"/>
      <c r="AA142" s="777"/>
      <c r="AB142" s="777"/>
      <c r="AC142" s="777"/>
      <c r="AD142" s="777"/>
      <c r="AE142" s="777"/>
      <c r="AF142" s="777"/>
      <c r="AG142" s="777"/>
      <c r="AH142" s="777"/>
      <c r="AI142" s="777"/>
      <c r="AJ142" s="777"/>
      <c r="AK142" s="777"/>
      <c r="AL142" s="777"/>
      <c r="AM142" s="777"/>
      <c r="AN142" s="777"/>
      <c r="AO142" s="777"/>
      <c r="AP142" s="777"/>
      <c r="AQ142" s="777"/>
      <c r="AR142" s="777"/>
      <c r="AS142" s="777"/>
      <c r="AT142" s="777"/>
      <c r="AU142" s="777"/>
      <c r="AV142" s="777"/>
      <c r="AW142" s="777"/>
      <c r="AX142" s="777"/>
      <c r="AY142" s="777"/>
      <c r="AZ142" s="777"/>
      <c r="BA142" s="777"/>
      <c r="BB142" s="777"/>
      <c r="BC142" s="777"/>
      <c r="BD142" s="777"/>
      <c r="BE142" s="777"/>
      <c r="BF142" s="777"/>
      <c r="BG142" s="777"/>
      <c r="BH142" s="777"/>
      <c r="BI142" s="777"/>
      <c r="BJ142" s="777"/>
      <c r="BK142" s="777"/>
      <c r="BL142" s="777"/>
      <c r="BM142" s="777"/>
      <c r="BN142" s="777"/>
      <c r="BO142" s="777"/>
      <c r="BP142" s="777"/>
      <c r="BQ142" s="777"/>
      <c r="BR142" s="777"/>
      <c r="BS142" s="777"/>
      <c r="BT142" s="777"/>
    </row>
    <row r="143" spans="1:72" x14ac:dyDescent="0.25">
      <c r="A143" s="777" t="s">
        <v>463</v>
      </c>
      <c r="B143" s="777"/>
      <c r="C143" s="777"/>
      <c r="D143" s="777"/>
      <c r="E143" s="777"/>
      <c r="F143" s="777"/>
      <c r="G143" s="777"/>
      <c r="H143" s="777"/>
      <c r="I143" s="777"/>
      <c r="J143" s="777"/>
      <c r="K143" s="777"/>
      <c r="L143" s="777"/>
      <c r="M143" s="777"/>
      <c r="N143" s="777"/>
      <c r="O143" s="777"/>
      <c r="P143" s="777"/>
      <c r="Q143" s="777"/>
      <c r="R143" s="777"/>
      <c r="S143" s="777"/>
      <c r="T143" s="777"/>
      <c r="U143" s="777"/>
      <c r="V143" s="777"/>
      <c r="W143" s="777"/>
      <c r="X143" s="777"/>
      <c r="Y143" s="777"/>
      <c r="Z143" s="777"/>
      <c r="AA143" s="777"/>
      <c r="AB143" s="777"/>
      <c r="AC143" s="777"/>
      <c r="AD143" s="777"/>
      <c r="AE143" s="777"/>
      <c r="AF143" s="777"/>
      <c r="AG143" s="777"/>
      <c r="AH143" s="777"/>
      <c r="AI143" s="777"/>
      <c r="AJ143" s="777"/>
      <c r="AK143" s="777"/>
      <c r="AL143" s="777"/>
      <c r="AM143" s="777"/>
      <c r="AN143" s="777"/>
      <c r="AO143" s="777"/>
      <c r="AP143" s="777"/>
      <c r="AQ143" s="777"/>
      <c r="AR143" s="777"/>
      <c r="AS143" s="777"/>
      <c r="AT143" s="777"/>
      <c r="AU143" s="777"/>
      <c r="AV143" s="777"/>
      <c r="AW143" s="777"/>
      <c r="AX143" s="777"/>
      <c r="AY143" s="777"/>
      <c r="AZ143" s="777"/>
      <c r="BA143" s="777"/>
      <c r="BB143" s="777"/>
      <c r="BC143" s="777"/>
      <c r="BD143" s="777"/>
      <c r="BE143" s="777"/>
      <c r="BF143" s="777"/>
      <c r="BG143" s="777"/>
      <c r="BH143" s="777"/>
      <c r="BI143" s="777"/>
      <c r="BJ143" s="777"/>
      <c r="BK143" s="777"/>
      <c r="BL143" s="777"/>
      <c r="BM143" s="777"/>
      <c r="BN143" s="777"/>
      <c r="BO143" s="777"/>
      <c r="BP143" s="777"/>
      <c r="BQ143" s="777"/>
      <c r="BR143" s="777"/>
      <c r="BS143" s="777"/>
      <c r="BT143" s="777"/>
    </row>
    <row r="144" spans="1:72" x14ac:dyDescent="0.25">
      <c r="A144" s="777" t="s">
        <v>598</v>
      </c>
      <c r="B144" s="777">
        <v>25.67</v>
      </c>
      <c r="C144" s="777">
        <v>29.35</v>
      </c>
      <c r="D144" s="777">
        <v>25.28</v>
      </c>
      <c r="E144" s="777">
        <v>24.73</v>
      </c>
      <c r="F144" s="777">
        <v>25.15</v>
      </c>
      <c r="G144" s="777">
        <v>26.73</v>
      </c>
      <c r="H144" s="777">
        <v>28.51</v>
      </c>
      <c r="I144" s="777">
        <v>30.06</v>
      </c>
      <c r="J144" s="777">
        <v>31.23</v>
      </c>
      <c r="K144" s="777">
        <v>32.520000000000003</v>
      </c>
      <c r="L144" s="777">
        <v>33.75</v>
      </c>
      <c r="M144" s="777">
        <v>35.06</v>
      </c>
      <c r="N144" s="777">
        <v>36.020000000000003</v>
      </c>
      <c r="O144" s="777">
        <v>37.020000000000003</v>
      </c>
      <c r="P144" s="777">
        <v>38.1</v>
      </c>
      <c r="Q144" s="777">
        <v>39.200000000000003</v>
      </c>
      <c r="R144" s="777">
        <v>40.409999999999997</v>
      </c>
      <c r="S144" s="777">
        <v>41.61</v>
      </c>
      <c r="T144" s="777">
        <v>42.82</v>
      </c>
      <c r="U144" s="777">
        <v>43.92</v>
      </c>
      <c r="V144" s="777">
        <v>45.24</v>
      </c>
      <c r="W144" s="777">
        <v>46.58</v>
      </c>
      <c r="X144" s="777">
        <v>48.12</v>
      </c>
      <c r="Y144" s="777">
        <v>49.52</v>
      </c>
      <c r="Z144" s="777">
        <v>51.18</v>
      </c>
      <c r="AA144" s="777">
        <v>52.85</v>
      </c>
      <c r="AB144" s="777">
        <v>54.62</v>
      </c>
      <c r="AC144" s="777">
        <v>56.39</v>
      </c>
      <c r="AD144" s="777">
        <v>58.23</v>
      </c>
      <c r="AE144" s="813">
        <v>2.5999999999999999E-2</v>
      </c>
      <c r="AF144" s="777"/>
      <c r="AG144" s="777"/>
      <c r="AH144" s="777"/>
      <c r="AI144" s="777"/>
      <c r="AJ144" s="777"/>
      <c r="AK144" s="777"/>
      <c r="AL144" s="777"/>
      <c r="AM144" s="777"/>
      <c r="AN144" s="777"/>
      <c r="AO144" s="777"/>
      <c r="AP144" s="777"/>
      <c r="AQ144" s="777"/>
      <c r="AR144" s="777"/>
      <c r="AS144" s="777"/>
      <c r="AT144" s="777"/>
      <c r="AU144" s="777"/>
      <c r="AV144" s="777"/>
      <c r="AW144" s="777"/>
      <c r="AX144" s="777"/>
      <c r="AY144" s="777"/>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row>
    <row r="145" spans="1:72" x14ac:dyDescent="0.25">
      <c r="A145" s="777" t="s">
        <v>599</v>
      </c>
      <c r="B145" s="777">
        <v>19.86</v>
      </c>
      <c r="C145" s="777">
        <v>24.47</v>
      </c>
      <c r="D145" s="777">
        <v>18.260000000000002</v>
      </c>
      <c r="E145" s="777">
        <v>18.100000000000001</v>
      </c>
      <c r="F145" s="777">
        <v>18.489999999999998</v>
      </c>
      <c r="G145" s="777">
        <v>19.940000000000001</v>
      </c>
      <c r="H145" s="777">
        <v>21.4</v>
      </c>
      <c r="I145" s="777">
        <v>22.55</v>
      </c>
      <c r="J145" s="777">
        <v>23.49</v>
      </c>
      <c r="K145" s="777">
        <v>24.96</v>
      </c>
      <c r="L145" s="777">
        <v>26.17</v>
      </c>
      <c r="M145" s="777">
        <v>27.44</v>
      </c>
      <c r="N145" s="777">
        <v>28.46</v>
      </c>
      <c r="O145" s="777">
        <v>29.45</v>
      </c>
      <c r="P145" s="777">
        <v>30.25</v>
      </c>
      <c r="Q145" s="777">
        <v>31.17</v>
      </c>
      <c r="R145" s="777">
        <v>32.25</v>
      </c>
      <c r="S145" s="777">
        <v>33.17</v>
      </c>
      <c r="T145" s="777">
        <v>34.24</v>
      </c>
      <c r="U145" s="777">
        <v>35.33</v>
      </c>
      <c r="V145" s="777">
        <v>36.380000000000003</v>
      </c>
      <c r="W145" s="777">
        <v>37.630000000000003</v>
      </c>
      <c r="X145" s="777">
        <v>39.049999999999997</v>
      </c>
      <c r="Y145" s="777">
        <v>40.159999999999997</v>
      </c>
      <c r="Z145" s="777">
        <v>41.73</v>
      </c>
      <c r="AA145" s="777">
        <v>43.3</v>
      </c>
      <c r="AB145" s="777">
        <v>44.82</v>
      </c>
      <c r="AC145" s="777">
        <v>46.47</v>
      </c>
      <c r="AD145" s="777">
        <v>48.16</v>
      </c>
      <c r="AE145" s="813">
        <v>2.5000000000000001E-2</v>
      </c>
      <c r="AF145" s="777"/>
      <c r="AG145" s="777"/>
      <c r="AH145" s="777"/>
      <c r="AI145" s="777"/>
      <c r="AJ145" s="777"/>
      <c r="AK145" s="777"/>
      <c r="AL145" s="777"/>
      <c r="AM145" s="777"/>
      <c r="AN145" s="777"/>
      <c r="AO145" s="777"/>
      <c r="AP145" s="777"/>
      <c r="AQ145" s="777"/>
      <c r="AR145" s="777"/>
      <c r="AS145" s="777"/>
      <c r="AT145" s="777"/>
      <c r="AU145" s="777"/>
      <c r="AV145" s="777"/>
      <c r="AW145" s="777"/>
      <c r="AX145" s="777"/>
      <c r="AY145" s="777"/>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row>
    <row r="146" spans="1:72" x14ac:dyDescent="0.25">
      <c r="A146" s="777" t="s">
        <v>500</v>
      </c>
      <c r="B146" s="777">
        <v>12.66</v>
      </c>
      <c r="C146" s="777">
        <v>13.48</v>
      </c>
      <c r="D146" s="777">
        <v>11.57</v>
      </c>
      <c r="E146" s="777">
        <v>11.22</v>
      </c>
      <c r="F146" s="777">
        <v>12.29</v>
      </c>
      <c r="G146" s="777">
        <v>12.56</v>
      </c>
      <c r="H146" s="777">
        <v>12.36</v>
      </c>
      <c r="I146" s="777">
        <v>12.51</v>
      </c>
      <c r="J146" s="777">
        <v>12.88</v>
      </c>
      <c r="K146" s="777">
        <v>13.22</v>
      </c>
      <c r="L146" s="777">
        <v>13.5</v>
      </c>
      <c r="M146" s="777">
        <v>13.83</v>
      </c>
      <c r="N146" s="777">
        <v>14.18</v>
      </c>
      <c r="O146" s="777">
        <v>14.61</v>
      </c>
      <c r="P146" s="777">
        <v>15.06</v>
      </c>
      <c r="Q146" s="777">
        <v>15.64</v>
      </c>
      <c r="R146" s="777">
        <v>16.010000000000002</v>
      </c>
      <c r="S146" s="777">
        <v>16.22</v>
      </c>
      <c r="T146" s="777">
        <v>16.68</v>
      </c>
      <c r="U146" s="777">
        <v>17.260000000000002</v>
      </c>
      <c r="V146" s="777">
        <v>17.91</v>
      </c>
      <c r="W146" s="777">
        <v>18.649999999999999</v>
      </c>
      <c r="X146" s="777">
        <v>19.440000000000001</v>
      </c>
      <c r="Y146" s="777">
        <v>20.29</v>
      </c>
      <c r="Z146" s="777">
        <v>21.26</v>
      </c>
      <c r="AA146" s="777">
        <v>21.98</v>
      </c>
      <c r="AB146" s="777">
        <v>22.61</v>
      </c>
      <c r="AC146" s="777">
        <v>23.44</v>
      </c>
      <c r="AD146" s="777">
        <v>24.2</v>
      </c>
      <c r="AE146" s="813">
        <v>2.1999999999999999E-2</v>
      </c>
      <c r="AF146" s="777"/>
      <c r="AG146" s="777"/>
      <c r="AH146" s="777"/>
      <c r="AI146" s="777"/>
      <c r="AJ146" s="777"/>
      <c r="AK146" s="777"/>
      <c r="AL146" s="777"/>
      <c r="AM146" s="777"/>
      <c r="AN146" s="777"/>
      <c r="AO146" s="777"/>
      <c r="AP146" s="777"/>
      <c r="AQ146" s="777"/>
      <c r="AR146" s="777"/>
      <c r="AS146" s="777"/>
      <c r="AT146" s="777"/>
      <c r="AU146" s="777"/>
      <c r="AV146" s="777"/>
      <c r="AW146" s="777"/>
      <c r="AX146" s="777"/>
      <c r="AY146" s="777"/>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row>
    <row r="147" spans="1:72" x14ac:dyDescent="0.25">
      <c r="A147" s="777" t="s">
        <v>469</v>
      </c>
      <c r="B147" s="777">
        <v>31.12</v>
      </c>
      <c r="C147" s="777">
        <v>33.29</v>
      </c>
      <c r="D147" s="777">
        <v>32.83</v>
      </c>
      <c r="E147" s="777">
        <v>31.88</v>
      </c>
      <c r="F147" s="777">
        <v>31.21</v>
      </c>
      <c r="G147" s="777">
        <v>32.9</v>
      </c>
      <c r="H147" s="777">
        <v>33.9</v>
      </c>
      <c r="I147" s="777">
        <v>34.5</v>
      </c>
      <c r="J147" s="777">
        <v>35.020000000000003</v>
      </c>
      <c r="K147" s="777">
        <v>35.89</v>
      </c>
      <c r="L147" s="777">
        <v>36.74</v>
      </c>
      <c r="M147" s="777">
        <v>37.39</v>
      </c>
      <c r="N147" s="777">
        <v>37.97</v>
      </c>
      <c r="O147" s="777">
        <v>38.92</v>
      </c>
      <c r="P147" s="777">
        <v>39.950000000000003</v>
      </c>
      <c r="Q147" s="777">
        <v>40.92</v>
      </c>
      <c r="R147" s="777">
        <v>41.95</v>
      </c>
      <c r="S147" s="777">
        <v>42.94</v>
      </c>
      <c r="T147" s="777">
        <v>43.78</v>
      </c>
      <c r="U147" s="777">
        <v>44.88</v>
      </c>
      <c r="V147" s="777">
        <v>46.07</v>
      </c>
      <c r="W147" s="777">
        <v>47.3</v>
      </c>
      <c r="X147" s="777">
        <v>48.93</v>
      </c>
      <c r="Y147" s="777">
        <v>50.5</v>
      </c>
      <c r="Z147" s="777">
        <v>52.16</v>
      </c>
      <c r="AA147" s="777">
        <v>53.81</v>
      </c>
      <c r="AB147" s="777">
        <v>55.2</v>
      </c>
      <c r="AC147" s="777">
        <v>56.77</v>
      </c>
      <c r="AD147" s="777">
        <v>58.33</v>
      </c>
      <c r="AE147" s="813">
        <v>2.1000000000000001E-2</v>
      </c>
      <c r="AF147" s="777"/>
      <c r="AG147" s="777"/>
      <c r="AH147" s="777"/>
      <c r="AI147" s="777"/>
      <c r="AJ147" s="777"/>
      <c r="AK147" s="777"/>
      <c r="AL147" s="777"/>
      <c r="AM147" s="777"/>
      <c r="AN147" s="777"/>
      <c r="AO147" s="777"/>
      <c r="AP147" s="777"/>
      <c r="AQ147" s="777"/>
      <c r="AR147" s="777"/>
      <c r="AS147" s="777"/>
      <c r="AT147" s="777"/>
      <c r="AU147" s="777"/>
      <c r="AV147" s="777"/>
      <c r="AW147" s="777"/>
      <c r="AX147" s="777"/>
      <c r="AY147" s="777"/>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row>
    <row r="148" spans="1:72" x14ac:dyDescent="0.25">
      <c r="A148" s="777"/>
      <c r="B148" s="777"/>
      <c r="C148" s="777"/>
      <c r="D148" s="777"/>
      <c r="E148" s="777"/>
      <c r="F148" s="777"/>
      <c r="G148" s="777"/>
      <c r="H148" s="777"/>
      <c r="I148" s="777"/>
      <c r="J148" s="777"/>
      <c r="K148" s="777"/>
      <c r="L148" s="777"/>
      <c r="M148" s="777"/>
      <c r="N148" s="777"/>
      <c r="O148" s="777"/>
      <c r="P148" s="777"/>
      <c r="Q148" s="777"/>
      <c r="R148" s="777"/>
      <c r="S148" s="777"/>
      <c r="T148" s="777"/>
      <c r="U148" s="777"/>
      <c r="V148" s="777"/>
      <c r="W148" s="777"/>
      <c r="X148" s="777"/>
      <c r="Y148" s="777"/>
      <c r="Z148" s="777"/>
      <c r="AA148" s="777"/>
      <c r="AB148" s="777"/>
      <c r="AC148" s="777"/>
      <c r="AD148" s="777"/>
      <c r="AE148" s="777"/>
      <c r="AF148" s="777"/>
      <c r="AG148" s="777"/>
      <c r="AH148" s="777"/>
      <c r="AI148" s="777"/>
      <c r="AJ148" s="777"/>
      <c r="AK148" s="777"/>
      <c r="AL148" s="777"/>
      <c r="AM148" s="777"/>
      <c r="AN148" s="777"/>
      <c r="AO148" s="777"/>
      <c r="AP148" s="777"/>
      <c r="AQ148" s="777"/>
      <c r="AR148" s="777"/>
      <c r="AS148" s="777"/>
      <c r="AT148" s="777"/>
      <c r="AU148" s="777"/>
      <c r="AV148" s="777"/>
      <c r="AW148" s="777"/>
      <c r="AX148" s="777"/>
      <c r="AY148" s="777"/>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row>
    <row r="149" spans="1:72" x14ac:dyDescent="0.25">
      <c r="A149" s="777" t="s">
        <v>470</v>
      </c>
      <c r="B149" s="777"/>
      <c r="C149" s="777"/>
      <c r="D149" s="777"/>
      <c r="E149" s="777"/>
      <c r="F149" s="777"/>
      <c r="G149" s="777"/>
      <c r="H149" s="777"/>
      <c r="I149" s="777"/>
      <c r="J149" s="777"/>
      <c r="K149" s="777"/>
      <c r="L149" s="777"/>
      <c r="M149" s="777"/>
      <c r="N149" s="777"/>
      <c r="O149" s="777"/>
      <c r="P149" s="777"/>
      <c r="Q149" s="777"/>
      <c r="R149" s="777"/>
      <c r="S149" s="777"/>
      <c r="T149" s="777"/>
      <c r="U149" s="777"/>
      <c r="V149" s="777"/>
      <c r="W149" s="777"/>
      <c r="X149" s="777"/>
      <c r="Y149" s="777"/>
      <c r="Z149" s="777"/>
      <c r="AA149" s="777"/>
      <c r="AB149" s="777"/>
      <c r="AC149" s="777"/>
      <c r="AD149" s="777"/>
      <c r="AE149" s="777"/>
      <c r="AF149" s="777"/>
      <c r="AG149" s="777"/>
      <c r="AH149" s="777"/>
      <c r="AI149" s="777"/>
      <c r="AJ149" s="777"/>
      <c r="AK149" s="777"/>
      <c r="AL149" s="777"/>
      <c r="AM149" s="777"/>
      <c r="AN149" s="777"/>
      <c r="AO149" s="777"/>
      <c r="AP149" s="777"/>
      <c r="AQ149" s="777"/>
      <c r="AR149" s="777"/>
      <c r="AS149" s="777"/>
      <c r="AT149" s="777"/>
      <c r="AU149" s="777"/>
      <c r="AV149" s="777"/>
      <c r="AW149" s="777"/>
      <c r="AX149" s="777"/>
      <c r="AY149" s="777"/>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row>
    <row r="150" spans="1:72" x14ac:dyDescent="0.25">
      <c r="A150" s="777" t="s">
        <v>598</v>
      </c>
      <c r="B150" s="777">
        <v>20.2</v>
      </c>
      <c r="C150" s="777">
        <v>26.15</v>
      </c>
      <c r="D150" s="777">
        <v>20.12</v>
      </c>
      <c r="E150" s="777">
        <v>21.4</v>
      </c>
      <c r="F150" s="777">
        <v>21.77</v>
      </c>
      <c r="G150" s="777">
        <v>23.3</v>
      </c>
      <c r="H150" s="777">
        <v>25.02</v>
      </c>
      <c r="I150" s="777">
        <v>26.51</v>
      </c>
      <c r="J150" s="777">
        <v>27.61</v>
      </c>
      <c r="K150" s="777">
        <v>28.83</v>
      </c>
      <c r="L150" s="777">
        <v>29.98</v>
      </c>
      <c r="M150" s="777">
        <v>31.22</v>
      </c>
      <c r="N150" s="777">
        <v>32.11</v>
      </c>
      <c r="O150" s="777">
        <v>33.020000000000003</v>
      </c>
      <c r="P150" s="777">
        <v>34.01</v>
      </c>
      <c r="Q150" s="777">
        <v>35.020000000000003</v>
      </c>
      <c r="R150" s="777">
        <v>36.130000000000003</v>
      </c>
      <c r="S150" s="777">
        <v>37.24</v>
      </c>
      <c r="T150" s="777">
        <v>38.35</v>
      </c>
      <c r="U150" s="777">
        <v>39.36</v>
      </c>
      <c r="V150" s="777">
        <v>40.57</v>
      </c>
      <c r="W150" s="777">
        <v>41.81</v>
      </c>
      <c r="X150" s="777">
        <v>43.24</v>
      </c>
      <c r="Y150" s="777">
        <v>44.53</v>
      </c>
      <c r="Z150" s="777">
        <v>46.07</v>
      </c>
      <c r="AA150" s="777">
        <v>47.62</v>
      </c>
      <c r="AB150" s="777">
        <v>49.27</v>
      </c>
      <c r="AC150" s="777">
        <v>50.92</v>
      </c>
      <c r="AD150" s="777">
        <v>52.64</v>
      </c>
      <c r="AE150" s="813">
        <v>2.5999999999999999E-2</v>
      </c>
      <c r="AF150" s="777"/>
      <c r="AG150" s="777"/>
      <c r="AH150" s="777"/>
      <c r="AI150" s="777"/>
      <c r="AJ150" s="777"/>
      <c r="AK150" s="777"/>
      <c r="AL150" s="777"/>
      <c r="AM150" s="777"/>
      <c r="AN150" s="777"/>
      <c r="AO150" s="777"/>
      <c r="AP150" s="777"/>
      <c r="AQ150" s="777"/>
      <c r="AR150" s="777"/>
      <c r="AS150" s="777"/>
      <c r="AT150" s="777"/>
      <c r="AU150" s="777"/>
      <c r="AV150" s="777"/>
      <c r="AW150" s="777"/>
      <c r="AX150" s="777"/>
      <c r="AY150" s="777"/>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row>
    <row r="151" spans="1:72" x14ac:dyDescent="0.25">
      <c r="A151" s="777" t="s">
        <v>599</v>
      </c>
      <c r="B151" s="777">
        <v>17.100000000000001</v>
      </c>
      <c r="C151" s="777">
        <v>21.5</v>
      </c>
      <c r="D151" s="777">
        <v>16.04</v>
      </c>
      <c r="E151" s="777">
        <v>15.27</v>
      </c>
      <c r="F151" s="777">
        <v>15.91</v>
      </c>
      <c r="G151" s="777">
        <v>17.34</v>
      </c>
      <c r="H151" s="777">
        <v>18.739999999999998</v>
      </c>
      <c r="I151" s="777">
        <v>19.850000000000001</v>
      </c>
      <c r="J151" s="777">
        <v>20.86</v>
      </c>
      <c r="K151" s="777">
        <v>22.18</v>
      </c>
      <c r="L151" s="777">
        <v>23.33</v>
      </c>
      <c r="M151" s="777">
        <v>24.52</v>
      </c>
      <c r="N151" s="777">
        <v>25.47</v>
      </c>
      <c r="O151" s="777">
        <v>26.39</v>
      </c>
      <c r="P151" s="777">
        <v>27.18</v>
      </c>
      <c r="Q151" s="777">
        <v>28.11</v>
      </c>
      <c r="R151" s="777">
        <v>29.04</v>
      </c>
      <c r="S151" s="777">
        <v>29.83</v>
      </c>
      <c r="T151" s="777">
        <v>30.83</v>
      </c>
      <c r="U151" s="777">
        <v>31.82</v>
      </c>
      <c r="V151" s="777">
        <v>32.83</v>
      </c>
      <c r="W151" s="777">
        <v>34.01</v>
      </c>
      <c r="X151" s="777">
        <v>35.340000000000003</v>
      </c>
      <c r="Y151" s="777">
        <v>36.380000000000003</v>
      </c>
      <c r="Z151" s="777">
        <v>37.86</v>
      </c>
      <c r="AA151" s="777">
        <v>39.340000000000003</v>
      </c>
      <c r="AB151" s="777">
        <v>40.74</v>
      </c>
      <c r="AC151" s="777">
        <v>42.29</v>
      </c>
      <c r="AD151" s="777">
        <v>43.92</v>
      </c>
      <c r="AE151" s="813">
        <v>2.7E-2</v>
      </c>
      <c r="AF151" s="777"/>
      <c r="AG151" s="777"/>
      <c r="AH151" s="777"/>
      <c r="AI151" s="777"/>
      <c r="AJ151" s="777"/>
      <c r="AK151" s="777"/>
      <c r="AL151" s="777"/>
      <c r="AM151" s="777"/>
      <c r="AN151" s="777"/>
      <c r="AO151" s="777"/>
      <c r="AP151" s="777"/>
      <c r="AQ151" s="777"/>
      <c r="AR151" s="777"/>
      <c r="AS151" s="777"/>
      <c r="AT151" s="777"/>
      <c r="AU151" s="777"/>
      <c r="AV151" s="777"/>
      <c r="AW151" s="777"/>
      <c r="AX151" s="777"/>
      <c r="AY151" s="777"/>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row>
    <row r="152" spans="1:72" x14ac:dyDescent="0.25">
      <c r="A152" s="777" t="s">
        <v>712</v>
      </c>
      <c r="B152" s="777">
        <v>8.2100000000000009</v>
      </c>
      <c r="C152" s="777">
        <v>15.52</v>
      </c>
      <c r="D152" s="777">
        <v>9.41</v>
      </c>
      <c r="E152" s="777">
        <v>9.74</v>
      </c>
      <c r="F152" s="777">
        <v>10.050000000000001</v>
      </c>
      <c r="G152" s="777">
        <v>11.48</v>
      </c>
      <c r="H152" s="777">
        <v>12.9</v>
      </c>
      <c r="I152" s="777">
        <v>13.98</v>
      </c>
      <c r="J152" s="777">
        <v>14.63</v>
      </c>
      <c r="K152" s="777">
        <v>15.52</v>
      </c>
      <c r="L152" s="777">
        <v>16.37</v>
      </c>
      <c r="M152" s="777">
        <v>17.29</v>
      </c>
      <c r="N152" s="777">
        <v>18.29</v>
      </c>
      <c r="O152" s="777">
        <v>18.899999999999999</v>
      </c>
      <c r="P152" s="777">
        <v>19.57</v>
      </c>
      <c r="Q152" s="777">
        <v>20.27</v>
      </c>
      <c r="R152" s="777">
        <v>21.01</v>
      </c>
      <c r="S152" s="777">
        <v>21.73</v>
      </c>
      <c r="T152" s="777">
        <v>22.45</v>
      </c>
      <c r="U152" s="777">
        <v>23.04</v>
      </c>
      <c r="V152" s="777">
        <v>23.8</v>
      </c>
      <c r="W152" s="777">
        <v>24.66</v>
      </c>
      <c r="X152" s="777">
        <v>25.52</v>
      </c>
      <c r="Y152" s="777">
        <v>26.47</v>
      </c>
      <c r="Z152" s="777">
        <v>27.6</v>
      </c>
      <c r="AA152" s="777">
        <v>28.58</v>
      </c>
      <c r="AB152" s="777">
        <v>29.4</v>
      </c>
      <c r="AC152" s="777">
        <v>30.75</v>
      </c>
      <c r="AD152" s="777">
        <v>31.66</v>
      </c>
      <c r="AE152" s="813">
        <v>2.7E-2</v>
      </c>
      <c r="AF152" s="777"/>
      <c r="AG152" s="777"/>
      <c r="AH152" s="777"/>
      <c r="AI152" s="777"/>
      <c r="AJ152" s="777"/>
      <c r="AK152" s="777"/>
      <c r="AL152" s="777"/>
      <c r="AM152" s="777"/>
      <c r="AN152" s="777"/>
      <c r="AO152" s="777"/>
      <c r="AP152" s="777"/>
      <c r="AQ152" s="777"/>
      <c r="AR152" s="777"/>
      <c r="AS152" s="777"/>
      <c r="AT152" s="777"/>
      <c r="AU152" s="777"/>
      <c r="AV152" s="777"/>
      <c r="AW152" s="777"/>
      <c r="AX152" s="777"/>
      <c r="AY152" s="777"/>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row>
    <row r="153" spans="1:72" x14ac:dyDescent="0.25">
      <c r="A153" s="777" t="s">
        <v>500</v>
      </c>
      <c r="B153" s="777">
        <v>10.96</v>
      </c>
      <c r="C153" s="777">
        <v>11.94</v>
      </c>
      <c r="D153" s="777">
        <v>9.18</v>
      </c>
      <c r="E153" s="777">
        <v>8.93</v>
      </c>
      <c r="F153" s="777">
        <v>10.15</v>
      </c>
      <c r="G153" s="777">
        <v>10.65</v>
      </c>
      <c r="H153" s="777">
        <v>10.68</v>
      </c>
      <c r="I153" s="777">
        <v>10.8</v>
      </c>
      <c r="J153" s="777">
        <v>11.14</v>
      </c>
      <c r="K153" s="777">
        <v>11.44</v>
      </c>
      <c r="L153" s="777">
        <v>11.67</v>
      </c>
      <c r="M153" s="777">
        <v>11.96</v>
      </c>
      <c r="N153" s="777">
        <v>12.27</v>
      </c>
      <c r="O153" s="777">
        <v>12.65</v>
      </c>
      <c r="P153" s="777">
        <v>13.05</v>
      </c>
      <c r="Q153" s="777">
        <v>13.58</v>
      </c>
      <c r="R153" s="777">
        <v>13.92</v>
      </c>
      <c r="S153" s="777">
        <v>14.13</v>
      </c>
      <c r="T153" s="777">
        <v>14.53</v>
      </c>
      <c r="U153" s="777">
        <v>15.05</v>
      </c>
      <c r="V153" s="777">
        <v>15.62</v>
      </c>
      <c r="W153" s="777">
        <v>16.3</v>
      </c>
      <c r="X153" s="777">
        <v>17.010000000000002</v>
      </c>
      <c r="Y153" s="777">
        <v>17.78</v>
      </c>
      <c r="Z153" s="777">
        <v>18.690000000000001</v>
      </c>
      <c r="AA153" s="777">
        <v>19.329999999999998</v>
      </c>
      <c r="AB153" s="777">
        <v>19.86</v>
      </c>
      <c r="AC153" s="777">
        <v>20.61</v>
      </c>
      <c r="AD153" s="777">
        <v>21.27</v>
      </c>
      <c r="AE153" s="813">
        <v>2.1999999999999999E-2</v>
      </c>
      <c r="AF153" s="777"/>
      <c r="AG153" s="777"/>
      <c r="AH153" s="777"/>
      <c r="AI153" s="777"/>
      <c r="AJ153" s="777"/>
      <c r="AK153" s="777"/>
      <c r="AL153" s="777"/>
      <c r="AM153" s="777"/>
      <c r="AN153" s="777"/>
      <c r="AO153" s="777"/>
      <c r="AP153" s="777"/>
      <c r="AQ153" s="777"/>
      <c r="AR153" s="777"/>
      <c r="AS153" s="777"/>
      <c r="AT153" s="777"/>
      <c r="AU153" s="777"/>
      <c r="AV153" s="777"/>
      <c r="AW153" s="777"/>
      <c r="AX153" s="777"/>
      <c r="AY153" s="777"/>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row>
    <row r="154" spans="1:72" x14ac:dyDescent="0.25">
      <c r="A154" s="777" t="s">
        <v>469</v>
      </c>
      <c r="B154" s="777">
        <v>28.18</v>
      </c>
      <c r="C154" s="777">
        <v>30.47</v>
      </c>
      <c r="D154" s="777">
        <v>29.38</v>
      </c>
      <c r="E154" s="777">
        <v>28.19</v>
      </c>
      <c r="F154" s="777">
        <v>26.85</v>
      </c>
      <c r="G154" s="777">
        <v>28.28</v>
      </c>
      <c r="H154" s="777">
        <v>28.88</v>
      </c>
      <c r="I154" s="777">
        <v>29.09</v>
      </c>
      <c r="J154" s="777">
        <v>29.58</v>
      </c>
      <c r="K154" s="777">
        <v>30.41</v>
      </c>
      <c r="L154" s="777">
        <v>31.16</v>
      </c>
      <c r="M154" s="777">
        <v>31.75</v>
      </c>
      <c r="N154" s="777">
        <v>32.270000000000003</v>
      </c>
      <c r="O154" s="777">
        <v>33.15</v>
      </c>
      <c r="P154" s="777">
        <v>34.090000000000003</v>
      </c>
      <c r="Q154" s="777">
        <v>34.97</v>
      </c>
      <c r="R154" s="777">
        <v>35.99</v>
      </c>
      <c r="S154" s="777">
        <v>36.94</v>
      </c>
      <c r="T154" s="777">
        <v>37.619999999999997</v>
      </c>
      <c r="U154" s="777">
        <v>38.61</v>
      </c>
      <c r="V154" s="777">
        <v>39.68</v>
      </c>
      <c r="W154" s="777">
        <v>40.82</v>
      </c>
      <c r="X154" s="777">
        <v>42.33</v>
      </c>
      <c r="Y154" s="777">
        <v>43.75</v>
      </c>
      <c r="Z154" s="777">
        <v>45.32</v>
      </c>
      <c r="AA154" s="777">
        <v>46.89</v>
      </c>
      <c r="AB154" s="777">
        <v>48.18</v>
      </c>
      <c r="AC154" s="777">
        <v>49.63</v>
      </c>
      <c r="AD154" s="777">
        <v>51.04</v>
      </c>
      <c r="AE154" s="813">
        <v>1.9E-2</v>
      </c>
      <c r="AF154" s="777"/>
      <c r="AG154" s="777"/>
      <c r="AH154" s="777"/>
      <c r="AI154" s="777"/>
      <c r="AJ154" s="777"/>
      <c r="AK154" s="777"/>
      <c r="AL154" s="777"/>
      <c r="AM154" s="777"/>
      <c r="AN154" s="777"/>
      <c r="AO154" s="777"/>
      <c r="AP154" s="777"/>
      <c r="AQ154" s="777"/>
      <c r="AR154" s="777"/>
      <c r="AS154" s="777"/>
      <c r="AT154" s="777"/>
      <c r="AU154" s="777"/>
      <c r="AV154" s="777"/>
      <c r="AW154" s="777"/>
      <c r="AX154" s="777"/>
      <c r="AY154" s="777"/>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row>
    <row r="155" spans="1:72" x14ac:dyDescent="0.25">
      <c r="A155" s="777"/>
      <c r="B155" s="777"/>
      <c r="C155" s="777"/>
      <c r="D155" s="777"/>
      <c r="E155" s="777"/>
      <c r="F155" s="777"/>
      <c r="G155" s="777"/>
      <c r="H155" s="777"/>
      <c r="I155" s="777"/>
      <c r="J155" s="777"/>
      <c r="K155" s="777"/>
      <c r="L155" s="777"/>
      <c r="M155" s="777"/>
      <c r="N155" s="777"/>
      <c r="O155" s="777"/>
      <c r="P155" s="777"/>
      <c r="Q155" s="777"/>
      <c r="R155" s="777"/>
      <c r="S155" s="777"/>
      <c r="T155" s="777"/>
      <c r="U155" s="777"/>
      <c r="V155" s="777"/>
      <c r="W155" s="777"/>
      <c r="X155" s="777"/>
      <c r="Y155" s="777"/>
      <c r="Z155" s="777"/>
      <c r="AA155" s="777"/>
      <c r="AB155" s="777"/>
      <c r="AC155" s="777"/>
      <c r="AD155" s="777"/>
      <c r="AE155" s="777"/>
      <c r="AF155" s="777"/>
      <c r="AG155" s="777"/>
      <c r="AH155" s="777"/>
      <c r="AI155" s="777"/>
      <c r="AJ155" s="777"/>
      <c r="AK155" s="777"/>
      <c r="AL155" s="777"/>
      <c r="AM155" s="777"/>
      <c r="AN155" s="777"/>
      <c r="AO155" s="777"/>
      <c r="AP155" s="777"/>
      <c r="AQ155" s="777"/>
      <c r="AR155" s="777"/>
      <c r="AS155" s="777"/>
      <c r="AT155" s="777"/>
      <c r="AU155" s="777"/>
      <c r="AV155" s="777"/>
      <c r="AW155" s="777"/>
      <c r="AX155" s="777"/>
      <c r="AY155" s="777"/>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row>
    <row r="156" spans="1:72" x14ac:dyDescent="0.25">
      <c r="A156" s="777" t="s">
        <v>601</v>
      </c>
      <c r="B156" s="777"/>
      <c r="C156" s="777"/>
      <c r="D156" s="777"/>
      <c r="E156" s="777"/>
      <c r="F156" s="777"/>
      <c r="G156" s="777"/>
      <c r="H156" s="777"/>
      <c r="I156" s="777"/>
      <c r="J156" s="777"/>
      <c r="K156" s="777"/>
      <c r="L156" s="777"/>
      <c r="M156" s="777"/>
      <c r="N156" s="777"/>
      <c r="O156" s="777"/>
      <c r="P156" s="777"/>
      <c r="Q156" s="777"/>
      <c r="R156" s="777"/>
      <c r="S156" s="777"/>
      <c r="T156" s="777"/>
      <c r="U156" s="777"/>
      <c r="V156" s="777"/>
      <c r="W156" s="777"/>
      <c r="X156" s="777"/>
      <c r="Y156" s="777"/>
      <c r="Z156" s="777"/>
      <c r="AA156" s="777"/>
      <c r="AB156" s="777"/>
      <c r="AC156" s="777"/>
      <c r="AD156" s="777"/>
      <c r="AE156" s="777"/>
      <c r="AF156" s="777"/>
      <c r="AG156" s="777"/>
      <c r="AH156" s="777"/>
      <c r="AI156" s="777"/>
      <c r="AJ156" s="777"/>
      <c r="AK156" s="777"/>
      <c r="AL156" s="777"/>
      <c r="AM156" s="777"/>
      <c r="AN156" s="777"/>
      <c r="AO156" s="777"/>
      <c r="AP156" s="777"/>
      <c r="AQ156" s="777"/>
      <c r="AR156" s="777"/>
      <c r="AS156" s="777"/>
      <c r="AT156" s="777"/>
      <c r="AU156" s="777"/>
      <c r="AV156" s="777"/>
      <c r="AW156" s="777"/>
      <c r="AX156" s="777"/>
      <c r="AY156" s="777"/>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row>
    <row r="157" spans="1:72" x14ac:dyDescent="0.25">
      <c r="A157" s="777" t="s">
        <v>598</v>
      </c>
      <c r="B157" s="777">
        <v>21.53</v>
      </c>
      <c r="C157" s="777">
        <v>24.2</v>
      </c>
      <c r="D157" s="777">
        <v>18.920000000000002</v>
      </c>
      <c r="E157" s="777">
        <v>18.920000000000002</v>
      </c>
      <c r="F157" s="777">
        <v>19.260000000000002</v>
      </c>
      <c r="G157" s="777">
        <v>20.76</v>
      </c>
      <c r="H157" s="777">
        <v>22.51</v>
      </c>
      <c r="I157" s="777">
        <v>24</v>
      </c>
      <c r="J157" s="777">
        <v>25.06</v>
      </c>
      <c r="K157" s="777">
        <v>26.38</v>
      </c>
      <c r="L157" s="777">
        <v>27.45</v>
      </c>
      <c r="M157" s="777">
        <v>28.6</v>
      </c>
      <c r="N157" s="777">
        <v>29.51</v>
      </c>
      <c r="O157" s="777">
        <v>30.38</v>
      </c>
      <c r="P157" s="777">
        <v>31.31</v>
      </c>
      <c r="Q157" s="777">
        <v>32.270000000000003</v>
      </c>
      <c r="R157" s="777">
        <v>33.340000000000003</v>
      </c>
      <c r="S157" s="777">
        <v>34.39</v>
      </c>
      <c r="T157" s="777">
        <v>35.450000000000003</v>
      </c>
      <c r="U157" s="777">
        <v>36.4</v>
      </c>
      <c r="V157" s="777">
        <v>37.549999999999997</v>
      </c>
      <c r="W157" s="777">
        <v>38.729999999999997</v>
      </c>
      <c r="X157" s="777">
        <v>40.1</v>
      </c>
      <c r="Y157" s="777">
        <v>41.33</v>
      </c>
      <c r="Z157" s="777">
        <v>42.81</v>
      </c>
      <c r="AA157" s="777">
        <v>44.29</v>
      </c>
      <c r="AB157" s="777">
        <v>45.9</v>
      </c>
      <c r="AC157" s="777">
        <v>47.5</v>
      </c>
      <c r="AD157" s="777">
        <v>49.15</v>
      </c>
      <c r="AE157" s="813">
        <v>2.7E-2</v>
      </c>
      <c r="AF157" s="777"/>
      <c r="AG157" s="777"/>
      <c r="AH157" s="777"/>
      <c r="AI157" s="777"/>
      <c r="AJ157" s="777"/>
      <c r="AK157" s="777"/>
      <c r="AL157" s="777"/>
      <c r="AM157" s="777"/>
      <c r="AN157" s="777"/>
      <c r="AO157" s="777"/>
      <c r="AP157" s="777"/>
      <c r="AQ157" s="777"/>
      <c r="AR157" s="777"/>
      <c r="AS157" s="777"/>
      <c r="AT157" s="777"/>
      <c r="AU157" s="777"/>
      <c r="AV157" s="777"/>
      <c r="AW157" s="777"/>
      <c r="AX157" s="777"/>
      <c r="AY157" s="777"/>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row>
    <row r="158" spans="1:72" x14ac:dyDescent="0.25">
      <c r="A158" s="777" t="s">
        <v>599</v>
      </c>
      <c r="B158" s="777">
        <v>17.68</v>
      </c>
      <c r="C158" s="777">
        <v>22.31</v>
      </c>
      <c r="D158" s="777">
        <v>16.649999999999999</v>
      </c>
      <c r="E158" s="777">
        <v>14.82</v>
      </c>
      <c r="F158" s="777">
        <v>16.05</v>
      </c>
      <c r="G158" s="777">
        <v>17.52</v>
      </c>
      <c r="H158" s="777">
        <v>18.95</v>
      </c>
      <c r="I158" s="777">
        <v>20.07</v>
      </c>
      <c r="J158" s="777">
        <v>21.18</v>
      </c>
      <c r="K158" s="777">
        <v>22.46</v>
      </c>
      <c r="L158" s="777">
        <v>23.62</v>
      </c>
      <c r="M158" s="777">
        <v>24.81</v>
      </c>
      <c r="N158" s="777">
        <v>25.76</v>
      </c>
      <c r="O158" s="777">
        <v>26.68</v>
      </c>
      <c r="P158" s="777">
        <v>27.5</v>
      </c>
      <c r="Q158" s="777">
        <v>28.52</v>
      </c>
      <c r="R158" s="777">
        <v>29.39</v>
      </c>
      <c r="S158" s="777">
        <v>30.15</v>
      </c>
      <c r="T158" s="777">
        <v>31.18</v>
      </c>
      <c r="U158" s="777">
        <v>32.159999999999997</v>
      </c>
      <c r="V158" s="777">
        <v>33.21</v>
      </c>
      <c r="W158" s="777">
        <v>34.409999999999997</v>
      </c>
      <c r="X158" s="777">
        <v>35.770000000000003</v>
      </c>
      <c r="Y158" s="777">
        <v>36.83</v>
      </c>
      <c r="Z158" s="777">
        <v>38.33</v>
      </c>
      <c r="AA158" s="777">
        <v>39.83</v>
      </c>
      <c r="AB158" s="777">
        <v>41.25</v>
      </c>
      <c r="AC158" s="777">
        <v>42.82</v>
      </c>
      <c r="AD158" s="777">
        <v>44.51</v>
      </c>
      <c r="AE158" s="813">
        <v>2.5999999999999999E-2</v>
      </c>
      <c r="AF158" s="777"/>
      <c r="AG158" s="777"/>
      <c r="AH158" s="777"/>
      <c r="AI158" s="777"/>
      <c r="AJ158" s="777"/>
      <c r="AK158" s="777"/>
      <c r="AL158" s="777"/>
      <c r="AM158" s="777"/>
      <c r="AN158" s="777"/>
      <c r="AO158" s="777"/>
      <c r="AP158" s="777"/>
      <c r="AQ158" s="777"/>
      <c r="AR158" s="777"/>
      <c r="AS158" s="777"/>
      <c r="AT158" s="777"/>
      <c r="AU158" s="777"/>
      <c r="AV158" s="777"/>
      <c r="AW158" s="777"/>
      <c r="AX158" s="777"/>
      <c r="AY158" s="777"/>
      <c r="AZ158" s="777"/>
      <c r="BA158" s="777"/>
      <c r="BB158" s="777"/>
      <c r="BC158" s="777"/>
      <c r="BD158" s="777"/>
      <c r="BE158" s="777"/>
      <c r="BF158" s="777"/>
      <c r="BG158" s="777"/>
      <c r="BH158" s="777"/>
      <c r="BI158" s="777"/>
      <c r="BJ158" s="777"/>
      <c r="BK158" s="777"/>
      <c r="BL158" s="777"/>
      <c r="BM158" s="777"/>
      <c r="BN158" s="777"/>
      <c r="BO158" s="777"/>
      <c r="BP158" s="777"/>
      <c r="BQ158" s="777"/>
      <c r="BR158" s="777"/>
      <c r="BS158" s="777"/>
      <c r="BT158" s="777"/>
    </row>
    <row r="159" spans="1:72" x14ac:dyDescent="0.25">
      <c r="A159" s="777" t="s">
        <v>600</v>
      </c>
      <c r="B159" s="777">
        <v>8.65</v>
      </c>
      <c r="C159" s="777">
        <v>16.309999999999999</v>
      </c>
      <c r="D159" s="777">
        <v>9.89</v>
      </c>
      <c r="E159" s="777">
        <v>13.52</v>
      </c>
      <c r="F159" s="777">
        <v>13.82</v>
      </c>
      <c r="G159" s="777">
        <v>15.16</v>
      </c>
      <c r="H159" s="777">
        <v>16.489999999999998</v>
      </c>
      <c r="I159" s="777">
        <v>17.62</v>
      </c>
      <c r="J159" s="777">
        <v>18.350000000000001</v>
      </c>
      <c r="K159" s="777">
        <v>19.239999999999998</v>
      </c>
      <c r="L159" s="777">
        <v>20.059999999999999</v>
      </c>
      <c r="M159" s="777">
        <v>20.97</v>
      </c>
      <c r="N159" s="777">
        <v>21.68</v>
      </c>
      <c r="O159" s="777">
        <v>22.24</v>
      </c>
      <c r="P159" s="777">
        <v>23</v>
      </c>
      <c r="Q159" s="777">
        <v>23.74</v>
      </c>
      <c r="R159" s="777">
        <v>24.52</v>
      </c>
      <c r="S159" s="777">
        <v>25.31</v>
      </c>
      <c r="T159" s="777">
        <v>26.1</v>
      </c>
      <c r="U159" s="777">
        <v>26.74</v>
      </c>
      <c r="V159" s="777">
        <v>27.57</v>
      </c>
      <c r="W159" s="777">
        <v>28.51</v>
      </c>
      <c r="X159" s="777">
        <v>29.51</v>
      </c>
      <c r="Y159" s="777">
        <v>30.6</v>
      </c>
      <c r="Z159" s="777">
        <v>31.8</v>
      </c>
      <c r="AA159" s="777">
        <v>32.92</v>
      </c>
      <c r="AB159" s="777">
        <v>34.03</v>
      </c>
      <c r="AC159" s="777">
        <v>35.29</v>
      </c>
      <c r="AD159" s="777">
        <v>36.5</v>
      </c>
      <c r="AE159" s="813">
        <v>0.03</v>
      </c>
      <c r="AF159" s="777"/>
      <c r="AG159" s="777"/>
      <c r="AH159" s="777"/>
      <c r="AI159" s="777"/>
      <c r="AJ159" s="777"/>
      <c r="AK159" s="777"/>
      <c r="AL159" s="777"/>
      <c r="AM159" s="777"/>
      <c r="AN159" s="777"/>
      <c r="AO159" s="777"/>
      <c r="AP159" s="777"/>
      <c r="AQ159" s="777"/>
      <c r="AR159" s="777"/>
      <c r="AS159" s="777"/>
      <c r="AT159" s="777"/>
      <c r="AU159" s="777"/>
      <c r="AV159" s="777"/>
      <c r="AW159" s="777"/>
      <c r="AX159" s="777"/>
      <c r="AY159" s="777"/>
      <c r="AZ159" s="777"/>
      <c r="BA159" s="777"/>
      <c r="BB159" s="777"/>
      <c r="BC159" s="777"/>
      <c r="BD159" s="777"/>
      <c r="BE159" s="777"/>
      <c r="BF159" s="777"/>
      <c r="BG159" s="777"/>
      <c r="BH159" s="777"/>
      <c r="BI159" s="777"/>
      <c r="BJ159" s="777"/>
      <c r="BK159" s="777"/>
      <c r="BL159" s="777"/>
      <c r="BM159" s="777"/>
      <c r="BN159" s="777"/>
      <c r="BO159" s="777"/>
      <c r="BP159" s="777"/>
      <c r="BQ159" s="777"/>
      <c r="BR159" s="777"/>
      <c r="BS159" s="777"/>
      <c r="BT159" s="777"/>
    </row>
    <row r="160" spans="1:72" x14ac:dyDescent="0.25">
      <c r="A160" s="777" t="s">
        <v>602</v>
      </c>
      <c r="B160" s="777">
        <v>7.41</v>
      </c>
      <c r="C160" s="777">
        <v>9.11</v>
      </c>
      <c r="D160" s="777">
        <v>4.26</v>
      </c>
      <c r="E160" s="777">
        <v>5.0199999999999996</v>
      </c>
      <c r="F160" s="777">
        <v>6.23</v>
      </c>
      <c r="G160" s="777">
        <v>6.76</v>
      </c>
      <c r="H160" s="777">
        <v>6.82</v>
      </c>
      <c r="I160" s="777">
        <v>6.89</v>
      </c>
      <c r="J160" s="777">
        <v>7.18</v>
      </c>
      <c r="K160" s="777">
        <v>7.39</v>
      </c>
      <c r="L160" s="777">
        <v>7.52</v>
      </c>
      <c r="M160" s="777">
        <v>7.71</v>
      </c>
      <c r="N160" s="777">
        <v>7.91</v>
      </c>
      <c r="O160" s="777">
        <v>8.19</v>
      </c>
      <c r="P160" s="777">
        <v>8.4700000000000006</v>
      </c>
      <c r="Q160" s="777">
        <v>8.8800000000000008</v>
      </c>
      <c r="R160" s="777">
        <v>9.14</v>
      </c>
      <c r="S160" s="777">
        <v>9.26</v>
      </c>
      <c r="T160" s="777">
        <v>9.52</v>
      </c>
      <c r="U160" s="777">
        <v>9.9</v>
      </c>
      <c r="V160" s="777">
        <v>10.31</v>
      </c>
      <c r="W160" s="777">
        <v>10.85</v>
      </c>
      <c r="X160" s="777">
        <v>11.41</v>
      </c>
      <c r="Y160" s="777">
        <v>12.04</v>
      </c>
      <c r="Z160" s="777">
        <v>12.79</v>
      </c>
      <c r="AA160" s="777">
        <v>13.25</v>
      </c>
      <c r="AB160" s="777">
        <v>13.56</v>
      </c>
      <c r="AC160" s="777">
        <v>14.17</v>
      </c>
      <c r="AD160" s="777">
        <v>14.67</v>
      </c>
      <c r="AE160" s="813">
        <v>1.7999999999999999E-2</v>
      </c>
      <c r="AF160" s="777"/>
      <c r="AG160" s="777"/>
      <c r="AH160" s="777"/>
      <c r="AI160" s="777"/>
      <c r="AJ160" s="777"/>
      <c r="AK160" s="777"/>
      <c r="AL160" s="777"/>
      <c r="AM160" s="777"/>
      <c r="AN160" s="777"/>
      <c r="AO160" s="777"/>
      <c r="AP160" s="777"/>
      <c r="AQ160" s="777"/>
      <c r="AR160" s="777"/>
      <c r="AS160" s="777"/>
      <c r="AT160" s="777"/>
      <c r="AU160" s="777"/>
      <c r="AV160" s="777"/>
      <c r="AW160" s="777"/>
      <c r="AX160" s="777"/>
      <c r="AY160" s="777"/>
      <c r="AZ160" s="777"/>
      <c r="BA160" s="777"/>
      <c r="BB160" s="777"/>
      <c r="BC160" s="777"/>
      <c r="BD160" s="777"/>
      <c r="BE160" s="777"/>
      <c r="BF160" s="777"/>
      <c r="BG160" s="777"/>
      <c r="BH160" s="777"/>
      <c r="BI160" s="777"/>
      <c r="BJ160" s="777"/>
      <c r="BK160" s="777"/>
      <c r="BL160" s="777"/>
      <c r="BM160" s="777"/>
      <c r="BN160" s="777"/>
      <c r="BO160" s="777"/>
      <c r="BP160" s="777"/>
      <c r="BQ160" s="777"/>
      <c r="BR160" s="777"/>
      <c r="BS160" s="777"/>
      <c r="BT160" s="777"/>
    </row>
    <row r="161" spans="1:72" x14ac:dyDescent="0.25">
      <c r="A161" s="777" t="s">
        <v>603</v>
      </c>
      <c r="B161" s="777">
        <v>3.61</v>
      </c>
      <c r="C161" s="777">
        <v>4.49</v>
      </c>
      <c r="D161" s="777">
        <v>4.79</v>
      </c>
      <c r="E161" s="777">
        <v>4.9400000000000004</v>
      </c>
      <c r="F161" s="777">
        <v>5.07</v>
      </c>
      <c r="G161" s="777">
        <v>5.31</v>
      </c>
      <c r="H161" s="777">
        <v>5.44</v>
      </c>
      <c r="I161" s="777">
        <v>5.56</v>
      </c>
      <c r="J161" s="777">
        <v>5.66</v>
      </c>
      <c r="K161" s="777">
        <v>5.77</v>
      </c>
      <c r="L161" s="777">
        <v>5.97</v>
      </c>
      <c r="M161" s="777">
        <v>6.14</v>
      </c>
      <c r="N161" s="777">
        <v>6.34</v>
      </c>
      <c r="O161" s="777">
        <v>6.5</v>
      </c>
      <c r="P161" s="777">
        <v>6.68</v>
      </c>
      <c r="Q161" s="777">
        <v>6.84</v>
      </c>
      <c r="R161" s="777">
        <v>6.98</v>
      </c>
      <c r="S161" s="777">
        <v>7.07</v>
      </c>
      <c r="T161" s="777">
        <v>7.11</v>
      </c>
      <c r="U161" s="777">
        <v>7.15</v>
      </c>
      <c r="V161" s="777">
        <v>7.27</v>
      </c>
      <c r="W161" s="777">
        <v>7.43</v>
      </c>
      <c r="X161" s="777">
        <v>7.55</v>
      </c>
      <c r="Y161" s="777">
        <v>7.72</v>
      </c>
      <c r="Z161" s="777">
        <v>7.86</v>
      </c>
      <c r="AA161" s="777">
        <v>8.02</v>
      </c>
      <c r="AB161" s="777">
        <v>8.18</v>
      </c>
      <c r="AC161" s="777">
        <v>8.33</v>
      </c>
      <c r="AD161" s="777">
        <v>8.5</v>
      </c>
      <c r="AE161" s="813">
        <v>2.4E-2</v>
      </c>
      <c r="AF161" s="777"/>
      <c r="AG161" s="777"/>
      <c r="AH161" s="777"/>
      <c r="AI161" s="777"/>
      <c r="AJ161" s="777"/>
      <c r="AK161" s="777"/>
      <c r="AL161" s="777"/>
      <c r="AM161" s="777"/>
      <c r="AN161" s="777"/>
      <c r="AO161" s="777"/>
      <c r="AP161" s="777"/>
      <c r="AQ161" s="777"/>
      <c r="AR161" s="777"/>
      <c r="AS161" s="777"/>
      <c r="AT161" s="777"/>
      <c r="AU161" s="777"/>
      <c r="AV161" s="777"/>
      <c r="AW161" s="777"/>
      <c r="AX161" s="777"/>
      <c r="AY161" s="777"/>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row>
    <row r="162" spans="1:72" x14ac:dyDescent="0.25">
      <c r="A162" s="777" t="s">
        <v>604</v>
      </c>
      <c r="B162" s="777">
        <v>2.4300000000000002</v>
      </c>
      <c r="C162" s="777">
        <v>2.84</v>
      </c>
      <c r="D162" s="777">
        <v>2.83</v>
      </c>
      <c r="E162" s="777">
        <v>2.77</v>
      </c>
      <c r="F162" s="777">
        <v>2.81</v>
      </c>
      <c r="G162" s="777">
        <v>2.85</v>
      </c>
      <c r="H162" s="777">
        <v>2.86</v>
      </c>
      <c r="I162" s="777">
        <v>2.93</v>
      </c>
      <c r="J162" s="777">
        <v>3</v>
      </c>
      <c r="K162" s="777">
        <v>3.04</v>
      </c>
      <c r="L162" s="777">
        <v>3.11</v>
      </c>
      <c r="M162" s="777">
        <v>3.16</v>
      </c>
      <c r="N162" s="777">
        <v>3.2</v>
      </c>
      <c r="O162" s="777">
        <v>3.26</v>
      </c>
      <c r="P162" s="777">
        <v>3.31</v>
      </c>
      <c r="Q162" s="777">
        <v>3.38</v>
      </c>
      <c r="R162" s="777">
        <v>3.43</v>
      </c>
      <c r="S162" s="777">
        <v>3.5</v>
      </c>
      <c r="T162" s="777">
        <v>3.56</v>
      </c>
      <c r="U162" s="777">
        <v>3.65</v>
      </c>
      <c r="V162" s="777">
        <v>3.72</v>
      </c>
      <c r="W162" s="777">
        <v>3.82</v>
      </c>
      <c r="X162" s="777">
        <v>3.91</v>
      </c>
      <c r="Y162" s="777">
        <v>4.01</v>
      </c>
      <c r="Z162" s="777">
        <v>4.12</v>
      </c>
      <c r="AA162" s="777">
        <v>4.21</v>
      </c>
      <c r="AB162" s="777">
        <v>4.33</v>
      </c>
      <c r="AC162" s="777">
        <v>4.4400000000000004</v>
      </c>
      <c r="AD162" s="777">
        <v>4.55</v>
      </c>
      <c r="AE162" s="813">
        <v>1.7999999999999999E-2</v>
      </c>
      <c r="AF162" s="777"/>
      <c r="AG162" s="777"/>
      <c r="AH162" s="777"/>
      <c r="AI162" s="777"/>
      <c r="AJ162" s="777"/>
      <c r="AK162" s="777"/>
      <c r="AL162" s="777"/>
      <c r="AM162" s="777"/>
      <c r="AN162" s="777"/>
      <c r="AO162" s="777"/>
      <c r="AP162" s="777"/>
      <c r="AQ162" s="777"/>
      <c r="AR162" s="777"/>
      <c r="AS162" s="777"/>
      <c r="AT162" s="777"/>
      <c r="AU162" s="777"/>
      <c r="AV162" s="777"/>
      <c r="AW162" s="777"/>
      <c r="AX162" s="777"/>
      <c r="AY162" s="777"/>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row>
    <row r="163" spans="1:72" x14ac:dyDescent="0.25">
      <c r="A163" s="777" t="s">
        <v>605</v>
      </c>
      <c r="B163" s="777" t="s">
        <v>777</v>
      </c>
      <c r="C163" s="777" t="s">
        <v>777</v>
      </c>
      <c r="D163" s="777" t="s">
        <v>777</v>
      </c>
      <c r="E163" s="777" t="s">
        <v>777</v>
      </c>
      <c r="F163" s="777">
        <v>1.32</v>
      </c>
      <c r="G163" s="777">
        <v>1.1000000000000001</v>
      </c>
      <c r="H163" s="777">
        <v>1.1200000000000001</v>
      </c>
      <c r="I163" s="777">
        <v>1.55</v>
      </c>
      <c r="J163" s="777">
        <v>1.58</v>
      </c>
      <c r="K163" s="777">
        <v>1.65</v>
      </c>
      <c r="L163" s="777">
        <v>1.72</v>
      </c>
      <c r="M163" s="777">
        <v>1.74</v>
      </c>
      <c r="N163" s="777">
        <v>1.76</v>
      </c>
      <c r="O163" s="777">
        <v>1.79</v>
      </c>
      <c r="P163" s="777">
        <v>1.86</v>
      </c>
      <c r="Q163" s="777">
        <v>1.91</v>
      </c>
      <c r="R163" s="777">
        <v>1.98</v>
      </c>
      <c r="S163" s="777">
        <v>1.99</v>
      </c>
      <c r="T163" s="777">
        <v>2.02</v>
      </c>
      <c r="U163" s="777">
        <v>2.04</v>
      </c>
      <c r="V163" s="777">
        <v>2.0699999999999998</v>
      </c>
      <c r="W163" s="777">
        <v>2.1</v>
      </c>
      <c r="X163" s="777">
        <v>2.13</v>
      </c>
      <c r="Y163" s="777">
        <v>2.1800000000000002</v>
      </c>
      <c r="Z163" s="777">
        <v>2.2200000000000002</v>
      </c>
      <c r="AA163" s="777">
        <v>2.2799999999999998</v>
      </c>
      <c r="AB163" s="777">
        <v>2.35</v>
      </c>
      <c r="AC163" s="777">
        <v>2.44</v>
      </c>
      <c r="AD163" s="777">
        <v>2.5299999999999998</v>
      </c>
      <c r="AE163" s="777" t="s">
        <v>777</v>
      </c>
      <c r="AF163" s="777"/>
      <c r="AG163" s="777"/>
      <c r="AH163" s="777"/>
      <c r="AI163" s="777"/>
      <c r="AJ163" s="777"/>
      <c r="AK163" s="777"/>
      <c r="AL163" s="777"/>
      <c r="AM163" s="777"/>
      <c r="AN163" s="777"/>
      <c r="AO163" s="777"/>
      <c r="AP163" s="777"/>
      <c r="AQ163" s="777"/>
      <c r="AR163" s="777"/>
      <c r="AS163" s="777"/>
      <c r="AT163" s="777"/>
      <c r="AU163" s="777"/>
      <c r="AV163" s="777"/>
      <c r="AW163" s="777"/>
      <c r="AX163" s="777"/>
      <c r="AY163" s="777"/>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row>
    <row r="164" spans="1:72" x14ac:dyDescent="0.25">
      <c r="A164" s="777" t="s">
        <v>469</v>
      </c>
      <c r="B164" s="777">
        <v>18.600000000000001</v>
      </c>
      <c r="C164" s="777">
        <v>20.21</v>
      </c>
      <c r="D164" s="777">
        <v>20.350000000000001</v>
      </c>
      <c r="E164" s="777">
        <v>19.73</v>
      </c>
      <c r="F164" s="777">
        <v>17.86</v>
      </c>
      <c r="G164" s="777">
        <v>18.77</v>
      </c>
      <c r="H164" s="777">
        <v>18.98</v>
      </c>
      <c r="I164" s="777">
        <v>19.010000000000002</v>
      </c>
      <c r="J164" s="777">
        <v>19.36</v>
      </c>
      <c r="K164" s="777">
        <v>19.989999999999998</v>
      </c>
      <c r="L164" s="777">
        <v>20.51</v>
      </c>
      <c r="M164" s="777">
        <v>20.91</v>
      </c>
      <c r="N164" s="777">
        <v>21.27</v>
      </c>
      <c r="O164" s="777">
        <v>21.9</v>
      </c>
      <c r="P164" s="777">
        <v>22.56</v>
      </c>
      <c r="Q164" s="777">
        <v>23.2</v>
      </c>
      <c r="R164" s="777">
        <v>23.95</v>
      </c>
      <c r="S164" s="777">
        <v>24.64</v>
      </c>
      <c r="T164" s="777">
        <v>25.11</v>
      </c>
      <c r="U164" s="777">
        <v>25.79</v>
      </c>
      <c r="V164" s="777">
        <v>26.57</v>
      </c>
      <c r="W164" s="777">
        <v>27.41</v>
      </c>
      <c r="X164" s="777">
        <v>28.5</v>
      </c>
      <c r="Y164" s="777">
        <v>29.55</v>
      </c>
      <c r="Z164" s="777">
        <v>30.67</v>
      </c>
      <c r="AA164" s="777">
        <v>31.8</v>
      </c>
      <c r="AB164" s="777">
        <v>32.71</v>
      </c>
      <c r="AC164" s="777">
        <v>33.76</v>
      </c>
      <c r="AD164" s="777">
        <v>34.799999999999997</v>
      </c>
      <c r="AE164" s="813">
        <v>0.02</v>
      </c>
      <c r="AF164" s="777"/>
      <c r="AG164" s="777"/>
      <c r="AH164" s="777"/>
      <c r="AI164" s="777"/>
      <c r="AJ164" s="777"/>
      <c r="AK164" s="777"/>
      <c r="AL164" s="777"/>
      <c r="AM164" s="777"/>
      <c r="AN164" s="777"/>
      <c r="AO164" s="777"/>
      <c r="AP164" s="777"/>
      <c r="AQ164" s="777"/>
      <c r="AR164" s="777"/>
      <c r="AS164" s="777"/>
      <c r="AT164" s="777"/>
      <c r="AU164" s="777"/>
      <c r="AV164" s="777"/>
      <c r="AW164" s="777"/>
      <c r="AX164" s="777"/>
      <c r="AY164" s="777"/>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row>
    <row r="165" spans="1:72" x14ac:dyDescent="0.25">
      <c r="A165" s="777"/>
      <c r="B165" s="777"/>
      <c r="C165" s="777"/>
      <c r="D165" s="777"/>
      <c r="E165" s="777"/>
      <c r="F165" s="777"/>
      <c r="G165" s="777"/>
      <c r="H165" s="777"/>
      <c r="I165" s="777"/>
      <c r="J165" s="777"/>
      <c r="K165" s="777"/>
      <c r="L165" s="777"/>
      <c r="M165" s="777"/>
      <c r="N165" s="777"/>
      <c r="O165" s="777"/>
      <c r="P165" s="777"/>
      <c r="Q165" s="777"/>
      <c r="R165" s="777"/>
      <c r="S165" s="777"/>
      <c r="T165" s="777"/>
      <c r="U165" s="777"/>
      <c r="V165" s="777"/>
      <c r="W165" s="777"/>
      <c r="X165" s="777"/>
      <c r="Y165" s="777"/>
      <c r="Z165" s="777"/>
      <c r="AA165" s="777"/>
      <c r="AB165" s="777"/>
      <c r="AC165" s="777"/>
      <c r="AD165" s="777"/>
      <c r="AE165" s="777"/>
      <c r="AF165" s="777"/>
      <c r="AG165" s="777"/>
      <c r="AH165" s="777"/>
      <c r="AI165" s="777"/>
      <c r="AJ165" s="777"/>
      <c r="AK165" s="777"/>
      <c r="AL165" s="777"/>
      <c r="AM165" s="777"/>
      <c r="AN165" s="777"/>
      <c r="AO165" s="777"/>
      <c r="AP165" s="777"/>
      <c r="AQ165" s="777"/>
      <c r="AR165" s="777"/>
      <c r="AS165" s="777"/>
      <c r="AT165" s="777"/>
      <c r="AU165" s="777"/>
      <c r="AV165" s="777"/>
      <c r="AW165" s="777"/>
      <c r="AX165" s="777"/>
      <c r="AY165" s="777"/>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row>
    <row r="166" spans="1:72" x14ac:dyDescent="0.25">
      <c r="A166" s="777" t="s">
        <v>477</v>
      </c>
      <c r="B166" s="777"/>
      <c r="C166" s="777"/>
      <c r="D166" s="777"/>
      <c r="E166" s="777"/>
      <c r="F166" s="777"/>
      <c r="G166" s="777"/>
      <c r="H166" s="777"/>
      <c r="I166" s="777"/>
      <c r="J166" s="777"/>
      <c r="K166" s="777"/>
      <c r="L166" s="777"/>
      <c r="M166" s="777"/>
      <c r="N166" s="777"/>
      <c r="O166" s="777"/>
      <c r="P166" s="777"/>
      <c r="Q166" s="777"/>
      <c r="R166" s="777"/>
      <c r="S166" s="777"/>
      <c r="T166" s="777"/>
      <c r="U166" s="777"/>
      <c r="V166" s="777"/>
      <c r="W166" s="777"/>
      <c r="X166" s="777"/>
      <c r="Y166" s="777"/>
      <c r="Z166" s="777"/>
      <c r="AA166" s="777"/>
      <c r="AB166" s="777"/>
      <c r="AC166" s="777"/>
      <c r="AD166" s="777"/>
      <c r="AE166" s="777"/>
      <c r="AF166" s="777"/>
      <c r="AG166" s="777"/>
      <c r="AH166" s="777"/>
      <c r="AI166" s="777"/>
      <c r="AJ166" s="777"/>
      <c r="AK166" s="777"/>
      <c r="AL166" s="777"/>
      <c r="AM166" s="777"/>
      <c r="AN166" s="777"/>
      <c r="AO166" s="777"/>
      <c r="AP166" s="777"/>
      <c r="AQ166" s="777"/>
      <c r="AR166" s="777"/>
      <c r="AS166" s="777"/>
      <c r="AT166" s="777"/>
      <c r="AU166" s="777"/>
      <c r="AV166" s="777"/>
      <c r="AW166" s="777"/>
      <c r="AX166" s="777"/>
      <c r="AY166" s="777"/>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row>
    <row r="167" spans="1:72" x14ac:dyDescent="0.25">
      <c r="A167" s="777" t="s">
        <v>606</v>
      </c>
      <c r="B167" s="777">
        <v>23.31</v>
      </c>
      <c r="C167" s="777">
        <v>29.93</v>
      </c>
      <c r="D167" s="777">
        <v>25.58</v>
      </c>
      <c r="E167" s="777">
        <v>24.61</v>
      </c>
      <c r="F167" s="777">
        <v>25.02</v>
      </c>
      <c r="G167" s="777">
        <v>26.61</v>
      </c>
      <c r="H167" s="777">
        <v>28.36</v>
      </c>
      <c r="I167" s="777">
        <v>29.9</v>
      </c>
      <c r="J167" s="777">
        <v>31.07</v>
      </c>
      <c r="K167" s="777">
        <v>32.36</v>
      </c>
      <c r="L167" s="777">
        <v>33.58</v>
      </c>
      <c r="M167" s="777">
        <v>34.89</v>
      </c>
      <c r="N167" s="777">
        <v>35.840000000000003</v>
      </c>
      <c r="O167" s="777">
        <v>36.82</v>
      </c>
      <c r="P167" s="777">
        <v>37.89</v>
      </c>
      <c r="Q167" s="777">
        <v>38.979999999999997</v>
      </c>
      <c r="R167" s="777">
        <v>40.17</v>
      </c>
      <c r="S167" s="777">
        <v>41.36</v>
      </c>
      <c r="T167" s="777">
        <v>42.56</v>
      </c>
      <c r="U167" s="777">
        <v>43.64</v>
      </c>
      <c r="V167" s="777">
        <v>44.94</v>
      </c>
      <c r="W167" s="777">
        <v>46.27</v>
      </c>
      <c r="X167" s="777">
        <v>47.79</v>
      </c>
      <c r="Y167" s="777">
        <v>49.17</v>
      </c>
      <c r="Z167" s="777">
        <v>50.81</v>
      </c>
      <c r="AA167" s="777">
        <v>52.46</v>
      </c>
      <c r="AB167" s="777">
        <v>54.21</v>
      </c>
      <c r="AC167" s="777">
        <v>55.95</v>
      </c>
      <c r="AD167" s="777">
        <v>57.77</v>
      </c>
      <c r="AE167" s="813">
        <v>2.5000000000000001E-2</v>
      </c>
      <c r="AF167" s="777"/>
      <c r="AG167" s="777"/>
      <c r="AH167" s="777"/>
      <c r="AI167" s="777"/>
      <c r="AJ167" s="777"/>
      <c r="AK167" s="777"/>
      <c r="AL167" s="777"/>
      <c r="AM167" s="777"/>
      <c r="AN167" s="777"/>
      <c r="AO167" s="777"/>
      <c r="AP167" s="777"/>
      <c r="AQ167" s="777"/>
      <c r="AR167" s="777"/>
      <c r="AS167" s="777"/>
      <c r="AT167" s="777"/>
      <c r="AU167" s="777"/>
      <c r="AV167" s="777"/>
      <c r="AW167" s="777"/>
      <c r="AX167" s="777"/>
      <c r="AY167" s="777"/>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row>
    <row r="168" spans="1:72" x14ac:dyDescent="0.25">
      <c r="A168" s="777" t="s">
        <v>607</v>
      </c>
      <c r="B168" s="777">
        <v>26.83</v>
      </c>
      <c r="C168" s="777">
        <v>26.93</v>
      </c>
      <c r="D168" s="777">
        <v>23.64</v>
      </c>
      <c r="E168" s="777">
        <v>21.26</v>
      </c>
      <c r="F168" s="777">
        <v>21.89</v>
      </c>
      <c r="G168" s="777">
        <v>23.43</v>
      </c>
      <c r="H168" s="777">
        <v>26.07</v>
      </c>
      <c r="I168" s="777">
        <v>27.64</v>
      </c>
      <c r="J168" s="777">
        <v>28.47</v>
      </c>
      <c r="K168" s="777">
        <v>28.45</v>
      </c>
      <c r="L168" s="777">
        <v>29.92</v>
      </c>
      <c r="M168" s="777">
        <v>31.23</v>
      </c>
      <c r="N168" s="777">
        <v>31.97</v>
      </c>
      <c r="O168" s="777">
        <v>32.94</v>
      </c>
      <c r="P168" s="777">
        <v>34.090000000000003</v>
      </c>
      <c r="Q168" s="777">
        <v>35.479999999999997</v>
      </c>
      <c r="R168" s="777">
        <v>36.880000000000003</v>
      </c>
      <c r="S168" s="777">
        <v>37.979999999999997</v>
      </c>
      <c r="T168" s="777">
        <v>39.17</v>
      </c>
      <c r="U168" s="777">
        <v>40.479999999999997</v>
      </c>
      <c r="V168" s="777">
        <v>41.72</v>
      </c>
      <c r="W168" s="777">
        <v>43.4</v>
      </c>
      <c r="X168" s="777">
        <v>44.96</v>
      </c>
      <c r="Y168" s="777">
        <v>46.25</v>
      </c>
      <c r="Z168" s="777">
        <v>47.62</v>
      </c>
      <c r="AA168" s="777">
        <v>49.36</v>
      </c>
      <c r="AB168" s="777">
        <v>50.75</v>
      </c>
      <c r="AC168" s="777">
        <v>52.29</v>
      </c>
      <c r="AD168" s="777">
        <v>54.17</v>
      </c>
      <c r="AE168" s="813">
        <v>2.5999999999999999E-2</v>
      </c>
      <c r="AF168" s="777"/>
      <c r="AG168" s="777"/>
      <c r="AH168" s="777"/>
      <c r="AI168" s="777"/>
      <c r="AJ168" s="777"/>
      <c r="AK168" s="777"/>
      <c r="AL168" s="777"/>
      <c r="AM168" s="777"/>
      <c r="AN168" s="777"/>
      <c r="AO168" s="777"/>
      <c r="AP168" s="777"/>
      <c r="AQ168" s="777"/>
      <c r="AR168" s="777"/>
      <c r="AS168" s="777"/>
      <c r="AT168" s="777"/>
      <c r="AU168" s="777"/>
      <c r="AV168" s="777"/>
      <c r="AW168" s="777"/>
      <c r="AX168" s="777"/>
      <c r="AY168" s="777"/>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row>
    <row r="169" spans="1:72" x14ac:dyDescent="0.25">
      <c r="A169" s="777" t="s">
        <v>608</v>
      </c>
      <c r="B169" s="777">
        <v>23.15</v>
      </c>
      <c r="C169" s="777">
        <v>26.76</v>
      </c>
      <c r="D169" s="777">
        <v>19.43</v>
      </c>
      <c r="E169" s="777">
        <v>21.17</v>
      </c>
      <c r="F169" s="777">
        <v>21.79</v>
      </c>
      <c r="G169" s="777">
        <v>23.32</v>
      </c>
      <c r="H169" s="777">
        <v>25.87</v>
      </c>
      <c r="I169" s="777">
        <v>27.33</v>
      </c>
      <c r="J169" s="777">
        <v>28.27</v>
      </c>
      <c r="K169" s="777">
        <v>29.42</v>
      </c>
      <c r="L169" s="777">
        <v>30.58</v>
      </c>
      <c r="M169" s="777">
        <v>31.65</v>
      </c>
      <c r="N169" s="777">
        <v>32.6</v>
      </c>
      <c r="O169" s="777">
        <v>33.72</v>
      </c>
      <c r="P169" s="777">
        <v>34.72</v>
      </c>
      <c r="Q169" s="777">
        <v>35.94</v>
      </c>
      <c r="R169" s="777">
        <v>37.020000000000003</v>
      </c>
      <c r="S169" s="777">
        <v>37.96</v>
      </c>
      <c r="T169" s="777">
        <v>39.18</v>
      </c>
      <c r="U169" s="777">
        <v>40.44</v>
      </c>
      <c r="V169" s="777">
        <v>41.69</v>
      </c>
      <c r="W169" s="777">
        <v>43.21</v>
      </c>
      <c r="X169" s="777">
        <v>44.7</v>
      </c>
      <c r="Y169" s="777">
        <v>45.91</v>
      </c>
      <c r="Z169" s="777">
        <v>47.47</v>
      </c>
      <c r="AA169" s="777">
        <v>49.16</v>
      </c>
      <c r="AB169" s="777">
        <v>50.66</v>
      </c>
      <c r="AC169" s="777">
        <v>52.36</v>
      </c>
      <c r="AD169" s="777">
        <v>54.33</v>
      </c>
      <c r="AE169" s="813">
        <v>2.7E-2</v>
      </c>
      <c r="AF169" s="777"/>
      <c r="AG169" s="777"/>
      <c r="AH169" s="777"/>
      <c r="AI169" s="777"/>
      <c r="AJ169" s="777"/>
      <c r="AK169" s="777"/>
      <c r="AL169" s="777"/>
      <c r="AM169" s="777"/>
      <c r="AN169" s="777"/>
      <c r="AO169" s="777"/>
      <c r="AP169" s="777"/>
      <c r="AQ169" s="777"/>
      <c r="AR169" s="777"/>
      <c r="AS169" s="777"/>
      <c r="AT169" s="777"/>
      <c r="AU169" s="777"/>
      <c r="AV169" s="777"/>
      <c r="AW169" s="777"/>
      <c r="AX169" s="777"/>
      <c r="AY169" s="777"/>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row>
    <row r="170" spans="1:72" x14ac:dyDescent="0.25">
      <c r="A170" s="777" t="s">
        <v>609</v>
      </c>
      <c r="B170" s="777">
        <v>15.42</v>
      </c>
      <c r="C170" s="777">
        <v>22.71</v>
      </c>
      <c r="D170" s="777">
        <v>12.92</v>
      </c>
      <c r="E170" s="777">
        <v>15.23</v>
      </c>
      <c r="F170" s="777">
        <v>15.82</v>
      </c>
      <c r="G170" s="777">
        <v>17.510000000000002</v>
      </c>
      <c r="H170" s="777">
        <v>19.05</v>
      </c>
      <c r="I170" s="777">
        <v>20.23</v>
      </c>
      <c r="J170" s="777">
        <v>21.21</v>
      </c>
      <c r="K170" s="777">
        <v>22.42</v>
      </c>
      <c r="L170" s="777">
        <v>23.58</v>
      </c>
      <c r="M170" s="777">
        <v>24.67</v>
      </c>
      <c r="N170" s="777">
        <v>25.58</v>
      </c>
      <c r="O170" s="777">
        <v>26.51</v>
      </c>
      <c r="P170" s="777">
        <v>27.27</v>
      </c>
      <c r="Q170" s="777">
        <v>28.18</v>
      </c>
      <c r="R170" s="777">
        <v>29.2</v>
      </c>
      <c r="S170" s="777">
        <v>30.07</v>
      </c>
      <c r="T170" s="777">
        <v>31.1</v>
      </c>
      <c r="U170" s="777">
        <v>32.130000000000003</v>
      </c>
      <c r="V170" s="777">
        <v>33.21</v>
      </c>
      <c r="W170" s="777">
        <v>34.54</v>
      </c>
      <c r="X170" s="777">
        <v>35.83</v>
      </c>
      <c r="Y170" s="777">
        <v>36.99</v>
      </c>
      <c r="Z170" s="777">
        <v>38.42</v>
      </c>
      <c r="AA170" s="777">
        <v>39.92</v>
      </c>
      <c r="AB170" s="777">
        <v>41.32</v>
      </c>
      <c r="AC170" s="777">
        <v>42.87</v>
      </c>
      <c r="AD170" s="777">
        <v>44.51</v>
      </c>
      <c r="AE170" s="813">
        <v>2.5000000000000001E-2</v>
      </c>
      <c r="AF170" s="777"/>
      <c r="AG170" s="777"/>
      <c r="AH170" s="777"/>
      <c r="AI170" s="777"/>
      <c r="AJ170" s="777"/>
      <c r="AK170" s="777"/>
      <c r="AL170" s="777"/>
      <c r="AM170" s="777"/>
      <c r="AN170" s="777"/>
      <c r="AO170" s="777"/>
      <c r="AP170" s="777"/>
      <c r="AQ170" s="777"/>
      <c r="AR170" s="777"/>
      <c r="AS170" s="777"/>
      <c r="AT170" s="777"/>
      <c r="AU170" s="777"/>
      <c r="AV170" s="777"/>
      <c r="AW170" s="777"/>
      <c r="AX170" s="777"/>
      <c r="AY170" s="777"/>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row>
    <row r="171" spans="1:72" x14ac:dyDescent="0.25">
      <c r="A171" s="777" t="s">
        <v>713</v>
      </c>
      <c r="B171" s="777">
        <v>21.08</v>
      </c>
      <c r="C171" s="777">
        <v>27.65</v>
      </c>
      <c r="D171" s="777">
        <v>18.04</v>
      </c>
      <c r="E171" s="777">
        <v>19.7</v>
      </c>
      <c r="F171" s="777">
        <v>20.149999999999999</v>
      </c>
      <c r="G171" s="777">
        <v>21.71</v>
      </c>
      <c r="H171" s="777">
        <v>23.2</v>
      </c>
      <c r="I171" s="777">
        <v>24.38</v>
      </c>
      <c r="J171" s="777">
        <v>25.56</v>
      </c>
      <c r="K171" s="777">
        <v>26.86</v>
      </c>
      <c r="L171" s="777">
        <v>28.03</v>
      </c>
      <c r="M171" s="777">
        <v>29.31</v>
      </c>
      <c r="N171" s="777">
        <v>30.31</v>
      </c>
      <c r="O171" s="777">
        <v>31.28</v>
      </c>
      <c r="P171" s="777">
        <v>32.19</v>
      </c>
      <c r="Q171" s="777">
        <v>33.32</v>
      </c>
      <c r="R171" s="777">
        <v>34.22</v>
      </c>
      <c r="S171" s="777">
        <v>35.03</v>
      </c>
      <c r="T171" s="777">
        <v>36.130000000000003</v>
      </c>
      <c r="U171" s="777">
        <v>37.17</v>
      </c>
      <c r="V171" s="777">
        <v>38.32</v>
      </c>
      <c r="W171" s="777">
        <v>39.61</v>
      </c>
      <c r="X171" s="777">
        <v>41.05</v>
      </c>
      <c r="Y171" s="777">
        <v>42.2</v>
      </c>
      <c r="Z171" s="777">
        <v>43.79</v>
      </c>
      <c r="AA171" s="777">
        <v>45.41</v>
      </c>
      <c r="AB171" s="777">
        <v>46.88</v>
      </c>
      <c r="AC171" s="777">
        <v>48.53</v>
      </c>
      <c r="AD171" s="777">
        <v>50.35</v>
      </c>
      <c r="AE171" s="813">
        <v>2.1999999999999999E-2</v>
      </c>
      <c r="AF171" s="777"/>
      <c r="AG171" s="777"/>
      <c r="AH171" s="777"/>
      <c r="AI171" s="777"/>
      <c r="AJ171" s="777"/>
      <c r="AK171" s="777"/>
      <c r="AL171" s="777"/>
      <c r="AM171" s="777"/>
      <c r="AN171" s="777"/>
      <c r="AO171" s="777"/>
      <c r="AP171" s="777"/>
      <c r="AQ171" s="777"/>
      <c r="AR171" s="777"/>
      <c r="AS171" s="777"/>
      <c r="AT171" s="777"/>
      <c r="AU171" s="777"/>
      <c r="AV171" s="777"/>
      <c r="AW171" s="777"/>
      <c r="AX171" s="777"/>
      <c r="AY171" s="777"/>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row>
    <row r="172" spans="1:72" x14ac:dyDescent="0.25">
      <c r="A172" s="777" t="s">
        <v>600</v>
      </c>
      <c r="B172" s="777">
        <v>8.99</v>
      </c>
      <c r="C172" s="777">
        <v>14.49</v>
      </c>
      <c r="D172" s="777">
        <v>9</v>
      </c>
      <c r="E172" s="777">
        <v>10.51</v>
      </c>
      <c r="F172" s="777">
        <v>10.77</v>
      </c>
      <c r="G172" s="777">
        <v>12.17</v>
      </c>
      <c r="H172" s="777">
        <v>13.4</v>
      </c>
      <c r="I172" s="777">
        <v>14.45</v>
      </c>
      <c r="J172" s="777">
        <v>15.13</v>
      </c>
      <c r="K172" s="777">
        <v>15.77</v>
      </c>
      <c r="L172" s="777">
        <v>16.670000000000002</v>
      </c>
      <c r="M172" s="777">
        <v>17.43</v>
      </c>
      <c r="N172" s="777">
        <v>17.940000000000001</v>
      </c>
      <c r="O172" s="777">
        <v>18.32</v>
      </c>
      <c r="P172" s="777">
        <v>19</v>
      </c>
      <c r="Q172" s="777">
        <v>19.57</v>
      </c>
      <c r="R172" s="777">
        <v>20.260000000000002</v>
      </c>
      <c r="S172" s="777">
        <v>20.94</v>
      </c>
      <c r="T172" s="777">
        <v>21.63</v>
      </c>
      <c r="U172" s="777">
        <v>22.13</v>
      </c>
      <c r="V172" s="777">
        <v>23.02</v>
      </c>
      <c r="W172" s="777">
        <v>23.85</v>
      </c>
      <c r="X172" s="777">
        <v>24.8</v>
      </c>
      <c r="Y172" s="777">
        <v>25.81</v>
      </c>
      <c r="Z172" s="777">
        <v>26.88</v>
      </c>
      <c r="AA172" s="777">
        <v>27.91</v>
      </c>
      <c r="AB172" s="777">
        <v>28.9</v>
      </c>
      <c r="AC172" s="777">
        <v>30.02</v>
      </c>
      <c r="AD172" s="777">
        <v>31.26</v>
      </c>
      <c r="AE172" s="813">
        <v>2.9000000000000001E-2</v>
      </c>
      <c r="AF172" s="777"/>
      <c r="AG172" s="777"/>
      <c r="AH172" s="777"/>
      <c r="AI172" s="777"/>
      <c r="AJ172" s="777"/>
      <c r="AK172" s="777"/>
      <c r="AL172" s="777"/>
      <c r="AM172" s="777"/>
      <c r="AN172" s="777"/>
      <c r="AO172" s="777"/>
      <c r="AP172" s="777"/>
      <c r="AQ172" s="777"/>
      <c r="AR172" s="777"/>
      <c r="AS172" s="777"/>
      <c r="AT172" s="777"/>
      <c r="AU172" s="777"/>
      <c r="AV172" s="777"/>
      <c r="AW172" s="777"/>
      <c r="AX172" s="777"/>
      <c r="AY172" s="777"/>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row>
    <row r="173" spans="1:72" x14ac:dyDescent="0.25">
      <c r="A173" s="777" t="s">
        <v>611</v>
      </c>
      <c r="B173" s="777">
        <v>13.54</v>
      </c>
      <c r="C173" s="777">
        <v>15.96</v>
      </c>
      <c r="D173" s="777">
        <v>11.54</v>
      </c>
      <c r="E173" s="777">
        <v>12.36</v>
      </c>
      <c r="F173" s="777">
        <v>13.66</v>
      </c>
      <c r="G173" s="777">
        <v>14.28</v>
      </c>
      <c r="H173" s="777">
        <v>14.39</v>
      </c>
      <c r="I173" s="777">
        <v>14.52</v>
      </c>
      <c r="J173" s="777">
        <v>14.9</v>
      </c>
      <c r="K173" s="777">
        <v>15.21</v>
      </c>
      <c r="L173" s="777">
        <v>15.46</v>
      </c>
      <c r="M173" s="777">
        <v>15.74</v>
      </c>
      <c r="N173" s="777">
        <v>16.04</v>
      </c>
      <c r="O173" s="777">
        <v>16.43</v>
      </c>
      <c r="P173" s="777">
        <v>16.8</v>
      </c>
      <c r="Q173" s="777">
        <v>17.32</v>
      </c>
      <c r="R173" s="777">
        <v>17.64</v>
      </c>
      <c r="S173" s="777">
        <v>17.829999999999998</v>
      </c>
      <c r="T173" s="777">
        <v>18.23</v>
      </c>
      <c r="U173" s="777">
        <v>18.760000000000002</v>
      </c>
      <c r="V173" s="777">
        <v>19.309999999999999</v>
      </c>
      <c r="W173" s="777">
        <v>19.98</v>
      </c>
      <c r="X173" s="777">
        <v>20.67</v>
      </c>
      <c r="Y173" s="777">
        <v>21.42</v>
      </c>
      <c r="Z173" s="777">
        <v>22.31</v>
      </c>
      <c r="AA173" s="777">
        <v>22.94</v>
      </c>
      <c r="AB173" s="777">
        <v>23.44</v>
      </c>
      <c r="AC173" s="777">
        <v>24.19</v>
      </c>
      <c r="AD173" s="777">
        <v>24.84</v>
      </c>
      <c r="AE173" s="813">
        <v>1.7000000000000001E-2</v>
      </c>
      <c r="AF173" s="777"/>
      <c r="AG173" s="777"/>
      <c r="AH173" s="777"/>
      <c r="AI173" s="777"/>
      <c r="AJ173" s="777"/>
      <c r="AK173" s="777"/>
      <c r="AL173" s="777"/>
      <c r="AM173" s="777"/>
      <c r="AN173" s="777"/>
      <c r="AO173" s="777"/>
      <c r="AP173" s="777"/>
      <c r="AQ173" s="777"/>
      <c r="AR173" s="777"/>
      <c r="AS173" s="777"/>
      <c r="AT173" s="777"/>
      <c r="AU173" s="777"/>
      <c r="AV173" s="777"/>
      <c r="AW173" s="777"/>
      <c r="AX173" s="777"/>
      <c r="AY173" s="777"/>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row>
    <row r="174" spans="1:72" x14ac:dyDescent="0.25">
      <c r="A174" s="777" t="s">
        <v>469</v>
      </c>
      <c r="B174" s="777">
        <v>31.32</v>
      </c>
      <c r="C174" s="777">
        <v>33.729999999999997</v>
      </c>
      <c r="D174" s="777">
        <v>32.79</v>
      </c>
      <c r="E174" s="777">
        <v>31.2</v>
      </c>
      <c r="F174" s="777">
        <v>28.83</v>
      </c>
      <c r="G174" s="777">
        <v>31.39</v>
      </c>
      <c r="H174" s="777">
        <v>32.01</v>
      </c>
      <c r="I174" s="777">
        <v>31.85</v>
      </c>
      <c r="J174" s="777">
        <v>32.08</v>
      </c>
      <c r="K174" s="777">
        <v>32.909999999999997</v>
      </c>
      <c r="L174" s="777">
        <v>33.549999999999997</v>
      </c>
      <c r="M174" s="777">
        <v>33.97</v>
      </c>
      <c r="N174" s="777">
        <v>34.26</v>
      </c>
      <c r="O174" s="777">
        <v>34.89</v>
      </c>
      <c r="P174" s="777">
        <v>35.61</v>
      </c>
      <c r="Q174" s="777">
        <v>36.26</v>
      </c>
      <c r="R174" s="777">
        <v>37.11</v>
      </c>
      <c r="S174" s="777">
        <v>38.1</v>
      </c>
      <c r="T174" s="777">
        <v>38.86</v>
      </c>
      <c r="U174" s="777">
        <v>40</v>
      </c>
      <c r="V174" s="777">
        <v>41.47</v>
      </c>
      <c r="W174" s="777">
        <v>43.05</v>
      </c>
      <c r="X174" s="777">
        <v>45.05</v>
      </c>
      <c r="Y174" s="777">
        <v>46.8</v>
      </c>
      <c r="Z174" s="777">
        <v>48.78</v>
      </c>
      <c r="AA174" s="777">
        <v>50.72</v>
      </c>
      <c r="AB174" s="777">
        <v>52.33</v>
      </c>
      <c r="AC174" s="777">
        <v>54.13</v>
      </c>
      <c r="AD174" s="777">
        <v>55.89</v>
      </c>
      <c r="AE174" s="813">
        <v>1.9E-2</v>
      </c>
      <c r="AF174" s="777"/>
      <c r="AG174" s="777"/>
      <c r="AH174" s="777"/>
      <c r="AI174" s="777"/>
      <c r="AJ174" s="777"/>
      <c r="AK174" s="777"/>
      <c r="AL174" s="777"/>
      <c r="AM174" s="777"/>
      <c r="AN174" s="777"/>
      <c r="AO174" s="777"/>
      <c r="AP174" s="777"/>
      <c r="AQ174" s="777"/>
      <c r="AR174" s="777"/>
      <c r="AS174" s="777"/>
      <c r="AT174" s="777"/>
      <c r="AU174" s="777"/>
      <c r="AV174" s="777"/>
      <c r="AW174" s="777"/>
      <c r="AX174" s="777"/>
      <c r="AY174" s="777"/>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row>
    <row r="175" spans="1:72" x14ac:dyDescent="0.25">
      <c r="A175" s="777"/>
      <c r="B175" s="777"/>
      <c r="C175" s="777"/>
      <c r="D175" s="777"/>
      <c r="E175" s="777"/>
      <c r="F175" s="777"/>
      <c r="G175" s="777"/>
      <c r="H175" s="777"/>
      <c r="I175" s="777"/>
      <c r="J175" s="777"/>
      <c r="K175" s="777"/>
      <c r="L175" s="777"/>
      <c r="M175" s="777"/>
      <c r="N175" s="777"/>
      <c r="O175" s="777"/>
      <c r="P175" s="777"/>
      <c r="Q175" s="777"/>
      <c r="R175" s="777"/>
      <c r="S175" s="777"/>
      <c r="T175" s="777"/>
      <c r="U175" s="777"/>
      <c r="V175" s="777"/>
      <c r="W175" s="777"/>
      <c r="X175" s="777"/>
      <c r="Y175" s="777"/>
      <c r="Z175" s="777"/>
      <c r="AA175" s="777"/>
      <c r="AB175" s="777"/>
      <c r="AC175" s="777"/>
      <c r="AD175" s="777"/>
      <c r="AE175" s="777"/>
      <c r="AF175" s="777"/>
      <c r="AG175" s="777"/>
      <c r="AH175" s="777"/>
      <c r="AI175" s="777"/>
      <c r="AJ175" s="777"/>
      <c r="AK175" s="777"/>
      <c r="AL175" s="777"/>
      <c r="AM175" s="777"/>
      <c r="AN175" s="777"/>
      <c r="AO175" s="777"/>
      <c r="AP175" s="777"/>
      <c r="AQ175" s="777"/>
      <c r="AR175" s="777"/>
      <c r="AS175" s="777"/>
      <c r="AT175" s="777"/>
      <c r="AU175" s="777"/>
      <c r="AV175" s="777"/>
      <c r="AW175" s="777"/>
      <c r="AX175" s="777"/>
      <c r="AY175" s="777"/>
      <c r="AZ175" s="777"/>
      <c r="BA175" s="777"/>
      <c r="BB175" s="777"/>
      <c r="BC175" s="777"/>
      <c r="BD175" s="777"/>
      <c r="BE175" s="777"/>
      <c r="BF175" s="777"/>
      <c r="BG175" s="777"/>
      <c r="BH175" s="777"/>
      <c r="BI175" s="777"/>
      <c r="BJ175" s="777"/>
      <c r="BK175" s="777"/>
      <c r="BL175" s="777"/>
      <c r="BM175" s="777"/>
      <c r="BN175" s="777"/>
      <c r="BO175" s="777"/>
      <c r="BP175" s="777"/>
      <c r="BQ175" s="777"/>
      <c r="BR175" s="777"/>
      <c r="BS175" s="777"/>
      <c r="BT175" s="777"/>
    </row>
    <row r="176" spans="1:72" x14ac:dyDescent="0.25">
      <c r="A176" s="777" t="s">
        <v>612</v>
      </c>
      <c r="B176" s="777"/>
      <c r="C176" s="777"/>
      <c r="D176" s="777"/>
      <c r="E176" s="777"/>
      <c r="F176" s="777"/>
      <c r="G176" s="777"/>
      <c r="H176" s="777"/>
      <c r="I176" s="777"/>
      <c r="J176" s="777"/>
      <c r="K176" s="777"/>
      <c r="L176" s="777"/>
      <c r="M176" s="777"/>
      <c r="N176" s="777"/>
      <c r="O176" s="777"/>
      <c r="P176" s="777"/>
      <c r="Q176" s="777"/>
      <c r="R176" s="777"/>
      <c r="S176" s="777"/>
      <c r="T176" s="777"/>
      <c r="U176" s="777"/>
      <c r="V176" s="777"/>
      <c r="W176" s="777"/>
      <c r="X176" s="777"/>
      <c r="Y176" s="777"/>
      <c r="Z176" s="777"/>
      <c r="AA176" s="777"/>
      <c r="AB176" s="777"/>
      <c r="AC176" s="777"/>
      <c r="AD176" s="777"/>
      <c r="AE176" s="777"/>
      <c r="AF176" s="777"/>
      <c r="AG176" s="777"/>
      <c r="AH176" s="777"/>
      <c r="AI176" s="777"/>
      <c r="AJ176" s="777"/>
      <c r="AK176" s="777"/>
      <c r="AL176" s="777"/>
      <c r="AM176" s="777"/>
      <c r="AN176" s="777"/>
      <c r="AO176" s="777"/>
      <c r="AP176" s="777"/>
      <c r="AQ176" s="777"/>
      <c r="AR176" s="777"/>
      <c r="AS176" s="777"/>
      <c r="AT176" s="777"/>
      <c r="AU176" s="777"/>
      <c r="AV176" s="777"/>
      <c r="AW176" s="777"/>
      <c r="AX176" s="777"/>
      <c r="AY176" s="777"/>
      <c r="AZ176" s="777"/>
      <c r="BA176" s="777"/>
      <c r="BB176" s="777"/>
      <c r="BC176" s="777"/>
      <c r="BD176" s="777"/>
      <c r="BE176" s="777"/>
      <c r="BF176" s="777"/>
      <c r="BG176" s="777"/>
      <c r="BH176" s="777"/>
      <c r="BI176" s="777"/>
      <c r="BJ176" s="777"/>
      <c r="BK176" s="777"/>
      <c r="BL176" s="777"/>
      <c r="BM176" s="777"/>
      <c r="BN176" s="777"/>
      <c r="BO176" s="777"/>
      <c r="BP176" s="777"/>
      <c r="BQ176" s="777"/>
      <c r="BR176" s="777"/>
      <c r="BS176" s="777"/>
      <c r="BT176" s="777"/>
    </row>
    <row r="177" spans="1:72" x14ac:dyDescent="0.25">
      <c r="A177" s="777" t="s">
        <v>599</v>
      </c>
      <c r="B177" s="777">
        <v>15.41</v>
      </c>
      <c r="C177" s="777">
        <v>19.37</v>
      </c>
      <c r="D177" s="777">
        <v>14.46</v>
      </c>
      <c r="E177" s="777">
        <v>14.33</v>
      </c>
      <c r="F177" s="777">
        <v>14.68</v>
      </c>
      <c r="G177" s="777">
        <v>16.09</v>
      </c>
      <c r="H177" s="777">
        <v>17.46</v>
      </c>
      <c r="I177" s="777">
        <v>18.510000000000002</v>
      </c>
      <c r="J177" s="777">
        <v>19.350000000000001</v>
      </c>
      <c r="K177" s="777">
        <v>20.67</v>
      </c>
      <c r="L177" s="777">
        <v>21.81</v>
      </c>
      <c r="M177" s="777">
        <v>22.96</v>
      </c>
      <c r="N177" s="777">
        <v>23.88</v>
      </c>
      <c r="O177" s="777">
        <v>24.75</v>
      </c>
      <c r="P177" s="777">
        <v>25.46</v>
      </c>
      <c r="Q177" s="777">
        <v>26.24</v>
      </c>
      <c r="R177" s="777">
        <v>27.22</v>
      </c>
      <c r="S177" s="777">
        <v>28.03</v>
      </c>
      <c r="T177" s="777">
        <v>28.98</v>
      </c>
      <c r="U177" s="777">
        <v>29.93</v>
      </c>
      <c r="V177" s="777">
        <v>30.88</v>
      </c>
      <c r="W177" s="777">
        <v>32</v>
      </c>
      <c r="X177" s="777">
        <v>33.28</v>
      </c>
      <c r="Y177" s="777">
        <v>34.28</v>
      </c>
      <c r="Z177" s="777">
        <v>35.71</v>
      </c>
      <c r="AA177" s="777">
        <v>37.130000000000003</v>
      </c>
      <c r="AB177" s="777">
        <v>38.46</v>
      </c>
      <c r="AC177" s="777">
        <v>39.950000000000003</v>
      </c>
      <c r="AD177" s="777">
        <v>41.52</v>
      </c>
      <c r="AE177" s="813">
        <v>2.9000000000000001E-2</v>
      </c>
      <c r="AF177" s="777"/>
      <c r="AG177" s="777"/>
      <c r="AH177" s="777"/>
      <c r="AI177" s="777"/>
      <c r="AJ177" s="777"/>
      <c r="AK177" s="777"/>
      <c r="AL177" s="777"/>
      <c r="AM177" s="777"/>
      <c r="AN177" s="777"/>
      <c r="AO177" s="777"/>
      <c r="AP177" s="777"/>
      <c r="AQ177" s="777"/>
      <c r="AR177" s="777"/>
      <c r="AS177" s="777"/>
      <c r="AT177" s="777"/>
      <c r="AU177" s="777"/>
      <c r="AV177" s="777"/>
      <c r="AW177" s="777"/>
      <c r="AX177" s="777"/>
      <c r="AY177" s="777"/>
      <c r="AZ177" s="777"/>
      <c r="BA177" s="777"/>
      <c r="BB177" s="777"/>
      <c r="BC177" s="777"/>
      <c r="BD177" s="777"/>
      <c r="BE177" s="777"/>
      <c r="BF177" s="777"/>
      <c r="BG177" s="777"/>
      <c r="BH177" s="777"/>
      <c r="BI177" s="777"/>
      <c r="BJ177" s="777"/>
      <c r="BK177" s="777"/>
      <c r="BL177" s="777"/>
      <c r="BM177" s="777"/>
      <c r="BN177" s="777"/>
      <c r="BO177" s="777"/>
      <c r="BP177" s="777"/>
      <c r="BQ177" s="777"/>
      <c r="BR177" s="777"/>
      <c r="BS177" s="777"/>
      <c r="BT177" s="777"/>
    </row>
    <row r="178" spans="1:72" x14ac:dyDescent="0.25">
      <c r="A178" s="777" t="s">
        <v>600</v>
      </c>
      <c r="B178" s="777">
        <v>8.84</v>
      </c>
      <c r="C178" s="777">
        <v>14.56</v>
      </c>
      <c r="D178" s="777">
        <v>8.92</v>
      </c>
      <c r="E178" s="777">
        <v>12.37</v>
      </c>
      <c r="F178" s="777">
        <v>12.7</v>
      </c>
      <c r="G178" s="777">
        <v>14.13</v>
      </c>
      <c r="H178" s="777">
        <v>15.48</v>
      </c>
      <c r="I178" s="777">
        <v>16.55</v>
      </c>
      <c r="J178" s="777">
        <v>17.3</v>
      </c>
      <c r="K178" s="777">
        <v>18.07</v>
      </c>
      <c r="L178" s="777">
        <v>19.010000000000002</v>
      </c>
      <c r="M178" s="777">
        <v>19.88</v>
      </c>
      <c r="N178" s="777">
        <v>20.54</v>
      </c>
      <c r="O178" s="777">
        <v>21.05</v>
      </c>
      <c r="P178" s="777">
        <v>21.8</v>
      </c>
      <c r="Q178" s="777">
        <v>22.48</v>
      </c>
      <c r="R178" s="777">
        <v>23.26</v>
      </c>
      <c r="S178" s="777">
        <v>24.05</v>
      </c>
      <c r="T178" s="777">
        <v>24.83</v>
      </c>
      <c r="U178" s="777">
        <v>25.46</v>
      </c>
      <c r="V178" s="777">
        <v>26.42</v>
      </c>
      <c r="W178" s="777">
        <v>27.37</v>
      </c>
      <c r="X178" s="777">
        <v>28.4</v>
      </c>
      <c r="Y178" s="777">
        <v>29.5</v>
      </c>
      <c r="Z178" s="777">
        <v>30.7</v>
      </c>
      <c r="AA178" s="777">
        <v>31.85</v>
      </c>
      <c r="AB178" s="777">
        <v>32.92</v>
      </c>
      <c r="AC178" s="777">
        <v>34.19</v>
      </c>
      <c r="AD178" s="777">
        <v>35.49</v>
      </c>
      <c r="AE178" s="813">
        <v>3.4000000000000002E-2</v>
      </c>
      <c r="AF178" s="777"/>
      <c r="AG178" s="777"/>
      <c r="AH178" s="777"/>
      <c r="AI178" s="777"/>
      <c r="AJ178" s="777"/>
      <c r="AK178" s="777"/>
      <c r="AL178" s="777"/>
      <c r="AM178" s="777"/>
      <c r="AN178" s="777"/>
      <c r="AO178" s="777"/>
      <c r="AP178" s="777"/>
      <c r="AQ178" s="777"/>
      <c r="AR178" s="777"/>
      <c r="AS178" s="777"/>
      <c r="AT178" s="777"/>
      <c r="AU178" s="777"/>
      <c r="AV178" s="777"/>
      <c r="AW178" s="777"/>
      <c r="AX178" s="777"/>
      <c r="AY178" s="777"/>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row>
    <row r="179" spans="1:72" x14ac:dyDescent="0.25">
      <c r="A179" s="777" t="s">
        <v>500</v>
      </c>
      <c r="B179" s="777">
        <v>7.1</v>
      </c>
      <c r="C179" s="777">
        <v>9.09</v>
      </c>
      <c r="D179" s="777">
        <v>4.2</v>
      </c>
      <c r="E179" s="777">
        <v>4.99</v>
      </c>
      <c r="F179" s="777">
        <v>6.07</v>
      </c>
      <c r="G179" s="777">
        <v>6.53</v>
      </c>
      <c r="H179" s="777">
        <v>6.4</v>
      </c>
      <c r="I179" s="777">
        <v>6.47</v>
      </c>
      <c r="J179" s="777">
        <v>6.77</v>
      </c>
      <c r="K179" s="777">
        <v>6.99</v>
      </c>
      <c r="L179" s="777">
        <v>7.13</v>
      </c>
      <c r="M179" s="777">
        <v>7.32</v>
      </c>
      <c r="N179" s="777">
        <v>7.53</v>
      </c>
      <c r="O179" s="777">
        <v>7.85</v>
      </c>
      <c r="P179" s="777">
        <v>8.1300000000000008</v>
      </c>
      <c r="Q179" s="777">
        <v>8.5399999999999991</v>
      </c>
      <c r="R179" s="777">
        <v>8.7799999999999994</v>
      </c>
      <c r="S179" s="777">
        <v>8.91</v>
      </c>
      <c r="T179" s="777">
        <v>9.17</v>
      </c>
      <c r="U179" s="777">
        <v>9.57</v>
      </c>
      <c r="V179" s="777">
        <v>9.9700000000000006</v>
      </c>
      <c r="W179" s="777">
        <v>10.51</v>
      </c>
      <c r="X179" s="777">
        <v>11.09</v>
      </c>
      <c r="Y179" s="777">
        <v>11.66</v>
      </c>
      <c r="Z179" s="777">
        <v>12.38</v>
      </c>
      <c r="AA179" s="777">
        <v>12.84</v>
      </c>
      <c r="AB179" s="777">
        <v>13.16</v>
      </c>
      <c r="AC179" s="777">
        <v>13.75</v>
      </c>
      <c r="AD179" s="777">
        <v>14.22</v>
      </c>
      <c r="AE179" s="813">
        <v>1.7000000000000001E-2</v>
      </c>
      <c r="AF179" s="777"/>
      <c r="AG179" s="777"/>
      <c r="AH179" s="777"/>
      <c r="AI179" s="777"/>
      <c r="AJ179" s="777"/>
      <c r="AK179" s="777"/>
      <c r="AL179" s="777"/>
      <c r="AM179" s="777"/>
      <c r="AN179" s="777"/>
      <c r="AO179" s="777"/>
      <c r="AP179" s="777"/>
      <c r="AQ179" s="777"/>
      <c r="AR179" s="777"/>
      <c r="AS179" s="777"/>
      <c r="AT179" s="777"/>
      <c r="AU179" s="777"/>
      <c r="AV179" s="777"/>
      <c r="AW179" s="777"/>
      <c r="AX179" s="777"/>
      <c r="AY179" s="777"/>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row>
    <row r="180" spans="1:72" x14ac:dyDescent="0.25">
      <c r="A180" s="777" t="s">
        <v>613</v>
      </c>
      <c r="B180" s="777">
        <v>1.76</v>
      </c>
      <c r="C180" s="777">
        <v>2.0499999999999998</v>
      </c>
      <c r="D180" s="777">
        <v>2.1800000000000002</v>
      </c>
      <c r="E180" s="777">
        <v>2.0499999999999998</v>
      </c>
      <c r="F180" s="777">
        <v>2.0699999999999998</v>
      </c>
      <c r="G180" s="777">
        <v>2.1</v>
      </c>
      <c r="H180" s="777">
        <v>2.15</v>
      </c>
      <c r="I180" s="777">
        <v>2.19</v>
      </c>
      <c r="J180" s="777">
        <v>2.2400000000000002</v>
      </c>
      <c r="K180" s="777">
        <v>2.2599999999999998</v>
      </c>
      <c r="L180" s="777">
        <v>2.31</v>
      </c>
      <c r="M180" s="777">
        <v>2.34</v>
      </c>
      <c r="N180" s="777">
        <v>2.38</v>
      </c>
      <c r="O180" s="777">
        <v>2.42</v>
      </c>
      <c r="P180" s="777">
        <v>2.4700000000000002</v>
      </c>
      <c r="Q180" s="777">
        <v>2.54</v>
      </c>
      <c r="R180" s="777">
        <v>2.59</v>
      </c>
      <c r="S180" s="777">
        <v>2.65</v>
      </c>
      <c r="T180" s="777">
        <v>2.69</v>
      </c>
      <c r="U180" s="777">
        <v>2.77</v>
      </c>
      <c r="V180" s="777">
        <v>2.82</v>
      </c>
      <c r="W180" s="777">
        <v>2.9</v>
      </c>
      <c r="X180" s="777">
        <v>2.98</v>
      </c>
      <c r="Y180" s="777">
        <v>3.06</v>
      </c>
      <c r="Z180" s="777">
        <v>3.15</v>
      </c>
      <c r="AA180" s="777">
        <v>3.23</v>
      </c>
      <c r="AB180" s="777">
        <v>3.32</v>
      </c>
      <c r="AC180" s="777">
        <v>3.41</v>
      </c>
      <c r="AD180" s="777">
        <v>3.51</v>
      </c>
      <c r="AE180" s="813">
        <v>0.02</v>
      </c>
      <c r="AF180" s="777"/>
      <c r="AG180" s="777"/>
      <c r="AH180" s="777"/>
      <c r="AI180" s="777"/>
      <c r="AJ180" s="777"/>
      <c r="AK180" s="777"/>
      <c r="AL180" s="777"/>
      <c r="AM180" s="777"/>
      <c r="AN180" s="777"/>
      <c r="AO180" s="777"/>
      <c r="AP180" s="777"/>
      <c r="AQ180" s="777"/>
      <c r="AR180" s="777"/>
      <c r="AS180" s="777"/>
      <c r="AT180" s="777"/>
      <c r="AU180" s="777"/>
      <c r="AV180" s="777"/>
      <c r="AW180" s="777"/>
      <c r="AX180" s="777"/>
      <c r="AY180" s="777"/>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row>
    <row r="181" spans="1:72" x14ac:dyDescent="0.25">
      <c r="A181" s="777"/>
      <c r="B181" s="777"/>
      <c r="C181" s="777"/>
      <c r="D181" s="777"/>
      <c r="E181" s="777"/>
      <c r="F181" s="777"/>
      <c r="G181" s="777"/>
      <c r="H181" s="777"/>
      <c r="I181" s="777"/>
      <c r="J181" s="777"/>
      <c r="K181" s="777"/>
      <c r="L181" s="777"/>
      <c r="M181" s="777"/>
      <c r="N181" s="777"/>
      <c r="O181" s="777"/>
      <c r="P181" s="777"/>
      <c r="Q181" s="777"/>
      <c r="R181" s="777"/>
      <c r="S181" s="777"/>
      <c r="T181" s="777"/>
      <c r="U181" s="777"/>
      <c r="V181" s="777"/>
      <c r="W181" s="777"/>
      <c r="X181" s="777"/>
      <c r="Y181" s="777"/>
      <c r="Z181" s="777"/>
      <c r="AA181" s="777"/>
      <c r="AB181" s="777"/>
      <c r="AC181" s="777"/>
      <c r="AD181" s="777"/>
      <c r="AE181" s="777"/>
      <c r="AF181" s="777"/>
      <c r="AG181" s="777"/>
      <c r="AH181" s="777"/>
      <c r="AI181" s="777"/>
      <c r="AJ181" s="777"/>
      <c r="AK181" s="777"/>
      <c r="AL181" s="777"/>
      <c r="AM181" s="777"/>
      <c r="AN181" s="777"/>
      <c r="AO181" s="777"/>
      <c r="AP181" s="777"/>
      <c r="AQ181" s="777"/>
      <c r="AR181" s="777"/>
      <c r="AS181" s="777"/>
      <c r="AT181" s="777"/>
      <c r="AU181" s="777"/>
      <c r="AV181" s="777"/>
      <c r="AW181" s="777"/>
      <c r="AX181" s="777"/>
      <c r="AY181" s="777"/>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row>
    <row r="182" spans="1:72" x14ac:dyDescent="0.25">
      <c r="A182" s="777" t="s">
        <v>614</v>
      </c>
      <c r="B182" s="777"/>
      <c r="C182" s="777"/>
      <c r="D182" s="777"/>
      <c r="E182" s="777"/>
      <c r="F182" s="777"/>
      <c r="G182" s="777"/>
      <c r="H182" s="777"/>
      <c r="I182" s="777"/>
      <c r="J182" s="777"/>
      <c r="K182" s="777"/>
      <c r="L182" s="777"/>
      <c r="M182" s="777"/>
      <c r="N182" s="777"/>
      <c r="O182" s="777"/>
      <c r="P182" s="777"/>
      <c r="Q182" s="777"/>
      <c r="R182" s="777"/>
      <c r="S182" s="777"/>
      <c r="T182" s="777"/>
      <c r="U182" s="777"/>
      <c r="V182" s="777"/>
      <c r="W182" s="777"/>
      <c r="X182" s="777"/>
      <c r="Y182" s="777"/>
      <c r="Z182" s="777"/>
      <c r="AA182" s="777"/>
      <c r="AB182" s="777"/>
      <c r="AC182" s="777"/>
      <c r="AD182" s="777"/>
      <c r="AE182" s="777"/>
      <c r="AF182" s="777"/>
      <c r="AG182" s="777"/>
      <c r="AH182" s="777"/>
      <c r="AI182" s="777"/>
      <c r="AJ182" s="777"/>
      <c r="AK182" s="777"/>
      <c r="AL182" s="777"/>
      <c r="AM182" s="777"/>
      <c r="AN182" s="777"/>
      <c r="AO182" s="777"/>
      <c r="AP182" s="777"/>
      <c r="AQ182" s="777"/>
      <c r="AR182" s="777"/>
      <c r="AS182" s="777"/>
      <c r="AT182" s="777"/>
      <c r="AU182" s="777"/>
      <c r="AV182" s="777"/>
      <c r="AW182" s="777"/>
      <c r="AX182" s="777"/>
      <c r="AY182" s="777"/>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row>
    <row r="183" spans="1:72" x14ac:dyDescent="0.25">
      <c r="A183" s="777" t="s">
        <v>598</v>
      </c>
      <c r="B183" s="777">
        <v>18.53</v>
      </c>
      <c r="C183" s="777">
        <v>20.190000000000001</v>
      </c>
      <c r="D183" s="777">
        <v>18.64</v>
      </c>
      <c r="E183" s="777">
        <v>17.36</v>
      </c>
      <c r="F183" s="777">
        <v>17.61</v>
      </c>
      <c r="G183" s="777">
        <v>18.920000000000002</v>
      </c>
      <c r="H183" s="777">
        <v>20.43</v>
      </c>
      <c r="I183" s="777">
        <v>21.72</v>
      </c>
      <c r="J183" s="777">
        <v>22.62</v>
      </c>
      <c r="K183" s="777">
        <v>23.64</v>
      </c>
      <c r="L183" s="777">
        <v>24.56</v>
      </c>
      <c r="M183" s="777">
        <v>25.55</v>
      </c>
      <c r="N183" s="777">
        <v>26.28</v>
      </c>
      <c r="O183" s="777">
        <v>27.06</v>
      </c>
      <c r="P183" s="777">
        <v>27.91</v>
      </c>
      <c r="Q183" s="777">
        <v>28.78</v>
      </c>
      <c r="R183" s="777">
        <v>29.75</v>
      </c>
      <c r="S183" s="777">
        <v>30.7</v>
      </c>
      <c r="T183" s="777">
        <v>31.68</v>
      </c>
      <c r="U183" s="777">
        <v>32.54</v>
      </c>
      <c r="V183" s="777">
        <v>33.6</v>
      </c>
      <c r="W183" s="777">
        <v>34.69</v>
      </c>
      <c r="X183" s="777">
        <v>35.950000000000003</v>
      </c>
      <c r="Y183" s="777">
        <v>37.049999999999997</v>
      </c>
      <c r="Z183" s="777">
        <v>38.44</v>
      </c>
      <c r="AA183" s="777">
        <v>39.83</v>
      </c>
      <c r="AB183" s="777">
        <v>41.29</v>
      </c>
      <c r="AC183" s="777">
        <v>42.77</v>
      </c>
      <c r="AD183" s="777">
        <v>44.32</v>
      </c>
      <c r="AE183" s="813">
        <v>0.03</v>
      </c>
      <c r="AF183" s="777"/>
      <c r="AG183" s="777"/>
      <c r="AH183" s="777"/>
      <c r="AI183" s="777"/>
      <c r="AJ183" s="777"/>
      <c r="AK183" s="777"/>
      <c r="AL183" s="777"/>
      <c r="AM183" s="777"/>
      <c r="AN183" s="777"/>
      <c r="AO183" s="777"/>
      <c r="AP183" s="777"/>
      <c r="AQ183" s="777"/>
      <c r="AR183" s="777"/>
      <c r="AS183" s="777"/>
      <c r="AT183" s="777"/>
      <c r="AU183" s="777"/>
      <c r="AV183" s="777"/>
      <c r="AW183" s="777"/>
      <c r="AX183" s="777"/>
      <c r="AY183" s="777"/>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row>
    <row r="184" spans="1:72" x14ac:dyDescent="0.25">
      <c r="A184" s="777" t="s">
        <v>607</v>
      </c>
      <c r="B184" s="777">
        <v>26.83</v>
      </c>
      <c r="C184" s="777">
        <v>26.93</v>
      </c>
      <c r="D184" s="777">
        <v>23.64</v>
      </c>
      <c r="E184" s="777">
        <v>21.26</v>
      </c>
      <c r="F184" s="777">
        <v>21.89</v>
      </c>
      <c r="G184" s="777">
        <v>23.43</v>
      </c>
      <c r="H184" s="777">
        <v>26.07</v>
      </c>
      <c r="I184" s="777">
        <v>27.64</v>
      </c>
      <c r="J184" s="777">
        <v>28.47</v>
      </c>
      <c r="K184" s="777">
        <v>28.45</v>
      </c>
      <c r="L184" s="777">
        <v>29.92</v>
      </c>
      <c r="M184" s="777">
        <v>31.23</v>
      </c>
      <c r="N184" s="777">
        <v>31.97</v>
      </c>
      <c r="O184" s="777">
        <v>32.94</v>
      </c>
      <c r="P184" s="777">
        <v>34.090000000000003</v>
      </c>
      <c r="Q184" s="777">
        <v>35.479999999999997</v>
      </c>
      <c r="R184" s="777">
        <v>36.880000000000003</v>
      </c>
      <c r="S184" s="777">
        <v>37.979999999999997</v>
      </c>
      <c r="T184" s="777">
        <v>39.17</v>
      </c>
      <c r="U184" s="777">
        <v>40.479999999999997</v>
      </c>
      <c r="V184" s="777">
        <v>41.72</v>
      </c>
      <c r="W184" s="777">
        <v>43.4</v>
      </c>
      <c r="X184" s="777">
        <v>44.96</v>
      </c>
      <c r="Y184" s="777">
        <v>46.25</v>
      </c>
      <c r="Z184" s="777">
        <v>47.62</v>
      </c>
      <c r="AA184" s="777">
        <v>49.36</v>
      </c>
      <c r="AB184" s="777">
        <v>50.75</v>
      </c>
      <c r="AC184" s="777">
        <v>52.29</v>
      </c>
      <c r="AD184" s="777">
        <v>54.17</v>
      </c>
      <c r="AE184" s="813">
        <v>2.5999999999999999E-2</v>
      </c>
      <c r="AF184" s="777"/>
      <c r="AG184" s="777"/>
      <c r="AH184" s="777"/>
      <c r="AI184" s="777"/>
      <c r="AJ184" s="777"/>
      <c r="AK184" s="777"/>
      <c r="AL184" s="777"/>
      <c r="AM184" s="777"/>
      <c r="AN184" s="777"/>
      <c r="AO184" s="777"/>
      <c r="AP184" s="777"/>
      <c r="AQ184" s="777"/>
      <c r="AR184" s="777"/>
      <c r="AS184" s="777"/>
      <c r="AT184" s="777"/>
      <c r="AU184" s="777"/>
      <c r="AV184" s="777"/>
      <c r="AW184" s="777"/>
      <c r="AX184" s="777"/>
      <c r="AY184" s="777"/>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row>
    <row r="185" spans="1:72" x14ac:dyDescent="0.25">
      <c r="A185" s="777" t="s">
        <v>608</v>
      </c>
      <c r="B185" s="777">
        <v>23.03</v>
      </c>
      <c r="C185" s="777">
        <v>26.54</v>
      </c>
      <c r="D185" s="777">
        <v>19.440000000000001</v>
      </c>
      <c r="E185" s="777">
        <v>21.17</v>
      </c>
      <c r="F185" s="777">
        <v>21.79</v>
      </c>
      <c r="G185" s="777">
        <v>23.32</v>
      </c>
      <c r="H185" s="777">
        <v>25.87</v>
      </c>
      <c r="I185" s="777">
        <v>27.33</v>
      </c>
      <c r="J185" s="777">
        <v>28.27</v>
      </c>
      <c r="K185" s="777">
        <v>29.42</v>
      </c>
      <c r="L185" s="777">
        <v>30.58</v>
      </c>
      <c r="M185" s="777">
        <v>31.64</v>
      </c>
      <c r="N185" s="777">
        <v>32.6</v>
      </c>
      <c r="O185" s="777">
        <v>33.71</v>
      </c>
      <c r="P185" s="777">
        <v>34.71</v>
      </c>
      <c r="Q185" s="777">
        <v>35.93</v>
      </c>
      <c r="R185" s="777">
        <v>37.020000000000003</v>
      </c>
      <c r="S185" s="777">
        <v>37.950000000000003</v>
      </c>
      <c r="T185" s="777">
        <v>39.17</v>
      </c>
      <c r="U185" s="777">
        <v>40.43</v>
      </c>
      <c r="V185" s="777">
        <v>41.68</v>
      </c>
      <c r="W185" s="777">
        <v>43.21</v>
      </c>
      <c r="X185" s="777">
        <v>44.69</v>
      </c>
      <c r="Y185" s="777">
        <v>45.9</v>
      </c>
      <c r="Z185" s="777">
        <v>47.46</v>
      </c>
      <c r="AA185" s="777">
        <v>49.15</v>
      </c>
      <c r="AB185" s="777">
        <v>50.65</v>
      </c>
      <c r="AC185" s="777">
        <v>52.35</v>
      </c>
      <c r="AD185" s="777">
        <v>54.32</v>
      </c>
      <c r="AE185" s="813">
        <v>2.7E-2</v>
      </c>
      <c r="AF185" s="777"/>
      <c r="AG185" s="777"/>
      <c r="AH185" s="777"/>
      <c r="AI185" s="777"/>
      <c r="AJ185" s="777"/>
      <c r="AK185" s="777"/>
      <c r="AL185" s="777"/>
      <c r="AM185" s="777"/>
      <c r="AN185" s="777"/>
      <c r="AO185" s="777"/>
      <c r="AP185" s="777"/>
      <c r="AQ185" s="777"/>
      <c r="AR185" s="777"/>
      <c r="AS185" s="777"/>
      <c r="AT185" s="777"/>
      <c r="AU185" s="777"/>
      <c r="AV185" s="777"/>
      <c r="AW185" s="777"/>
      <c r="AX185" s="777"/>
      <c r="AY185" s="777"/>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row>
    <row r="186" spans="1:72" x14ac:dyDescent="0.25">
      <c r="A186" s="777" t="s">
        <v>615</v>
      </c>
      <c r="B186" s="777">
        <v>15.42</v>
      </c>
      <c r="C186" s="777">
        <v>22.71</v>
      </c>
      <c r="D186" s="777">
        <v>12.92</v>
      </c>
      <c r="E186" s="777">
        <v>15.23</v>
      </c>
      <c r="F186" s="777">
        <v>15.82</v>
      </c>
      <c r="G186" s="777">
        <v>17.510000000000002</v>
      </c>
      <c r="H186" s="777">
        <v>19.05</v>
      </c>
      <c r="I186" s="777">
        <v>20.23</v>
      </c>
      <c r="J186" s="777">
        <v>21.21</v>
      </c>
      <c r="K186" s="777">
        <v>22.42</v>
      </c>
      <c r="L186" s="777">
        <v>23.58</v>
      </c>
      <c r="M186" s="777">
        <v>24.67</v>
      </c>
      <c r="N186" s="777">
        <v>25.58</v>
      </c>
      <c r="O186" s="777">
        <v>26.51</v>
      </c>
      <c r="P186" s="777">
        <v>27.27</v>
      </c>
      <c r="Q186" s="777">
        <v>28.18</v>
      </c>
      <c r="R186" s="777">
        <v>29.2</v>
      </c>
      <c r="S186" s="777">
        <v>30.07</v>
      </c>
      <c r="T186" s="777">
        <v>31.1</v>
      </c>
      <c r="U186" s="777">
        <v>32.130000000000003</v>
      </c>
      <c r="V186" s="777">
        <v>33.21</v>
      </c>
      <c r="W186" s="777">
        <v>34.54</v>
      </c>
      <c r="X186" s="777">
        <v>35.83</v>
      </c>
      <c r="Y186" s="777">
        <v>36.99</v>
      </c>
      <c r="Z186" s="777">
        <v>38.42</v>
      </c>
      <c r="AA186" s="777">
        <v>39.92</v>
      </c>
      <c r="AB186" s="777">
        <v>41.32</v>
      </c>
      <c r="AC186" s="777">
        <v>42.87</v>
      </c>
      <c r="AD186" s="777">
        <v>44.51</v>
      </c>
      <c r="AE186" s="813">
        <v>2.5000000000000001E-2</v>
      </c>
      <c r="AF186" s="777"/>
      <c r="AG186" s="777"/>
      <c r="AH186" s="777"/>
      <c r="AI186" s="777"/>
      <c r="AJ186" s="777"/>
      <c r="AK186" s="777"/>
      <c r="AL186" s="777"/>
      <c r="AM186" s="777"/>
      <c r="AN186" s="777"/>
      <c r="AO186" s="777"/>
      <c r="AP186" s="777"/>
      <c r="AQ186" s="777"/>
      <c r="AR186" s="777"/>
      <c r="AS186" s="777"/>
      <c r="AT186" s="777"/>
      <c r="AU186" s="777"/>
      <c r="AV186" s="777"/>
      <c r="AW186" s="777"/>
      <c r="AX186" s="777"/>
      <c r="AY186" s="777"/>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row>
    <row r="187" spans="1:72" x14ac:dyDescent="0.25">
      <c r="A187" s="777" t="s">
        <v>599</v>
      </c>
      <c r="B187" s="777">
        <v>20.260000000000002</v>
      </c>
      <c r="C187" s="777">
        <v>26.27</v>
      </c>
      <c r="D187" s="777">
        <v>17.73</v>
      </c>
      <c r="E187" s="777">
        <v>18.260000000000002</v>
      </c>
      <c r="F187" s="777">
        <v>18.940000000000001</v>
      </c>
      <c r="G187" s="777">
        <v>20.58</v>
      </c>
      <c r="H187" s="777">
        <v>22.21</v>
      </c>
      <c r="I187" s="777">
        <v>23.39</v>
      </c>
      <c r="J187" s="777">
        <v>24.55</v>
      </c>
      <c r="K187" s="777">
        <v>25.86</v>
      </c>
      <c r="L187" s="777">
        <v>27.09</v>
      </c>
      <c r="M187" s="777">
        <v>28.33</v>
      </c>
      <c r="N187" s="777">
        <v>29.33</v>
      </c>
      <c r="O187" s="777">
        <v>30.3</v>
      </c>
      <c r="P187" s="777">
        <v>31.19</v>
      </c>
      <c r="Q187" s="777">
        <v>32.29</v>
      </c>
      <c r="R187" s="777">
        <v>33.22</v>
      </c>
      <c r="S187" s="777">
        <v>34.04</v>
      </c>
      <c r="T187" s="777">
        <v>35.14</v>
      </c>
      <c r="U187" s="777">
        <v>36.19</v>
      </c>
      <c r="V187" s="777">
        <v>37.31</v>
      </c>
      <c r="W187" s="777">
        <v>38.6</v>
      </c>
      <c r="X187" s="777">
        <v>40.04</v>
      </c>
      <c r="Y187" s="777">
        <v>41.2</v>
      </c>
      <c r="Z187" s="777">
        <v>42.78</v>
      </c>
      <c r="AA187" s="777">
        <v>44.38</v>
      </c>
      <c r="AB187" s="777">
        <v>45.87</v>
      </c>
      <c r="AC187" s="777">
        <v>47.52</v>
      </c>
      <c r="AD187" s="777">
        <v>49.31</v>
      </c>
      <c r="AE187" s="813">
        <v>2.4E-2</v>
      </c>
      <c r="AF187" s="777"/>
      <c r="AG187" s="777"/>
      <c r="AH187" s="777"/>
      <c r="AI187" s="777"/>
      <c r="AJ187" s="777"/>
      <c r="AK187" s="777"/>
      <c r="AL187" s="777"/>
      <c r="AM187" s="777"/>
      <c r="AN187" s="777"/>
      <c r="AO187" s="777"/>
      <c r="AP187" s="777"/>
      <c r="AQ187" s="777"/>
      <c r="AR187" s="777"/>
      <c r="AS187" s="777"/>
      <c r="AT187" s="777"/>
      <c r="AU187" s="777"/>
      <c r="AV187" s="777"/>
      <c r="AW187" s="777"/>
      <c r="AX187" s="777"/>
      <c r="AY187" s="777"/>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row>
    <row r="188" spans="1:72" x14ac:dyDescent="0.25">
      <c r="A188" s="777" t="s">
        <v>600</v>
      </c>
      <c r="B188" s="777">
        <v>8.8699999999999992</v>
      </c>
      <c r="C188" s="777">
        <v>14.77</v>
      </c>
      <c r="D188" s="777">
        <v>9.1</v>
      </c>
      <c r="E188" s="777">
        <v>11.22</v>
      </c>
      <c r="F188" s="777">
        <v>11.49</v>
      </c>
      <c r="G188" s="777">
        <v>12.89</v>
      </c>
      <c r="H188" s="777">
        <v>14.14</v>
      </c>
      <c r="I188" s="777">
        <v>15.19</v>
      </c>
      <c r="J188" s="777">
        <v>15.89</v>
      </c>
      <c r="K188" s="777">
        <v>16.600000000000001</v>
      </c>
      <c r="L188" s="777">
        <v>17.5</v>
      </c>
      <c r="M188" s="777">
        <v>18.3</v>
      </c>
      <c r="N188" s="777">
        <v>18.89</v>
      </c>
      <c r="O188" s="777">
        <v>19.329999999999998</v>
      </c>
      <c r="P188" s="777">
        <v>20.03</v>
      </c>
      <c r="Q188" s="777">
        <v>20.64</v>
      </c>
      <c r="R188" s="777">
        <v>21.36</v>
      </c>
      <c r="S188" s="777">
        <v>22.08</v>
      </c>
      <c r="T188" s="777">
        <v>22.8</v>
      </c>
      <c r="U188" s="777">
        <v>23.35</v>
      </c>
      <c r="V188" s="777">
        <v>24.24</v>
      </c>
      <c r="W188" s="777">
        <v>25.11</v>
      </c>
      <c r="X188" s="777">
        <v>26.08</v>
      </c>
      <c r="Y188" s="777">
        <v>27.11</v>
      </c>
      <c r="Z188" s="777">
        <v>28.23</v>
      </c>
      <c r="AA188" s="777">
        <v>29.29</v>
      </c>
      <c r="AB188" s="777">
        <v>30.29</v>
      </c>
      <c r="AC188" s="777">
        <v>31.46</v>
      </c>
      <c r="AD188" s="777">
        <v>32.700000000000003</v>
      </c>
      <c r="AE188" s="813">
        <v>0.03</v>
      </c>
      <c r="AF188" s="777"/>
      <c r="AG188" s="777"/>
      <c r="AH188" s="777"/>
      <c r="AI188" s="777"/>
      <c r="AJ188" s="777"/>
      <c r="AK188" s="777"/>
      <c r="AL188" s="777"/>
      <c r="AM188" s="777"/>
      <c r="AN188" s="777"/>
      <c r="AO188" s="777"/>
      <c r="AP188" s="777"/>
      <c r="AQ188" s="777"/>
      <c r="AR188" s="777"/>
      <c r="AS188" s="777"/>
      <c r="AT188" s="777"/>
      <c r="AU188" s="777"/>
      <c r="AV188" s="777"/>
      <c r="AW188" s="777"/>
      <c r="AX188" s="777"/>
      <c r="AY188" s="777"/>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row>
    <row r="189" spans="1:72" x14ac:dyDescent="0.25">
      <c r="A189" s="777" t="s">
        <v>500</v>
      </c>
      <c r="B189" s="777">
        <v>8.99</v>
      </c>
      <c r="C189" s="777">
        <v>10.53</v>
      </c>
      <c r="D189" s="777">
        <v>6.67</v>
      </c>
      <c r="E189" s="777">
        <v>7.08</v>
      </c>
      <c r="F189" s="777">
        <v>8.2100000000000009</v>
      </c>
      <c r="G189" s="777">
        <v>8.68</v>
      </c>
      <c r="H189" s="777">
        <v>8.67</v>
      </c>
      <c r="I189" s="777">
        <v>8.7799999999999994</v>
      </c>
      <c r="J189" s="777">
        <v>9.07</v>
      </c>
      <c r="K189" s="777">
        <v>9.33</v>
      </c>
      <c r="L189" s="777">
        <v>9.5</v>
      </c>
      <c r="M189" s="777">
        <v>9.73</v>
      </c>
      <c r="N189" s="777">
        <v>9.98</v>
      </c>
      <c r="O189" s="777">
        <v>10.32</v>
      </c>
      <c r="P189" s="777">
        <v>10.67</v>
      </c>
      <c r="Q189" s="777">
        <v>11.14</v>
      </c>
      <c r="R189" s="777">
        <v>11.42</v>
      </c>
      <c r="S189" s="777">
        <v>11.55</v>
      </c>
      <c r="T189" s="777">
        <v>11.88</v>
      </c>
      <c r="U189" s="777">
        <v>12.31</v>
      </c>
      <c r="V189" s="777">
        <v>12.79</v>
      </c>
      <c r="W189" s="777">
        <v>13.39</v>
      </c>
      <c r="X189" s="777">
        <v>14.02</v>
      </c>
      <c r="Y189" s="777">
        <v>14.7</v>
      </c>
      <c r="Z189" s="777">
        <v>15.51</v>
      </c>
      <c r="AA189" s="777">
        <v>16.05</v>
      </c>
      <c r="AB189" s="777">
        <v>16.46</v>
      </c>
      <c r="AC189" s="777">
        <v>17.12</v>
      </c>
      <c r="AD189" s="777">
        <v>17.71</v>
      </c>
      <c r="AE189" s="813">
        <v>1.9E-2</v>
      </c>
      <c r="AF189" s="777"/>
      <c r="AG189" s="777"/>
      <c r="AH189" s="777"/>
      <c r="AI189" s="777"/>
      <c r="AJ189" s="777"/>
      <c r="AK189" s="777"/>
      <c r="AL189" s="777"/>
      <c r="AM189" s="777"/>
      <c r="AN189" s="777"/>
      <c r="AO189" s="777"/>
      <c r="AP189" s="777"/>
      <c r="AQ189" s="777"/>
      <c r="AR189" s="777"/>
      <c r="AS189" s="777"/>
      <c r="AT189" s="777"/>
      <c r="AU189" s="777"/>
      <c r="AV189" s="777"/>
      <c r="AW189" s="777"/>
      <c r="AX189" s="777"/>
      <c r="AY189" s="777"/>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row>
    <row r="190" spans="1:72" x14ac:dyDescent="0.25">
      <c r="A190" s="777" t="s">
        <v>603</v>
      </c>
      <c r="B190" s="777">
        <v>3.61</v>
      </c>
      <c r="C190" s="777">
        <v>4.49</v>
      </c>
      <c r="D190" s="777">
        <v>4.79</v>
      </c>
      <c r="E190" s="777">
        <v>4.9400000000000004</v>
      </c>
      <c r="F190" s="777">
        <v>5.07</v>
      </c>
      <c r="G190" s="777">
        <v>5.31</v>
      </c>
      <c r="H190" s="777">
        <v>5.44</v>
      </c>
      <c r="I190" s="777">
        <v>5.56</v>
      </c>
      <c r="J190" s="777">
        <v>5.66</v>
      </c>
      <c r="K190" s="777">
        <v>5.77</v>
      </c>
      <c r="L190" s="777">
        <v>5.97</v>
      </c>
      <c r="M190" s="777">
        <v>6.14</v>
      </c>
      <c r="N190" s="777">
        <v>6.34</v>
      </c>
      <c r="O190" s="777">
        <v>6.5</v>
      </c>
      <c r="P190" s="777">
        <v>6.68</v>
      </c>
      <c r="Q190" s="777">
        <v>6.84</v>
      </c>
      <c r="R190" s="777">
        <v>6.98</v>
      </c>
      <c r="S190" s="777">
        <v>7.07</v>
      </c>
      <c r="T190" s="777">
        <v>7.11</v>
      </c>
      <c r="U190" s="777">
        <v>7.15</v>
      </c>
      <c r="V190" s="777">
        <v>7.27</v>
      </c>
      <c r="W190" s="777">
        <v>7.43</v>
      </c>
      <c r="X190" s="777">
        <v>7.55</v>
      </c>
      <c r="Y190" s="777">
        <v>7.72</v>
      </c>
      <c r="Z190" s="777">
        <v>7.86</v>
      </c>
      <c r="AA190" s="777">
        <v>8.02</v>
      </c>
      <c r="AB190" s="777">
        <v>8.18</v>
      </c>
      <c r="AC190" s="777">
        <v>8.33</v>
      </c>
      <c r="AD190" s="777">
        <v>8.5</v>
      </c>
      <c r="AE190" s="813">
        <v>2.4E-2</v>
      </c>
      <c r="AF190" s="777"/>
      <c r="AG190" s="777"/>
      <c r="AH190" s="777"/>
      <c r="AI190" s="777"/>
      <c r="AJ190" s="777"/>
      <c r="AK190" s="777"/>
      <c r="AL190" s="777"/>
      <c r="AM190" s="777"/>
      <c r="AN190" s="777"/>
      <c r="AO190" s="777"/>
      <c r="AP190" s="777"/>
      <c r="AQ190" s="777"/>
      <c r="AR190" s="777"/>
      <c r="AS190" s="777"/>
      <c r="AT190" s="777"/>
      <c r="AU190" s="777"/>
      <c r="AV190" s="777"/>
      <c r="AW190" s="777"/>
      <c r="AX190" s="777"/>
      <c r="AY190" s="777"/>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row>
    <row r="191" spans="1:72" x14ac:dyDescent="0.25">
      <c r="A191" s="777" t="s">
        <v>616</v>
      </c>
      <c r="B191" s="777">
        <v>1.8</v>
      </c>
      <c r="C191" s="777">
        <v>2.1</v>
      </c>
      <c r="D191" s="777">
        <v>2.2200000000000002</v>
      </c>
      <c r="E191" s="777">
        <v>2.09</v>
      </c>
      <c r="F191" s="777">
        <v>2.11</v>
      </c>
      <c r="G191" s="777">
        <v>2.14</v>
      </c>
      <c r="H191" s="777">
        <v>2.19</v>
      </c>
      <c r="I191" s="777">
        <v>2.23</v>
      </c>
      <c r="J191" s="777">
        <v>2.2799999999999998</v>
      </c>
      <c r="K191" s="777">
        <v>2.2999999999999998</v>
      </c>
      <c r="L191" s="777">
        <v>2.35</v>
      </c>
      <c r="M191" s="777">
        <v>2.39</v>
      </c>
      <c r="N191" s="777">
        <v>2.4300000000000002</v>
      </c>
      <c r="O191" s="777">
        <v>2.4700000000000002</v>
      </c>
      <c r="P191" s="777">
        <v>2.52</v>
      </c>
      <c r="Q191" s="777">
        <v>2.58</v>
      </c>
      <c r="R191" s="777">
        <v>2.64</v>
      </c>
      <c r="S191" s="777">
        <v>2.69</v>
      </c>
      <c r="T191" s="777">
        <v>2.74</v>
      </c>
      <c r="U191" s="777">
        <v>2.81</v>
      </c>
      <c r="V191" s="777">
        <v>2.87</v>
      </c>
      <c r="W191" s="777">
        <v>2.95</v>
      </c>
      <c r="X191" s="777">
        <v>3.03</v>
      </c>
      <c r="Y191" s="777">
        <v>3.11</v>
      </c>
      <c r="Z191" s="777">
        <v>3.2</v>
      </c>
      <c r="AA191" s="777">
        <v>3.28</v>
      </c>
      <c r="AB191" s="777">
        <v>3.37</v>
      </c>
      <c r="AC191" s="777">
        <v>3.46</v>
      </c>
      <c r="AD191" s="777">
        <v>3.56</v>
      </c>
      <c r="AE191" s="813">
        <v>0.02</v>
      </c>
      <c r="AF191" s="777"/>
      <c r="AG191" s="777"/>
      <c r="AH191" s="777"/>
      <c r="AI191" s="777"/>
      <c r="AJ191" s="777"/>
      <c r="AK191" s="777"/>
      <c r="AL191" s="777"/>
      <c r="AM191" s="777"/>
      <c r="AN191" s="777"/>
      <c r="AO191" s="777"/>
      <c r="AP191" s="777"/>
      <c r="AQ191" s="777"/>
      <c r="AR191" s="777"/>
      <c r="AS191" s="777"/>
      <c r="AT191" s="777"/>
      <c r="AU191" s="777"/>
      <c r="AV191" s="777"/>
      <c r="AW191" s="777"/>
      <c r="AX191" s="777"/>
      <c r="AY191" s="777"/>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row>
    <row r="192" spans="1:72" x14ac:dyDescent="0.25">
      <c r="A192" s="777" t="s">
        <v>605</v>
      </c>
      <c r="B192" s="777" t="s">
        <v>777</v>
      </c>
      <c r="C192" s="777" t="s">
        <v>777</v>
      </c>
      <c r="D192" s="777" t="s">
        <v>777</v>
      </c>
      <c r="E192" s="777" t="s">
        <v>777</v>
      </c>
      <c r="F192" s="777">
        <v>1.32</v>
      </c>
      <c r="G192" s="777">
        <v>1.1000000000000001</v>
      </c>
      <c r="H192" s="777">
        <v>1.1200000000000001</v>
      </c>
      <c r="I192" s="777">
        <v>1.55</v>
      </c>
      <c r="J192" s="777">
        <v>1.58</v>
      </c>
      <c r="K192" s="777">
        <v>1.65</v>
      </c>
      <c r="L192" s="777">
        <v>1.72</v>
      </c>
      <c r="M192" s="777">
        <v>1.74</v>
      </c>
      <c r="N192" s="777">
        <v>1.76</v>
      </c>
      <c r="O192" s="777">
        <v>1.79</v>
      </c>
      <c r="P192" s="777">
        <v>1.86</v>
      </c>
      <c r="Q192" s="777">
        <v>1.91</v>
      </c>
      <c r="R192" s="777">
        <v>1.98</v>
      </c>
      <c r="S192" s="777">
        <v>1.99</v>
      </c>
      <c r="T192" s="777">
        <v>2.02</v>
      </c>
      <c r="U192" s="777">
        <v>2.04</v>
      </c>
      <c r="V192" s="777">
        <v>2.0699999999999998</v>
      </c>
      <c r="W192" s="777">
        <v>2.1</v>
      </c>
      <c r="X192" s="777">
        <v>2.13</v>
      </c>
      <c r="Y192" s="777">
        <v>2.1800000000000002</v>
      </c>
      <c r="Z192" s="777">
        <v>2.2200000000000002</v>
      </c>
      <c r="AA192" s="777">
        <v>2.2799999999999998</v>
      </c>
      <c r="AB192" s="777">
        <v>2.35</v>
      </c>
      <c r="AC192" s="777">
        <v>2.44</v>
      </c>
      <c r="AD192" s="777">
        <v>2.5299999999999998</v>
      </c>
      <c r="AE192" s="777" t="s">
        <v>777</v>
      </c>
      <c r="AF192" s="777"/>
      <c r="AG192" s="777"/>
      <c r="AH192" s="777"/>
      <c r="AI192" s="777"/>
      <c r="AJ192" s="777"/>
      <c r="AK192" s="777"/>
      <c r="AL192" s="777"/>
      <c r="AM192" s="777"/>
      <c r="AN192" s="777"/>
      <c r="AO192" s="777"/>
      <c r="AP192" s="777"/>
      <c r="AQ192" s="777"/>
      <c r="AR192" s="777"/>
      <c r="AS192" s="777"/>
      <c r="AT192" s="777"/>
      <c r="AU192" s="777"/>
      <c r="AV192" s="777"/>
      <c r="AW192" s="777"/>
      <c r="AX192" s="777"/>
      <c r="AY192" s="777"/>
      <c r="AZ192" s="777"/>
      <c r="BA192" s="777"/>
      <c r="BB192" s="777"/>
      <c r="BC192" s="777"/>
      <c r="BD192" s="777"/>
      <c r="BE192" s="777"/>
      <c r="BF192" s="777"/>
      <c r="BG192" s="777"/>
      <c r="BH192" s="777"/>
      <c r="BI192" s="777"/>
      <c r="BJ192" s="777"/>
      <c r="BK192" s="777"/>
      <c r="BL192" s="777"/>
      <c r="BM192" s="777"/>
      <c r="BN192" s="777"/>
      <c r="BO192" s="777"/>
      <c r="BP192" s="777"/>
      <c r="BQ192" s="777"/>
      <c r="BR192" s="777"/>
      <c r="BS192" s="777"/>
      <c r="BT192" s="777"/>
    </row>
    <row r="193" spans="1:72" x14ac:dyDescent="0.25">
      <c r="A193" s="777" t="s">
        <v>469</v>
      </c>
      <c r="B193" s="777">
        <v>26.66</v>
      </c>
      <c r="C193" s="777">
        <v>28.81</v>
      </c>
      <c r="D193" s="777">
        <v>28.5</v>
      </c>
      <c r="E193" s="777">
        <v>27.58</v>
      </c>
      <c r="F193" s="777">
        <v>26.29</v>
      </c>
      <c r="G193" s="777">
        <v>27.63</v>
      </c>
      <c r="H193" s="777">
        <v>28.19</v>
      </c>
      <c r="I193" s="777">
        <v>28.46</v>
      </c>
      <c r="J193" s="777">
        <v>28.92</v>
      </c>
      <c r="K193" s="777">
        <v>29.72</v>
      </c>
      <c r="L193" s="777">
        <v>30.45</v>
      </c>
      <c r="M193" s="777">
        <v>31.03</v>
      </c>
      <c r="N193" s="777">
        <v>31.53</v>
      </c>
      <c r="O193" s="777">
        <v>32.4</v>
      </c>
      <c r="P193" s="777">
        <v>33.33</v>
      </c>
      <c r="Q193" s="777">
        <v>34.229999999999997</v>
      </c>
      <c r="R193" s="777">
        <v>35.22</v>
      </c>
      <c r="S193" s="777">
        <v>36.159999999999997</v>
      </c>
      <c r="T193" s="777">
        <v>36.869999999999997</v>
      </c>
      <c r="U193" s="777">
        <v>37.86</v>
      </c>
      <c r="V193" s="777">
        <v>38.94</v>
      </c>
      <c r="W193" s="777">
        <v>40.090000000000003</v>
      </c>
      <c r="X193" s="777">
        <v>41.58</v>
      </c>
      <c r="Y193" s="777">
        <v>43</v>
      </c>
      <c r="Z193" s="777">
        <v>44.53</v>
      </c>
      <c r="AA193" s="777">
        <v>46.07</v>
      </c>
      <c r="AB193" s="777">
        <v>47.34</v>
      </c>
      <c r="AC193" s="777">
        <v>48.78</v>
      </c>
      <c r="AD193" s="777">
        <v>50.19</v>
      </c>
      <c r="AE193" s="813">
        <v>2.1000000000000001E-2</v>
      </c>
      <c r="AF193" s="777"/>
      <c r="AG193" s="777"/>
      <c r="AH193" s="777"/>
      <c r="AI193" s="777"/>
      <c r="AJ193" s="777"/>
      <c r="AK193" s="777"/>
      <c r="AL193" s="777"/>
      <c r="AM193" s="777"/>
      <c r="AN193" s="777"/>
      <c r="AO193" s="777"/>
      <c r="AP193" s="777"/>
      <c r="AQ193" s="777"/>
      <c r="AR193" s="777"/>
      <c r="AS193" s="777"/>
      <c r="AT193" s="777"/>
      <c r="AU193" s="777"/>
      <c r="AV193" s="777"/>
      <c r="AW193" s="777"/>
      <c r="AX193" s="777"/>
      <c r="AY193" s="777"/>
      <c r="AZ193" s="777"/>
      <c r="BA193" s="777"/>
      <c r="BB193" s="777"/>
      <c r="BC193" s="777"/>
      <c r="BD193" s="777"/>
      <c r="BE193" s="777"/>
      <c r="BF193" s="777"/>
      <c r="BG193" s="777"/>
      <c r="BH193" s="777"/>
      <c r="BI193" s="777"/>
      <c r="BJ193" s="777"/>
      <c r="BK193" s="777"/>
      <c r="BL193" s="777"/>
      <c r="BM193" s="777"/>
      <c r="BN193" s="777"/>
      <c r="BO193" s="777"/>
      <c r="BP193" s="777"/>
      <c r="BQ193" s="777"/>
      <c r="BR193" s="777"/>
      <c r="BS193" s="777"/>
      <c r="BT193" s="777"/>
    </row>
    <row r="194" spans="1:72" x14ac:dyDescent="0.25">
      <c r="A194" s="777"/>
      <c r="B194" s="777"/>
      <c r="C194" s="777"/>
      <c r="D194" s="777"/>
      <c r="E194" s="777"/>
      <c r="F194" s="777"/>
      <c r="G194" s="777"/>
      <c r="H194" s="777"/>
      <c r="I194" s="777"/>
      <c r="J194" s="777"/>
      <c r="K194" s="777"/>
      <c r="L194" s="777"/>
      <c r="M194" s="777"/>
      <c r="N194" s="777"/>
      <c r="O194" s="777"/>
      <c r="P194" s="777"/>
      <c r="Q194" s="777"/>
      <c r="R194" s="777"/>
      <c r="S194" s="777"/>
      <c r="T194" s="777"/>
      <c r="U194" s="777"/>
      <c r="V194" s="777"/>
      <c r="W194" s="777"/>
      <c r="X194" s="777"/>
      <c r="Y194" s="777"/>
      <c r="Z194" s="777"/>
      <c r="AA194" s="777"/>
      <c r="AB194" s="777"/>
      <c r="AC194" s="777"/>
      <c r="AD194" s="777"/>
      <c r="AE194" s="777"/>
      <c r="AF194" s="777"/>
      <c r="AG194" s="777"/>
      <c r="AH194" s="777"/>
      <c r="AI194" s="777"/>
      <c r="AJ194" s="777"/>
      <c r="AK194" s="777"/>
      <c r="AL194" s="777"/>
      <c r="AM194" s="777"/>
      <c r="AN194" s="777"/>
      <c r="AO194" s="777"/>
      <c r="AP194" s="777"/>
      <c r="AQ194" s="777"/>
      <c r="AR194" s="777"/>
      <c r="AS194" s="777"/>
      <c r="AT194" s="777"/>
      <c r="AU194" s="777"/>
      <c r="AV194" s="777"/>
      <c r="AW194" s="777"/>
      <c r="AX194" s="777"/>
      <c r="AY194" s="777"/>
      <c r="AZ194" s="777"/>
      <c r="BA194" s="777"/>
      <c r="BB194" s="777"/>
      <c r="BC194" s="777"/>
      <c r="BD194" s="777"/>
      <c r="BE194" s="777"/>
      <c r="BF194" s="777"/>
      <c r="BG194" s="777"/>
      <c r="BH194" s="777"/>
      <c r="BI194" s="777"/>
      <c r="BJ194" s="777"/>
      <c r="BK194" s="777"/>
      <c r="BL194" s="777"/>
      <c r="BM194" s="777"/>
      <c r="BN194" s="777"/>
      <c r="BO194" s="777"/>
      <c r="BP194" s="777"/>
      <c r="BQ194" s="777"/>
      <c r="BR194" s="777"/>
      <c r="BS194" s="777"/>
      <c r="BT194" s="777"/>
    </row>
    <row r="195" spans="1:72" x14ac:dyDescent="0.25">
      <c r="A195" s="777" t="s">
        <v>503</v>
      </c>
      <c r="B195" s="777"/>
      <c r="C195" s="777"/>
      <c r="D195" s="777"/>
      <c r="E195" s="777"/>
      <c r="F195" s="777"/>
      <c r="G195" s="777"/>
      <c r="H195" s="777"/>
      <c r="I195" s="777"/>
      <c r="J195" s="777"/>
      <c r="K195" s="777"/>
      <c r="L195" s="777"/>
      <c r="M195" s="777"/>
      <c r="N195" s="777"/>
      <c r="O195" s="777"/>
      <c r="P195" s="777"/>
      <c r="Q195" s="777"/>
      <c r="R195" s="777"/>
      <c r="S195" s="777"/>
      <c r="T195" s="777"/>
      <c r="U195" s="777"/>
      <c r="V195" s="777"/>
      <c r="W195" s="777"/>
      <c r="X195" s="777"/>
      <c r="Y195" s="777"/>
      <c r="Z195" s="777"/>
      <c r="AA195" s="777"/>
      <c r="AB195" s="777"/>
      <c r="AC195" s="777"/>
      <c r="AD195" s="777"/>
      <c r="AE195" s="777"/>
      <c r="AF195" s="777"/>
      <c r="AG195" s="777"/>
      <c r="AH195" s="777"/>
      <c r="AI195" s="777"/>
      <c r="AJ195" s="777"/>
      <c r="AK195" s="777"/>
      <c r="AL195" s="777"/>
      <c r="AM195" s="777"/>
      <c r="AN195" s="777"/>
      <c r="AO195" s="777"/>
      <c r="AP195" s="777"/>
      <c r="AQ195" s="777"/>
      <c r="AR195" s="777"/>
      <c r="AS195" s="777"/>
      <c r="AT195" s="777"/>
      <c r="AU195" s="777"/>
      <c r="AV195" s="777"/>
      <c r="AW195" s="777"/>
      <c r="AX195" s="777"/>
      <c r="AY195" s="777"/>
      <c r="AZ195" s="777"/>
      <c r="BA195" s="777"/>
      <c r="BB195" s="777"/>
      <c r="BC195" s="777"/>
      <c r="BD195" s="777"/>
      <c r="BE195" s="777"/>
      <c r="BF195" s="777"/>
      <c r="BG195" s="777"/>
      <c r="BH195" s="777"/>
      <c r="BI195" s="777"/>
      <c r="BJ195" s="777"/>
      <c r="BK195" s="777"/>
      <c r="BL195" s="777"/>
      <c r="BM195" s="777"/>
      <c r="BN195" s="777"/>
      <c r="BO195" s="777"/>
      <c r="BP195" s="777"/>
      <c r="BQ195" s="777"/>
      <c r="BR195" s="777"/>
      <c r="BS195" s="777"/>
      <c r="BT195" s="777"/>
    </row>
    <row r="196" spans="1:72" x14ac:dyDescent="0.25">
      <c r="A196" s="777" t="s">
        <v>716</v>
      </c>
      <c r="B196" s="777"/>
      <c r="C196" s="777"/>
      <c r="D196" s="777"/>
      <c r="E196" s="777"/>
      <c r="F196" s="777"/>
      <c r="G196" s="777"/>
      <c r="H196" s="777"/>
      <c r="I196" s="777"/>
      <c r="J196" s="777"/>
      <c r="K196" s="777"/>
      <c r="L196" s="777"/>
      <c r="M196" s="777"/>
      <c r="N196" s="777"/>
      <c r="O196" s="777"/>
      <c r="P196" s="777"/>
      <c r="Q196" s="777"/>
      <c r="R196" s="777"/>
      <c r="S196" s="777"/>
      <c r="T196" s="777"/>
      <c r="U196" s="777"/>
      <c r="V196" s="777"/>
      <c r="W196" s="777"/>
      <c r="X196" s="777"/>
      <c r="Y196" s="777"/>
      <c r="Z196" s="777"/>
      <c r="AA196" s="777"/>
      <c r="AB196" s="777"/>
      <c r="AC196" s="777"/>
      <c r="AD196" s="777"/>
      <c r="AE196" s="777"/>
      <c r="AF196" s="777"/>
      <c r="AG196" s="777"/>
      <c r="AH196" s="777"/>
      <c r="AI196" s="777"/>
      <c r="AJ196" s="777"/>
      <c r="AK196" s="777"/>
      <c r="AL196" s="777"/>
      <c r="AM196" s="777"/>
      <c r="AN196" s="777"/>
      <c r="AO196" s="777"/>
      <c r="AP196" s="777"/>
      <c r="AQ196" s="777"/>
      <c r="AR196" s="777"/>
      <c r="AS196" s="777"/>
      <c r="AT196" s="777"/>
      <c r="AU196" s="777"/>
      <c r="AV196" s="777"/>
      <c r="AW196" s="777"/>
      <c r="AX196" s="777"/>
      <c r="AY196" s="777"/>
      <c r="AZ196" s="777"/>
      <c r="BA196" s="777"/>
      <c r="BB196" s="777"/>
      <c r="BC196" s="777"/>
      <c r="BD196" s="777"/>
      <c r="BE196" s="777"/>
      <c r="BF196" s="777"/>
      <c r="BG196" s="777"/>
      <c r="BH196" s="777"/>
      <c r="BI196" s="777"/>
      <c r="BJ196" s="777"/>
      <c r="BK196" s="777"/>
      <c r="BL196" s="777"/>
      <c r="BM196" s="777"/>
      <c r="BN196" s="777"/>
      <c r="BO196" s="777"/>
      <c r="BP196" s="777"/>
      <c r="BQ196" s="777"/>
      <c r="BR196" s="777"/>
      <c r="BS196" s="777"/>
      <c r="BT196" s="777"/>
    </row>
    <row r="197" spans="1:72" x14ac:dyDescent="0.25">
      <c r="A197" s="777" t="s">
        <v>463</v>
      </c>
      <c r="B197" s="777">
        <v>236.38</v>
      </c>
      <c r="C197" s="777">
        <v>254.66</v>
      </c>
      <c r="D197" s="777">
        <v>235.17</v>
      </c>
      <c r="E197" s="777">
        <v>230.51</v>
      </c>
      <c r="F197" s="777">
        <v>232.31</v>
      </c>
      <c r="G197" s="777">
        <v>244.12</v>
      </c>
      <c r="H197" s="777">
        <v>246.57</v>
      </c>
      <c r="I197" s="777">
        <v>251.37</v>
      </c>
      <c r="J197" s="777">
        <v>257.29000000000002</v>
      </c>
      <c r="K197" s="777">
        <v>266.02999999999997</v>
      </c>
      <c r="L197" s="777">
        <v>273.52999999999997</v>
      </c>
      <c r="M197" s="777">
        <v>281.39999999999998</v>
      </c>
      <c r="N197" s="777">
        <v>289.27</v>
      </c>
      <c r="O197" s="777">
        <v>299.58999999999997</v>
      </c>
      <c r="P197" s="777">
        <v>309.45</v>
      </c>
      <c r="Q197" s="777">
        <v>320.3</v>
      </c>
      <c r="R197" s="777">
        <v>330.83</v>
      </c>
      <c r="S197" s="777">
        <v>341.36</v>
      </c>
      <c r="T197" s="777">
        <v>351.09</v>
      </c>
      <c r="U197" s="777">
        <v>363.72</v>
      </c>
      <c r="V197" s="777">
        <v>377.1</v>
      </c>
      <c r="W197" s="777">
        <v>392.03</v>
      </c>
      <c r="X197" s="777">
        <v>407.27</v>
      </c>
      <c r="Y197" s="777">
        <v>423.22</v>
      </c>
      <c r="Z197" s="777">
        <v>441.01</v>
      </c>
      <c r="AA197" s="777">
        <v>458.4</v>
      </c>
      <c r="AB197" s="777">
        <v>471.99</v>
      </c>
      <c r="AC197" s="777">
        <v>489.06</v>
      </c>
      <c r="AD197" s="777">
        <v>506.03</v>
      </c>
      <c r="AE197" s="813">
        <v>2.5999999999999999E-2</v>
      </c>
      <c r="AF197" s="777"/>
      <c r="AG197" s="777"/>
      <c r="AH197" s="777"/>
      <c r="AI197" s="777"/>
      <c r="AJ197" s="777"/>
      <c r="AK197" s="777"/>
      <c r="AL197" s="777"/>
      <c r="AM197" s="777"/>
      <c r="AN197" s="777"/>
      <c r="AO197" s="777"/>
      <c r="AP197" s="777"/>
      <c r="AQ197" s="777"/>
      <c r="AR197" s="777"/>
      <c r="AS197" s="777"/>
      <c r="AT197" s="777"/>
      <c r="AU197" s="777"/>
      <c r="AV197" s="777"/>
      <c r="AW197" s="777"/>
      <c r="AX197" s="777"/>
      <c r="AY197" s="777"/>
      <c r="AZ197" s="777"/>
      <c r="BA197" s="777"/>
      <c r="BB197" s="777"/>
      <c r="BC197" s="777"/>
      <c r="BD197" s="777"/>
      <c r="BE197" s="777"/>
      <c r="BF197" s="777"/>
      <c r="BG197" s="777"/>
      <c r="BH197" s="777"/>
      <c r="BI197" s="777"/>
      <c r="BJ197" s="777"/>
      <c r="BK197" s="777"/>
      <c r="BL197" s="777"/>
      <c r="BM197" s="777"/>
      <c r="BN197" s="777"/>
      <c r="BO197" s="777"/>
      <c r="BP197" s="777"/>
      <c r="BQ197" s="777"/>
      <c r="BR197" s="777"/>
      <c r="BS197" s="777"/>
      <c r="BT197" s="777"/>
    </row>
    <row r="198" spans="1:72" x14ac:dyDescent="0.25">
      <c r="A198" s="777" t="s">
        <v>470</v>
      </c>
      <c r="B198" s="777">
        <v>172.75</v>
      </c>
      <c r="C198" s="777">
        <v>191.19</v>
      </c>
      <c r="D198" s="777">
        <v>171.27</v>
      </c>
      <c r="E198" s="777">
        <v>168.36</v>
      </c>
      <c r="F198" s="777">
        <v>170.83</v>
      </c>
      <c r="G198" s="777">
        <v>182.74</v>
      </c>
      <c r="H198" s="777">
        <v>187.26</v>
      </c>
      <c r="I198" s="777">
        <v>190.86</v>
      </c>
      <c r="J198" s="777">
        <v>197.13</v>
      </c>
      <c r="K198" s="777">
        <v>205.11</v>
      </c>
      <c r="L198" s="777">
        <v>212.7</v>
      </c>
      <c r="M198" s="777">
        <v>219.88</v>
      </c>
      <c r="N198" s="777">
        <v>226.94</v>
      </c>
      <c r="O198" s="777">
        <v>236.05</v>
      </c>
      <c r="P198" s="777">
        <v>245.65</v>
      </c>
      <c r="Q198" s="777">
        <v>255.58</v>
      </c>
      <c r="R198" s="777">
        <v>265.91000000000003</v>
      </c>
      <c r="S198" s="777">
        <v>275.66000000000003</v>
      </c>
      <c r="T198" s="777">
        <v>285.08999999999997</v>
      </c>
      <c r="U198" s="777">
        <v>296.79000000000002</v>
      </c>
      <c r="V198" s="777">
        <v>309.27</v>
      </c>
      <c r="W198" s="777">
        <v>322.77</v>
      </c>
      <c r="X198" s="777">
        <v>338.69</v>
      </c>
      <c r="Y198" s="777">
        <v>354.37</v>
      </c>
      <c r="Z198" s="777">
        <v>371.75</v>
      </c>
      <c r="AA198" s="777">
        <v>388.64</v>
      </c>
      <c r="AB198" s="777">
        <v>403.84</v>
      </c>
      <c r="AC198" s="777">
        <v>421.34</v>
      </c>
      <c r="AD198" s="777">
        <v>438.74</v>
      </c>
      <c r="AE198" s="813">
        <v>3.1E-2</v>
      </c>
      <c r="AF198" s="777"/>
      <c r="AG198" s="777"/>
      <c r="AH198" s="777"/>
      <c r="AI198" s="777"/>
      <c r="AJ198" s="777"/>
      <c r="AK198" s="777"/>
      <c r="AL198" s="777"/>
      <c r="AM198" s="777"/>
      <c r="AN198" s="777"/>
      <c r="AO198" s="777"/>
      <c r="AP198" s="777"/>
      <c r="AQ198" s="777"/>
      <c r="AR198" s="777"/>
      <c r="AS198" s="777"/>
      <c r="AT198" s="777"/>
      <c r="AU198" s="777"/>
      <c r="AV198" s="777"/>
      <c r="AW198" s="777"/>
      <c r="AX198" s="777"/>
      <c r="AY198" s="777"/>
      <c r="AZ198" s="777"/>
      <c r="BA198" s="777"/>
      <c r="BB198" s="777"/>
      <c r="BC198" s="777"/>
      <c r="BD198" s="777"/>
      <c r="BE198" s="777"/>
      <c r="BF198" s="777"/>
      <c r="BG198" s="777"/>
      <c r="BH198" s="777"/>
      <c r="BI198" s="777"/>
      <c r="BJ198" s="777"/>
      <c r="BK198" s="777"/>
      <c r="BL198" s="777"/>
      <c r="BM198" s="777"/>
      <c r="BN198" s="777"/>
      <c r="BO198" s="777"/>
      <c r="BP198" s="777"/>
      <c r="BQ198" s="777"/>
      <c r="BR198" s="777"/>
      <c r="BS198" s="777"/>
      <c r="BT198" s="777"/>
    </row>
    <row r="199" spans="1:72" x14ac:dyDescent="0.25">
      <c r="A199" s="777" t="s">
        <v>505</v>
      </c>
      <c r="B199" s="777">
        <v>214.89</v>
      </c>
      <c r="C199" s="777">
        <v>244.81</v>
      </c>
      <c r="D199" s="777">
        <v>178.09</v>
      </c>
      <c r="E199" s="777">
        <v>168.16</v>
      </c>
      <c r="F199" s="777">
        <v>181.07</v>
      </c>
      <c r="G199" s="777">
        <v>202.87</v>
      </c>
      <c r="H199" s="777">
        <v>217.07</v>
      </c>
      <c r="I199" s="777">
        <v>227.35</v>
      </c>
      <c r="J199" s="777">
        <v>237.51</v>
      </c>
      <c r="K199" s="777">
        <v>248.26</v>
      </c>
      <c r="L199" s="777">
        <v>257.8</v>
      </c>
      <c r="M199" s="777">
        <v>268.36</v>
      </c>
      <c r="N199" s="777">
        <v>277.25</v>
      </c>
      <c r="O199" s="777">
        <v>287.02999999999997</v>
      </c>
      <c r="P199" s="777">
        <v>295.06</v>
      </c>
      <c r="Q199" s="777">
        <v>303.12</v>
      </c>
      <c r="R199" s="777">
        <v>311.48</v>
      </c>
      <c r="S199" s="777">
        <v>319.60000000000002</v>
      </c>
      <c r="T199" s="777">
        <v>328.09</v>
      </c>
      <c r="U199" s="777">
        <v>336.58</v>
      </c>
      <c r="V199" s="777">
        <v>346.81</v>
      </c>
      <c r="W199" s="777">
        <v>357.93</v>
      </c>
      <c r="X199" s="777">
        <v>370.58</v>
      </c>
      <c r="Y199" s="777">
        <v>382.62</v>
      </c>
      <c r="Z199" s="777">
        <v>397.61</v>
      </c>
      <c r="AA199" s="777">
        <v>409.44</v>
      </c>
      <c r="AB199" s="777">
        <v>421.52</v>
      </c>
      <c r="AC199" s="777">
        <v>436.23</v>
      </c>
      <c r="AD199" s="777">
        <v>449</v>
      </c>
      <c r="AE199" s="813">
        <v>2.3E-2</v>
      </c>
      <c r="AF199" s="777"/>
      <c r="AG199" s="777"/>
      <c r="AH199" s="777"/>
      <c r="AI199" s="777"/>
      <c r="AJ199" s="777"/>
      <c r="AK199" s="777"/>
      <c r="AL199" s="777"/>
      <c r="AM199" s="777"/>
      <c r="AN199" s="777"/>
      <c r="AO199" s="777"/>
      <c r="AP199" s="777"/>
      <c r="AQ199" s="777"/>
      <c r="AR199" s="777"/>
      <c r="AS199" s="777"/>
      <c r="AT199" s="777"/>
      <c r="AU199" s="777"/>
      <c r="AV199" s="777"/>
      <c r="AW199" s="777"/>
      <c r="AX199" s="777"/>
      <c r="AY199" s="777"/>
      <c r="AZ199" s="777"/>
      <c r="BA199" s="777"/>
      <c r="BB199" s="777"/>
      <c r="BC199" s="777"/>
      <c r="BD199" s="777"/>
      <c r="BE199" s="777"/>
      <c r="BF199" s="777"/>
      <c r="BG199" s="777"/>
      <c r="BH199" s="777"/>
      <c r="BI199" s="777"/>
      <c r="BJ199" s="777"/>
      <c r="BK199" s="777"/>
      <c r="BL199" s="777"/>
      <c r="BM199" s="777"/>
      <c r="BN199" s="777"/>
      <c r="BO199" s="777"/>
      <c r="BP199" s="777"/>
      <c r="BQ199" s="777"/>
      <c r="BR199" s="777"/>
      <c r="BS199" s="777"/>
      <c r="BT199" s="777"/>
    </row>
    <row r="200" spans="1:72" x14ac:dyDescent="0.25">
      <c r="A200" s="777" t="s">
        <v>477</v>
      </c>
      <c r="B200" s="777">
        <v>599.94000000000005</v>
      </c>
      <c r="C200" s="777">
        <v>705.86</v>
      </c>
      <c r="D200" s="777">
        <v>472.76</v>
      </c>
      <c r="E200" s="777">
        <v>523.54</v>
      </c>
      <c r="F200" s="777">
        <v>551.54</v>
      </c>
      <c r="G200" s="777">
        <v>600.52</v>
      </c>
      <c r="H200" s="777">
        <v>663.3</v>
      </c>
      <c r="I200" s="777">
        <v>702.29</v>
      </c>
      <c r="J200" s="777">
        <v>730.78</v>
      </c>
      <c r="K200" s="777">
        <v>762.17</v>
      </c>
      <c r="L200" s="777">
        <v>797.53</v>
      </c>
      <c r="M200" s="777">
        <v>828.81</v>
      </c>
      <c r="N200" s="777">
        <v>859.4</v>
      </c>
      <c r="O200" s="777">
        <v>891.87</v>
      </c>
      <c r="P200" s="777">
        <v>920.68</v>
      </c>
      <c r="Q200" s="777">
        <v>948.26</v>
      </c>
      <c r="R200" s="777">
        <v>986.59</v>
      </c>
      <c r="S200" s="777">
        <v>1021.27</v>
      </c>
      <c r="T200" s="777">
        <v>1062.24</v>
      </c>
      <c r="U200" s="777">
        <v>1101.69</v>
      </c>
      <c r="V200" s="777">
        <v>1143.03</v>
      </c>
      <c r="W200" s="777">
        <v>1188</v>
      </c>
      <c r="X200" s="777">
        <v>1232.23</v>
      </c>
      <c r="Y200" s="777">
        <v>1277.8499999999999</v>
      </c>
      <c r="Z200" s="777">
        <v>1321.12</v>
      </c>
      <c r="AA200" s="777">
        <v>1371.03</v>
      </c>
      <c r="AB200" s="777">
        <v>1423.78</v>
      </c>
      <c r="AC200" s="777">
        <v>1471.43</v>
      </c>
      <c r="AD200" s="777">
        <v>1525.95</v>
      </c>
      <c r="AE200" s="813">
        <v>2.9000000000000001E-2</v>
      </c>
      <c r="AF200" s="777"/>
      <c r="AG200" s="777"/>
      <c r="AH200" s="777"/>
      <c r="AI200" s="777"/>
      <c r="AJ200" s="777"/>
      <c r="AK200" s="777"/>
      <c r="AL200" s="777"/>
      <c r="AM200" s="777"/>
      <c r="AN200" s="777"/>
      <c r="AO200" s="777"/>
      <c r="AP200" s="777"/>
      <c r="AQ200" s="777"/>
      <c r="AR200" s="777"/>
      <c r="AS200" s="777"/>
      <c r="AT200" s="777"/>
      <c r="AU200" s="777"/>
      <c r="AV200" s="777"/>
      <c r="AW200" s="777"/>
      <c r="AX200" s="777"/>
      <c r="AY200" s="777"/>
      <c r="AZ200" s="777"/>
      <c r="BA200" s="777"/>
      <c r="BB200" s="777"/>
      <c r="BC200" s="777"/>
      <c r="BD200" s="777"/>
      <c r="BE200" s="777"/>
      <c r="BF200" s="777"/>
      <c r="BG200" s="777"/>
      <c r="BH200" s="777"/>
      <c r="BI200" s="777"/>
      <c r="BJ200" s="777"/>
      <c r="BK200" s="777"/>
      <c r="BL200" s="777"/>
      <c r="BM200" s="777"/>
      <c r="BN200" s="777"/>
      <c r="BO200" s="777"/>
      <c r="BP200" s="777"/>
      <c r="BQ200" s="777"/>
      <c r="BR200" s="777"/>
      <c r="BS200" s="777"/>
      <c r="BT200" s="777"/>
    </row>
    <row r="201" spans="1:72" x14ac:dyDescent="0.25">
      <c r="A201" s="777" t="s">
        <v>506</v>
      </c>
      <c r="B201" s="777">
        <v>1223.96</v>
      </c>
      <c r="C201" s="777">
        <v>1396.52</v>
      </c>
      <c r="D201" s="777">
        <v>1057.29</v>
      </c>
      <c r="E201" s="777">
        <v>1090.58</v>
      </c>
      <c r="F201" s="777">
        <v>1135.76</v>
      </c>
      <c r="G201" s="777">
        <v>1230.25</v>
      </c>
      <c r="H201" s="777">
        <v>1314.19</v>
      </c>
      <c r="I201" s="777">
        <v>1371.86</v>
      </c>
      <c r="J201" s="777">
        <v>1422.72</v>
      </c>
      <c r="K201" s="777">
        <v>1481.57</v>
      </c>
      <c r="L201" s="777">
        <v>1541.56</v>
      </c>
      <c r="M201" s="777">
        <v>1598.45</v>
      </c>
      <c r="N201" s="777">
        <v>1652.86</v>
      </c>
      <c r="O201" s="777">
        <v>1714.54</v>
      </c>
      <c r="P201" s="777">
        <v>1770.84</v>
      </c>
      <c r="Q201" s="777">
        <v>1827.25</v>
      </c>
      <c r="R201" s="777">
        <v>1894.81</v>
      </c>
      <c r="S201" s="777">
        <v>1957.89</v>
      </c>
      <c r="T201" s="777">
        <v>2026.51</v>
      </c>
      <c r="U201" s="777">
        <v>2098.7800000000002</v>
      </c>
      <c r="V201" s="777">
        <v>2176.1999999999998</v>
      </c>
      <c r="W201" s="777">
        <v>2260.73</v>
      </c>
      <c r="X201" s="777">
        <v>2348.7600000000002</v>
      </c>
      <c r="Y201" s="777">
        <v>2438.06</v>
      </c>
      <c r="Z201" s="777">
        <v>2531.5</v>
      </c>
      <c r="AA201" s="777">
        <v>2627.51</v>
      </c>
      <c r="AB201" s="777">
        <v>2721.14</v>
      </c>
      <c r="AC201" s="777">
        <v>2818.06</v>
      </c>
      <c r="AD201" s="777">
        <v>2919.72</v>
      </c>
      <c r="AE201" s="813">
        <v>2.8000000000000001E-2</v>
      </c>
      <c r="AF201" s="777"/>
      <c r="AG201" s="777"/>
      <c r="AH201" s="777"/>
      <c r="AI201" s="777"/>
      <c r="AJ201" s="777"/>
      <c r="AK201" s="777"/>
      <c r="AL201" s="777"/>
      <c r="AM201" s="777"/>
      <c r="AN201" s="777"/>
      <c r="AO201" s="777"/>
      <c r="AP201" s="777"/>
      <c r="AQ201" s="777"/>
      <c r="AR201" s="777"/>
      <c r="AS201" s="777"/>
      <c r="AT201" s="777"/>
      <c r="AU201" s="777"/>
      <c r="AV201" s="777"/>
      <c r="AW201" s="777"/>
      <c r="AX201" s="777"/>
      <c r="AY201" s="777"/>
      <c r="AZ201" s="777"/>
      <c r="BA201" s="777"/>
      <c r="BB201" s="777"/>
      <c r="BC201" s="777"/>
      <c r="BD201" s="777"/>
      <c r="BE201" s="777"/>
      <c r="BF201" s="777"/>
      <c r="BG201" s="777"/>
      <c r="BH201" s="777"/>
      <c r="BI201" s="777"/>
      <c r="BJ201" s="777"/>
      <c r="BK201" s="777"/>
      <c r="BL201" s="777"/>
      <c r="BM201" s="777"/>
      <c r="BN201" s="777"/>
      <c r="BO201" s="777"/>
      <c r="BP201" s="777"/>
      <c r="BQ201" s="777"/>
      <c r="BR201" s="777"/>
      <c r="BS201" s="777"/>
      <c r="BT201" s="777"/>
    </row>
    <row r="202" spans="1:72" x14ac:dyDescent="0.25">
      <c r="A202" s="777" t="s">
        <v>618</v>
      </c>
      <c r="B202" s="777">
        <v>0.04</v>
      </c>
      <c r="C202" s="777">
        <v>0.17</v>
      </c>
      <c r="D202" s="777">
        <v>0.04</v>
      </c>
      <c r="E202" s="777">
        <v>0.09</v>
      </c>
      <c r="F202" s="777">
        <v>0.11</v>
      </c>
      <c r="G202" s="777">
        <v>0.13</v>
      </c>
      <c r="H202" s="777">
        <v>0.16</v>
      </c>
      <c r="I202" s="777">
        <v>0.18</v>
      </c>
      <c r="J202" s="777">
        <v>0.24</v>
      </c>
      <c r="K202" s="777">
        <v>2.65</v>
      </c>
      <c r="L202" s="777">
        <v>3.64</v>
      </c>
      <c r="M202" s="777">
        <v>4.71</v>
      </c>
      <c r="N202" s="777">
        <v>6.36</v>
      </c>
      <c r="O202" s="777">
        <v>8.6999999999999993</v>
      </c>
      <c r="P202" s="777">
        <v>11.96</v>
      </c>
      <c r="Q202" s="777">
        <v>22.18</v>
      </c>
      <c r="R202" s="777">
        <v>20.28</v>
      </c>
      <c r="S202" s="777">
        <v>19.329999999999998</v>
      </c>
      <c r="T202" s="777">
        <v>20.440000000000001</v>
      </c>
      <c r="U202" s="777">
        <v>23.52</v>
      </c>
      <c r="V202" s="777">
        <v>26.81</v>
      </c>
      <c r="W202" s="777">
        <v>29.72</v>
      </c>
      <c r="X202" s="777">
        <v>34.94</v>
      </c>
      <c r="Y202" s="777">
        <v>37.81</v>
      </c>
      <c r="Z202" s="777">
        <v>49.23</v>
      </c>
      <c r="AA202" s="777">
        <v>57.96</v>
      </c>
      <c r="AB202" s="777">
        <v>65.66</v>
      </c>
      <c r="AC202" s="777">
        <v>79.569999999999993</v>
      </c>
      <c r="AD202" s="777">
        <v>94.81</v>
      </c>
      <c r="AE202" s="813">
        <v>0.26500000000000001</v>
      </c>
      <c r="AF202" s="777"/>
      <c r="AG202" s="777"/>
      <c r="AH202" s="777"/>
      <c r="AI202" s="777"/>
      <c r="AJ202" s="777"/>
      <c r="AK202" s="777"/>
      <c r="AL202" s="777"/>
      <c r="AM202" s="777"/>
      <c r="AN202" s="777"/>
      <c r="AO202" s="777"/>
      <c r="AP202" s="777"/>
      <c r="AQ202" s="777"/>
      <c r="AR202" s="777"/>
      <c r="AS202" s="777"/>
      <c r="AT202" s="777"/>
      <c r="AU202" s="777"/>
      <c r="AV202" s="777"/>
      <c r="AW202" s="777"/>
      <c r="AX202" s="777"/>
      <c r="AY202" s="777"/>
      <c r="AZ202" s="777"/>
      <c r="BA202" s="777"/>
      <c r="BB202" s="777"/>
      <c r="BC202" s="777"/>
      <c r="BD202" s="777"/>
      <c r="BE202" s="777"/>
      <c r="BF202" s="777"/>
      <c r="BG202" s="777"/>
      <c r="BH202" s="777"/>
      <c r="BI202" s="777"/>
      <c r="BJ202" s="777"/>
      <c r="BK202" s="777"/>
      <c r="BL202" s="777"/>
      <c r="BM202" s="777"/>
      <c r="BN202" s="777"/>
      <c r="BO202" s="777"/>
      <c r="BP202" s="777"/>
      <c r="BQ202" s="777"/>
      <c r="BR202" s="777"/>
      <c r="BS202" s="777"/>
      <c r="BT202" s="777"/>
    </row>
    <row r="203" spans="1:72" x14ac:dyDescent="0.25">
      <c r="A203" s="777" t="s">
        <v>508</v>
      </c>
      <c r="B203" s="777">
        <v>1224</v>
      </c>
      <c r="C203" s="777">
        <v>1396.69</v>
      </c>
      <c r="D203" s="777">
        <v>1057.33</v>
      </c>
      <c r="E203" s="777">
        <v>1090.67</v>
      </c>
      <c r="F203" s="777">
        <v>1135.8699999999999</v>
      </c>
      <c r="G203" s="777">
        <v>1230.3800000000001</v>
      </c>
      <c r="H203" s="777">
        <v>1314.36</v>
      </c>
      <c r="I203" s="777">
        <v>1372.05</v>
      </c>
      <c r="J203" s="777">
        <v>1422.95</v>
      </c>
      <c r="K203" s="777">
        <v>1484.22</v>
      </c>
      <c r="L203" s="777">
        <v>1545.2</v>
      </c>
      <c r="M203" s="777">
        <v>1603.16</v>
      </c>
      <c r="N203" s="777">
        <v>1659.22</v>
      </c>
      <c r="O203" s="777">
        <v>1723.24</v>
      </c>
      <c r="P203" s="777">
        <v>1782.8</v>
      </c>
      <c r="Q203" s="777">
        <v>1849.44</v>
      </c>
      <c r="R203" s="777">
        <v>1915.09</v>
      </c>
      <c r="S203" s="777">
        <v>1977.22</v>
      </c>
      <c r="T203" s="777">
        <v>2046.94</v>
      </c>
      <c r="U203" s="777">
        <v>2122.3000000000002</v>
      </c>
      <c r="V203" s="777">
        <v>2203.0100000000002</v>
      </c>
      <c r="W203" s="777">
        <v>2290.46</v>
      </c>
      <c r="X203" s="777">
        <v>2383.6999999999998</v>
      </c>
      <c r="Y203" s="777">
        <v>2475.87</v>
      </c>
      <c r="Z203" s="777">
        <v>2580.73</v>
      </c>
      <c r="AA203" s="777">
        <v>2685.47</v>
      </c>
      <c r="AB203" s="777">
        <v>2786.79</v>
      </c>
      <c r="AC203" s="777">
        <v>2897.63</v>
      </c>
      <c r="AD203" s="777">
        <v>3014.53</v>
      </c>
      <c r="AE203" s="813">
        <v>2.9000000000000001E-2</v>
      </c>
      <c r="AF203" s="777"/>
      <c r="AG203" s="777"/>
      <c r="AH203" s="777"/>
      <c r="AI203" s="777"/>
      <c r="AJ203" s="777"/>
      <c r="AK203" s="777"/>
      <c r="AL203" s="777"/>
      <c r="AM203" s="777"/>
      <c r="AN203" s="777"/>
      <c r="AO203" s="777"/>
      <c r="AP203" s="777"/>
      <c r="AQ203" s="777"/>
      <c r="AR203" s="777"/>
      <c r="AS203" s="777"/>
      <c r="AT203" s="777"/>
      <c r="AU203" s="777"/>
      <c r="AV203" s="777"/>
      <c r="AW203" s="777"/>
      <c r="AX203" s="777"/>
      <c r="AY203" s="777"/>
      <c r="AZ203" s="777"/>
      <c r="BA203" s="777"/>
      <c r="BB203" s="777"/>
      <c r="BC203" s="777"/>
      <c r="BD203" s="777"/>
      <c r="BE203" s="777"/>
      <c r="BF203" s="777"/>
      <c r="BG203" s="777"/>
      <c r="BH203" s="777"/>
      <c r="BI203" s="777"/>
      <c r="BJ203" s="777"/>
      <c r="BK203" s="777"/>
      <c r="BL203" s="777"/>
      <c r="BM203" s="777"/>
      <c r="BN203" s="777"/>
      <c r="BO203" s="777"/>
      <c r="BP203" s="777"/>
      <c r="BQ203" s="777"/>
      <c r="BR203" s="777"/>
      <c r="BS203" s="777"/>
      <c r="BT203" s="777"/>
    </row>
    <row r="204" spans="1:72" x14ac:dyDescent="0.25">
      <c r="A204" s="777"/>
      <c r="B204" s="777"/>
      <c r="C204" s="777"/>
      <c r="D204" s="777"/>
      <c r="E204" s="777"/>
      <c r="F204" s="777"/>
      <c r="G204" s="777"/>
      <c r="H204" s="777"/>
      <c r="I204" s="777"/>
      <c r="J204" s="777"/>
      <c r="K204" s="777"/>
      <c r="L204" s="777"/>
      <c r="M204" s="777"/>
      <c r="N204" s="777"/>
      <c r="O204" s="777"/>
      <c r="P204" s="777"/>
      <c r="Q204" s="777"/>
      <c r="R204" s="777"/>
      <c r="S204" s="777"/>
      <c r="T204" s="777"/>
      <c r="U204" s="777"/>
      <c r="V204" s="777"/>
      <c r="W204" s="777"/>
      <c r="X204" s="777"/>
      <c r="Y204" s="777"/>
      <c r="Z204" s="777"/>
      <c r="AA204" s="777"/>
      <c r="AB204" s="777"/>
      <c r="AC204" s="777"/>
      <c r="AD204" s="777"/>
      <c r="AE204" s="777"/>
      <c r="AF204" s="777"/>
      <c r="AG204" s="777"/>
      <c r="AH204" s="777"/>
      <c r="AI204" s="777"/>
      <c r="AJ204" s="777"/>
      <c r="AK204" s="777"/>
      <c r="AL204" s="777"/>
      <c r="AM204" s="777"/>
      <c r="AN204" s="777"/>
      <c r="AO204" s="777"/>
      <c r="AP204" s="777"/>
      <c r="AQ204" s="777"/>
      <c r="AR204" s="777"/>
      <c r="AS204" s="777"/>
      <c r="AT204" s="777"/>
      <c r="AU204" s="777"/>
      <c r="AV204" s="777"/>
      <c r="AW204" s="777"/>
      <c r="AX204" s="777"/>
      <c r="AY204" s="777"/>
      <c r="AZ204" s="777"/>
      <c r="BA204" s="777"/>
      <c r="BB204" s="777"/>
      <c r="BC204" s="777"/>
      <c r="BD204" s="777"/>
      <c r="BE204" s="777"/>
      <c r="BF204" s="777"/>
      <c r="BG204" s="777"/>
      <c r="BH204" s="777"/>
      <c r="BI204" s="777"/>
      <c r="BJ204" s="777"/>
      <c r="BK204" s="777"/>
      <c r="BL204" s="777"/>
      <c r="BM204" s="777"/>
      <c r="BN204" s="777"/>
      <c r="BO204" s="777"/>
      <c r="BP204" s="777"/>
      <c r="BQ204" s="777"/>
      <c r="BR204" s="777"/>
      <c r="BS204" s="777"/>
      <c r="BT204" s="777"/>
    </row>
    <row r="205" spans="1:72" x14ac:dyDescent="0.25">
      <c r="A205" s="777"/>
      <c r="B205" s="777"/>
      <c r="C205" s="777"/>
      <c r="D205" s="777"/>
      <c r="E205" s="777"/>
      <c r="F205" s="777"/>
      <c r="G205" s="777"/>
      <c r="H205" s="777"/>
      <c r="I205" s="777"/>
      <c r="J205" s="777"/>
      <c r="K205" s="777"/>
      <c r="L205" s="777"/>
      <c r="M205" s="777"/>
      <c r="N205" s="777"/>
      <c r="O205" s="777"/>
      <c r="P205" s="777"/>
      <c r="Q205" s="777"/>
      <c r="R205" s="777"/>
      <c r="S205" s="777"/>
      <c r="T205" s="777"/>
      <c r="U205" s="777"/>
      <c r="V205" s="777"/>
      <c r="W205" s="777"/>
      <c r="X205" s="777"/>
      <c r="Y205" s="777"/>
      <c r="Z205" s="777"/>
      <c r="AA205" s="777"/>
      <c r="AB205" s="777"/>
      <c r="AC205" s="777"/>
      <c r="AD205" s="777"/>
      <c r="AE205" s="777"/>
      <c r="AF205" s="777"/>
      <c r="AG205" s="777"/>
      <c r="AH205" s="777"/>
      <c r="AI205" s="777"/>
      <c r="AJ205" s="777"/>
      <c r="AK205" s="777"/>
      <c r="AL205" s="777"/>
      <c r="AM205" s="777"/>
      <c r="AN205" s="777"/>
      <c r="AO205" s="777"/>
      <c r="AP205" s="777"/>
      <c r="AQ205" s="777"/>
      <c r="AR205" s="777"/>
      <c r="AS205" s="777"/>
      <c r="AT205" s="777"/>
      <c r="AU205" s="777"/>
      <c r="AV205" s="777"/>
      <c r="AW205" s="777"/>
      <c r="AX205" s="777"/>
      <c r="AY205" s="777"/>
      <c r="AZ205" s="777"/>
      <c r="BA205" s="777"/>
      <c r="BB205" s="777"/>
      <c r="BC205" s="777"/>
      <c r="BD205" s="777"/>
      <c r="BE205" s="777"/>
      <c r="BF205" s="777"/>
      <c r="BG205" s="777"/>
      <c r="BH205" s="777"/>
      <c r="BI205" s="777"/>
      <c r="BJ205" s="777"/>
      <c r="BK205" s="777"/>
      <c r="BL205" s="777"/>
      <c r="BM205" s="777"/>
      <c r="BN205" s="777"/>
      <c r="BO205" s="777"/>
      <c r="BP205" s="777"/>
      <c r="BQ205" s="777"/>
      <c r="BR205" s="777"/>
      <c r="BS205" s="777"/>
      <c r="BT205" s="777"/>
    </row>
    <row r="206" spans="1:72" x14ac:dyDescent="0.25">
      <c r="A206" s="777"/>
      <c r="B206" s="777"/>
      <c r="C206" s="777"/>
      <c r="D206" s="777"/>
      <c r="E206" s="777"/>
      <c r="F206" s="777"/>
      <c r="G206" s="777"/>
      <c r="H206" s="777"/>
      <c r="I206" s="777"/>
      <c r="J206" s="777"/>
      <c r="K206" s="777"/>
      <c r="L206" s="777"/>
      <c r="M206" s="777"/>
      <c r="N206" s="777"/>
      <c r="O206" s="777"/>
      <c r="P206" s="777"/>
      <c r="Q206" s="777"/>
      <c r="R206" s="777"/>
      <c r="S206" s="777"/>
      <c r="T206" s="777"/>
      <c r="U206" s="777"/>
      <c r="V206" s="777"/>
      <c r="W206" s="777"/>
      <c r="X206" s="777"/>
      <c r="Y206" s="777"/>
      <c r="Z206" s="777"/>
      <c r="AA206" s="777"/>
      <c r="AB206" s="777"/>
      <c r="AC206" s="777"/>
      <c r="AD206" s="777"/>
      <c r="AE206" s="777"/>
      <c r="AF206" s="777"/>
      <c r="AG206" s="777"/>
      <c r="AH206" s="777"/>
      <c r="AI206" s="777"/>
      <c r="AJ206" s="777"/>
      <c r="AK206" s="777"/>
      <c r="AL206" s="777"/>
      <c r="AM206" s="777"/>
      <c r="AN206" s="777"/>
      <c r="AO206" s="777"/>
      <c r="AP206" s="777"/>
      <c r="AQ206" s="777"/>
      <c r="AR206" s="777"/>
      <c r="AS206" s="777"/>
      <c r="AT206" s="777"/>
      <c r="AU206" s="777"/>
      <c r="AV206" s="777"/>
      <c r="AW206" s="777"/>
      <c r="AX206" s="777"/>
      <c r="AY206" s="777"/>
      <c r="AZ206" s="777"/>
      <c r="BA206" s="777"/>
      <c r="BB206" s="777"/>
      <c r="BC206" s="777"/>
      <c r="BD206" s="777"/>
      <c r="BE206" s="777"/>
      <c r="BF206" s="777"/>
      <c r="BG206" s="777"/>
      <c r="BH206" s="777"/>
      <c r="BI206" s="777"/>
      <c r="BJ206" s="777"/>
      <c r="BK206" s="777"/>
      <c r="BL206" s="777"/>
      <c r="BM206" s="777"/>
      <c r="BN206" s="777"/>
      <c r="BO206" s="777"/>
      <c r="BP206" s="777"/>
      <c r="BQ206" s="777"/>
      <c r="BR206" s="777"/>
      <c r="BS206" s="777"/>
      <c r="BT206" s="777"/>
    </row>
    <row r="207" spans="1:72" x14ac:dyDescent="0.25">
      <c r="A207" s="777" t="s">
        <v>619</v>
      </c>
      <c r="B207" s="777"/>
      <c r="C207" s="777"/>
      <c r="D207" s="777"/>
      <c r="E207" s="777"/>
      <c r="F207" s="777"/>
      <c r="G207" s="777"/>
      <c r="H207" s="777"/>
      <c r="I207" s="777"/>
      <c r="J207" s="777"/>
      <c r="K207" s="777"/>
      <c r="L207" s="777"/>
      <c r="M207" s="777"/>
      <c r="N207" s="777"/>
      <c r="O207" s="777"/>
      <c r="P207" s="777"/>
      <c r="Q207" s="777"/>
      <c r="R207" s="777"/>
      <c r="S207" s="777"/>
      <c r="T207" s="777"/>
      <c r="U207" s="777"/>
      <c r="V207" s="777"/>
      <c r="W207" s="777"/>
      <c r="X207" s="777"/>
      <c r="Y207" s="777"/>
      <c r="Z207" s="777"/>
      <c r="AA207" s="777"/>
      <c r="AB207" s="777"/>
      <c r="AC207" s="777"/>
      <c r="AD207" s="777"/>
      <c r="AE207" s="777"/>
      <c r="AF207" s="777"/>
      <c r="AG207" s="777"/>
      <c r="AH207" s="777"/>
      <c r="AI207" s="777"/>
      <c r="AJ207" s="777"/>
      <c r="AK207" s="777"/>
      <c r="AL207" s="777"/>
      <c r="AM207" s="777"/>
      <c r="AN207" s="777"/>
      <c r="AO207" s="777"/>
      <c r="AP207" s="777"/>
      <c r="AQ207" s="777"/>
      <c r="AR207" s="777"/>
      <c r="AS207" s="777"/>
      <c r="AT207" s="777"/>
      <c r="AU207" s="777"/>
      <c r="AV207" s="777"/>
      <c r="AW207" s="777"/>
      <c r="AX207" s="777"/>
      <c r="AY207" s="777"/>
      <c r="AZ207" s="777"/>
      <c r="BA207" s="777"/>
      <c r="BB207" s="777"/>
      <c r="BC207" s="777"/>
      <c r="BD207" s="777"/>
      <c r="BE207" s="777"/>
      <c r="BF207" s="777"/>
      <c r="BG207" s="777"/>
      <c r="BH207" s="777"/>
      <c r="BI207" s="777"/>
      <c r="BJ207" s="777"/>
      <c r="BK207" s="777"/>
      <c r="BL207" s="777"/>
      <c r="BM207" s="777"/>
      <c r="BN207" s="777"/>
      <c r="BO207" s="777"/>
      <c r="BP207" s="777"/>
      <c r="BQ207" s="777"/>
      <c r="BR207" s="777"/>
      <c r="BS207" s="777"/>
      <c r="BT207" s="777"/>
    </row>
    <row r="208" spans="1:72" x14ac:dyDescent="0.25">
      <c r="A208" s="777" t="s">
        <v>620</v>
      </c>
      <c r="B208" s="777"/>
      <c r="C208" s="777"/>
      <c r="D208" s="777"/>
      <c r="E208" s="777"/>
      <c r="F208" s="777"/>
      <c r="G208" s="777"/>
      <c r="H208" s="777"/>
      <c r="I208" s="777"/>
      <c r="J208" s="777"/>
      <c r="K208" s="777"/>
      <c r="L208" s="777"/>
      <c r="M208" s="777"/>
      <c r="N208" s="777"/>
      <c r="O208" s="777"/>
      <c r="P208" s="777"/>
      <c r="Q208" s="777"/>
      <c r="R208" s="777"/>
      <c r="S208" s="777"/>
      <c r="T208" s="777"/>
      <c r="U208" s="777"/>
      <c r="V208" s="777"/>
      <c r="W208" s="777"/>
      <c r="X208" s="777"/>
      <c r="Y208" s="777"/>
      <c r="Z208" s="777"/>
      <c r="AA208" s="777"/>
      <c r="AB208" s="777"/>
      <c r="AC208" s="777"/>
      <c r="AD208" s="777"/>
      <c r="AE208" s="777"/>
      <c r="AF208" s="777"/>
      <c r="AG208" s="777"/>
      <c r="AH208" s="777"/>
      <c r="AI208" s="777"/>
      <c r="AJ208" s="777"/>
      <c r="AK208" s="777"/>
      <c r="AL208" s="777"/>
      <c r="AM208" s="777"/>
      <c r="AN208" s="777"/>
      <c r="AO208" s="777"/>
      <c r="AP208" s="777"/>
      <c r="AQ208" s="777"/>
      <c r="AR208" s="777"/>
      <c r="AS208" s="777"/>
      <c r="AT208" s="777"/>
      <c r="AU208" s="777"/>
      <c r="AV208" s="777"/>
      <c r="AW208" s="777"/>
      <c r="AX208" s="777"/>
      <c r="AY208" s="777"/>
      <c r="AZ208" s="777"/>
      <c r="BA208" s="777"/>
      <c r="BB208" s="777"/>
      <c r="BC208" s="777"/>
      <c r="BD208" s="777"/>
      <c r="BE208" s="777"/>
      <c r="BF208" s="777"/>
      <c r="BG208" s="777"/>
      <c r="BH208" s="777"/>
      <c r="BI208" s="777"/>
      <c r="BJ208" s="777"/>
      <c r="BK208" s="777"/>
      <c r="BL208" s="777"/>
      <c r="BM208" s="777"/>
      <c r="BN208" s="777"/>
      <c r="BO208" s="777"/>
      <c r="BP208" s="777"/>
      <c r="BQ208" s="777"/>
      <c r="BR208" s="777"/>
      <c r="BS208" s="777"/>
      <c r="BT208" s="777"/>
    </row>
    <row r="209" spans="1:72" x14ac:dyDescent="0.25">
      <c r="A209" s="777" t="s">
        <v>621</v>
      </c>
      <c r="B209" s="777"/>
      <c r="C209" s="777"/>
      <c r="D209" s="777"/>
      <c r="E209" s="777"/>
      <c r="F209" s="777"/>
      <c r="G209" s="777"/>
      <c r="H209" s="777"/>
      <c r="I209" s="777"/>
      <c r="J209" s="777"/>
      <c r="K209" s="777"/>
      <c r="L209" s="777"/>
      <c r="M209" s="777"/>
      <c r="N209" s="777"/>
      <c r="O209" s="777"/>
      <c r="P209" s="777"/>
      <c r="Q209" s="777"/>
      <c r="R209" s="777"/>
      <c r="S209" s="777"/>
      <c r="T209" s="777"/>
      <c r="U209" s="777"/>
      <c r="V209" s="777"/>
      <c r="W209" s="777"/>
      <c r="X209" s="777"/>
      <c r="Y209" s="777"/>
      <c r="Z209" s="777"/>
      <c r="AA209" s="777"/>
      <c r="AB209" s="777"/>
      <c r="AC209" s="777"/>
      <c r="AD209" s="777"/>
      <c r="AE209" s="777"/>
      <c r="AF209" s="777"/>
      <c r="AG209" s="777"/>
      <c r="AH209" s="777"/>
      <c r="AI209" s="777"/>
      <c r="AJ209" s="777"/>
      <c r="AK209" s="777"/>
      <c r="AL209" s="777"/>
      <c r="AM209" s="777"/>
      <c r="AN209" s="777"/>
      <c r="AO209" s="777"/>
      <c r="AP209" s="777"/>
      <c r="AQ209" s="777"/>
      <c r="AR209" s="777"/>
      <c r="AS209" s="777"/>
      <c r="AT209" s="777"/>
      <c r="AU209" s="777"/>
      <c r="AV209" s="777"/>
      <c r="AW209" s="777"/>
      <c r="AX209" s="777"/>
      <c r="AY209" s="777"/>
      <c r="AZ209" s="777"/>
      <c r="BA209" s="777"/>
      <c r="BB209" s="777"/>
      <c r="BC209" s="777"/>
      <c r="BD209" s="777"/>
      <c r="BE209" s="777"/>
      <c r="BF209" s="777"/>
      <c r="BG209" s="777"/>
      <c r="BH209" s="777"/>
      <c r="BI209" s="777"/>
      <c r="BJ209" s="777"/>
      <c r="BK209" s="777"/>
      <c r="BL209" s="777"/>
      <c r="BM209" s="777"/>
      <c r="BN209" s="777"/>
      <c r="BO209" s="777"/>
      <c r="BP209" s="777"/>
      <c r="BQ209" s="777"/>
      <c r="BR209" s="777"/>
      <c r="BS209" s="777"/>
      <c r="BT209" s="777"/>
    </row>
    <row r="210" spans="1:72" x14ac:dyDescent="0.25">
      <c r="A210" s="777" t="s">
        <v>779</v>
      </c>
      <c r="B210" s="777"/>
      <c r="C210" s="777"/>
      <c r="D210" s="777"/>
      <c r="E210" s="777"/>
      <c r="F210" s="777"/>
      <c r="G210" s="777"/>
      <c r="H210" s="777"/>
      <c r="I210" s="777"/>
      <c r="J210" s="777"/>
      <c r="K210" s="777"/>
      <c r="L210" s="777"/>
      <c r="M210" s="777"/>
      <c r="N210" s="777"/>
      <c r="O210" s="777"/>
      <c r="P210" s="777"/>
      <c r="Q210" s="777"/>
      <c r="R210" s="777"/>
      <c r="S210" s="777"/>
      <c r="T210" s="777"/>
      <c r="U210" s="777"/>
      <c r="V210" s="777"/>
      <c r="W210" s="777"/>
      <c r="X210" s="777"/>
      <c r="Y210" s="777"/>
      <c r="Z210" s="777"/>
      <c r="AA210" s="777"/>
      <c r="AB210" s="777"/>
      <c r="AC210" s="777"/>
      <c r="AD210" s="777"/>
      <c r="AE210" s="777"/>
      <c r="AF210" s="777"/>
      <c r="AG210" s="777"/>
      <c r="AH210" s="777"/>
      <c r="AI210" s="777"/>
      <c r="AJ210" s="777"/>
      <c r="AK210" s="777"/>
      <c r="AL210" s="777"/>
      <c r="AM210" s="777"/>
      <c r="AN210" s="777"/>
      <c r="AO210" s="777"/>
      <c r="AP210" s="777"/>
      <c r="AQ210" s="777"/>
      <c r="AR210" s="777"/>
      <c r="AS210" s="777"/>
      <c r="AT210" s="777"/>
      <c r="AU210" s="777"/>
      <c r="AV210" s="777"/>
      <c r="AW210" s="777"/>
      <c r="AX210" s="777"/>
      <c r="AY210" s="777"/>
      <c r="AZ210" s="777"/>
      <c r="BA210" s="777"/>
      <c r="BB210" s="777"/>
      <c r="BC210" s="777"/>
      <c r="BD210" s="777"/>
      <c r="BE210" s="777"/>
      <c r="BF210" s="777"/>
      <c r="BG210" s="777"/>
      <c r="BH210" s="777"/>
      <c r="BI210" s="777"/>
      <c r="BJ210" s="777"/>
      <c r="BK210" s="777"/>
      <c r="BL210" s="777"/>
      <c r="BM210" s="777"/>
      <c r="BN210" s="777"/>
      <c r="BO210" s="777"/>
      <c r="BP210" s="777"/>
      <c r="BQ210" s="777"/>
      <c r="BR210" s="777"/>
      <c r="BS210" s="777"/>
      <c r="BT210" s="777"/>
    </row>
    <row r="211" spans="1:72" x14ac:dyDescent="0.25">
      <c r="A211" s="777" t="s">
        <v>780</v>
      </c>
      <c r="B211" s="777"/>
      <c r="C211" s="777"/>
      <c r="D211" s="777"/>
      <c r="E211" s="777"/>
      <c r="F211" s="777"/>
      <c r="G211" s="777"/>
      <c r="H211" s="777"/>
      <c r="I211" s="777"/>
      <c r="J211" s="777"/>
      <c r="K211" s="777"/>
      <c r="L211" s="777"/>
      <c r="M211" s="777"/>
      <c r="N211" s="777"/>
      <c r="O211" s="777"/>
      <c r="P211" s="777"/>
      <c r="Q211" s="777"/>
      <c r="R211" s="777"/>
      <c r="S211" s="777"/>
      <c r="T211" s="777"/>
      <c r="U211" s="777"/>
      <c r="V211" s="777"/>
      <c r="W211" s="777"/>
      <c r="X211" s="777"/>
      <c r="Y211" s="777"/>
      <c r="Z211" s="777"/>
      <c r="AA211" s="777"/>
      <c r="AB211" s="777"/>
      <c r="AC211" s="777"/>
      <c r="AD211" s="777"/>
      <c r="AE211" s="777"/>
      <c r="AF211" s="777"/>
      <c r="AG211" s="777"/>
      <c r="AH211" s="777"/>
      <c r="AI211" s="777"/>
      <c r="AJ211" s="777"/>
      <c r="AK211" s="777"/>
      <c r="AL211" s="777"/>
      <c r="AM211" s="777"/>
      <c r="AN211" s="777"/>
      <c r="AO211" s="777"/>
      <c r="AP211" s="777"/>
      <c r="AQ211" s="777"/>
      <c r="AR211" s="777"/>
      <c r="AS211" s="777"/>
      <c r="AT211" s="777"/>
      <c r="AU211" s="777"/>
      <c r="AV211" s="777"/>
      <c r="AW211" s="777"/>
      <c r="AX211" s="777"/>
      <c r="AY211" s="777"/>
      <c r="AZ211" s="777"/>
      <c r="BA211" s="777"/>
      <c r="BB211" s="777"/>
      <c r="BC211" s="777"/>
      <c r="BD211" s="777"/>
      <c r="BE211" s="777"/>
      <c r="BF211" s="777"/>
      <c r="BG211" s="777"/>
      <c r="BH211" s="777"/>
      <c r="BI211" s="777"/>
      <c r="BJ211" s="777"/>
      <c r="BK211" s="777"/>
      <c r="BL211" s="777"/>
      <c r="BM211" s="777"/>
      <c r="BN211" s="777"/>
      <c r="BO211" s="777"/>
      <c r="BP211" s="777"/>
      <c r="BQ211" s="777"/>
      <c r="BR211" s="777"/>
      <c r="BS211" s="777"/>
      <c r="BT211" s="777"/>
    </row>
    <row r="212" spans="1:72" x14ac:dyDescent="0.25">
      <c r="A212" s="777" t="s">
        <v>638</v>
      </c>
      <c r="B212" s="777"/>
      <c r="C212" s="777"/>
      <c r="D212" s="777"/>
      <c r="E212" s="777"/>
      <c r="F212" s="777"/>
      <c r="G212" s="777"/>
      <c r="H212" s="777"/>
      <c r="I212" s="777"/>
      <c r="J212" s="777"/>
      <c r="K212" s="777"/>
      <c r="L212" s="777"/>
      <c r="M212" s="777"/>
      <c r="N212" s="777"/>
      <c r="O212" s="777"/>
      <c r="P212" s="777"/>
      <c r="Q212" s="777"/>
      <c r="R212" s="777"/>
      <c r="S212" s="777"/>
      <c r="T212" s="777"/>
      <c r="U212" s="777"/>
      <c r="V212" s="777"/>
      <c r="W212" s="777"/>
      <c r="X212" s="777"/>
      <c r="Y212" s="777"/>
      <c r="Z212" s="777"/>
      <c r="AA212" s="777"/>
      <c r="AB212" s="777"/>
      <c r="AC212" s="777"/>
      <c r="AD212" s="777"/>
      <c r="AE212" s="777"/>
      <c r="AF212" s="777"/>
      <c r="AG212" s="777"/>
      <c r="AH212" s="777"/>
      <c r="AI212" s="777"/>
      <c r="AJ212" s="777"/>
      <c r="AK212" s="777"/>
      <c r="AL212" s="777"/>
      <c r="AM212" s="777"/>
      <c r="AN212" s="777"/>
      <c r="AO212" s="777"/>
      <c r="AP212" s="777"/>
      <c r="AQ212" s="777"/>
      <c r="AR212" s="777"/>
      <c r="AS212" s="777"/>
      <c r="AT212" s="777"/>
      <c r="AU212" s="777"/>
      <c r="AV212" s="777"/>
      <c r="AW212" s="777"/>
      <c r="AX212" s="777"/>
      <c r="AY212" s="777"/>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row>
    <row r="213" spans="1:72" x14ac:dyDescent="0.25">
      <c r="A213" s="777" t="s">
        <v>639</v>
      </c>
      <c r="B213" s="777"/>
      <c r="C213" s="777"/>
      <c r="D213" s="777"/>
      <c r="E213" s="777"/>
      <c r="F213" s="777"/>
      <c r="G213" s="777"/>
      <c r="H213" s="777"/>
      <c r="I213" s="777"/>
      <c r="J213" s="777"/>
      <c r="K213" s="777"/>
      <c r="L213" s="777"/>
      <c r="M213" s="777"/>
      <c r="N213" s="777"/>
      <c r="O213" s="777"/>
      <c r="P213" s="777"/>
      <c r="Q213" s="777"/>
      <c r="R213" s="777"/>
      <c r="S213" s="777"/>
      <c r="T213" s="777"/>
      <c r="U213" s="777"/>
      <c r="V213" s="777"/>
      <c r="W213" s="777"/>
      <c r="X213" s="777"/>
      <c r="Y213" s="777"/>
      <c r="Z213" s="777"/>
      <c r="AA213" s="777"/>
      <c r="AB213" s="777"/>
      <c r="AC213" s="777"/>
      <c r="AD213" s="777"/>
      <c r="AE213" s="777"/>
      <c r="AF213" s="777"/>
      <c r="AG213" s="777"/>
      <c r="AH213" s="777"/>
      <c r="AI213" s="777"/>
      <c r="AJ213" s="777"/>
      <c r="AK213" s="777"/>
      <c r="AL213" s="777"/>
      <c r="AM213" s="777"/>
      <c r="AN213" s="777"/>
      <c r="AO213" s="777"/>
      <c r="AP213" s="777"/>
      <c r="AQ213" s="777"/>
      <c r="AR213" s="777"/>
      <c r="AS213" s="777"/>
      <c r="AT213" s="777"/>
      <c r="AU213" s="777"/>
      <c r="AV213" s="777"/>
      <c r="AW213" s="777"/>
      <c r="AX213" s="777"/>
      <c r="AY213" s="777"/>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row>
    <row r="214" spans="1:72" x14ac:dyDescent="0.25">
      <c r="A214" s="777" t="s">
        <v>640</v>
      </c>
      <c r="B214" s="777"/>
      <c r="C214" s="777"/>
      <c r="D214" s="777"/>
      <c r="E214" s="777"/>
      <c r="F214" s="777"/>
      <c r="G214" s="777"/>
      <c r="H214" s="777"/>
      <c r="I214" s="777"/>
      <c r="J214" s="777"/>
      <c r="K214" s="777"/>
      <c r="L214" s="777"/>
      <c r="M214" s="777"/>
      <c r="N214" s="777"/>
      <c r="O214" s="777"/>
      <c r="P214" s="777"/>
      <c r="Q214" s="777"/>
      <c r="R214" s="777"/>
      <c r="S214" s="777"/>
      <c r="T214" s="777"/>
      <c r="U214" s="777"/>
      <c r="V214" s="777"/>
      <c r="W214" s="777"/>
      <c r="X214" s="777"/>
      <c r="Y214" s="777"/>
      <c r="Z214" s="777"/>
      <c r="AA214" s="777"/>
      <c r="AB214" s="777"/>
      <c r="AC214" s="777"/>
      <c r="AD214" s="777"/>
      <c r="AE214" s="777"/>
      <c r="AF214" s="777"/>
      <c r="AG214" s="777"/>
      <c r="AH214" s="777"/>
      <c r="AI214" s="777"/>
      <c r="AJ214" s="777"/>
      <c r="AK214" s="777"/>
      <c r="AL214" s="777"/>
      <c r="AM214" s="777"/>
      <c r="AN214" s="777"/>
      <c r="AO214" s="777"/>
      <c r="AP214" s="777"/>
      <c r="AQ214" s="777"/>
      <c r="AR214" s="777"/>
      <c r="AS214" s="777"/>
      <c r="AT214" s="777"/>
      <c r="AU214" s="777"/>
      <c r="AV214" s="777"/>
      <c r="AW214" s="777"/>
      <c r="AX214" s="777"/>
      <c r="AY214" s="777"/>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row>
    <row r="215" spans="1:72" x14ac:dyDescent="0.25">
      <c r="A215" s="777" t="s">
        <v>641</v>
      </c>
      <c r="B215" s="777"/>
      <c r="C215" s="777"/>
      <c r="D215" s="777"/>
      <c r="E215" s="777"/>
      <c r="F215" s="777"/>
      <c r="G215" s="777"/>
      <c r="H215" s="777"/>
      <c r="I215" s="777"/>
      <c r="J215" s="777"/>
      <c r="K215" s="777"/>
      <c r="L215" s="777"/>
      <c r="M215" s="777"/>
      <c r="N215" s="777"/>
      <c r="O215" s="777"/>
      <c r="P215" s="777"/>
      <c r="Q215" s="777"/>
      <c r="R215" s="777"/>
      <c r="S215" s="777"/>
      <c r="T215" s="777"/>
      <c r="U215" s="777"/>
      <c r="V215" s="777"/>
      <c r="W215" s="777"/>
      <c r="X215" s="777"/>
      <c r="Y215" s="777"/>
      <c r="Z215" s="777"/>
      <c r="AA215" s="777"/>
      <c r="AB215" s="777"/>
      <c r="AC215" s="777"/>
      <c r="AD215" s="777"/>
      <c r="AE215" s="777"/>
      <c r="AF215" s="777"/>
      <c r="AG215" s="777"/>
      <c r="AH215" s="777"/>
      <c r="AI215" s="777"/>
      <c r="AJ215" s="777"/>
      <c r="AK215" s="777"/>
      <c r="AL215" s="777"/>
      <c r="AM215" s="777"/>
      <c r="AN215" s="777"/>
      <c r="AO215" s="777"/>
      <c r="AP215" s="777"/>
      <c r="AQ215" s="777"/>
      <c r="AR215" s="777"/>
      <c r="AS215" s="777"/>
      <c r="AT215" s="777"/>
      <c r="AU215" s="777"/>
      <c r="AV215" s="777"/>
      <c r="AW215" s="777"/>
      <c r="AX215" s="777"/>
      <c r="AY215" s="777"/>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row>
    <row r="216" spans="1:72" x14ac:dyDescent="0.25">
      <c r="A216" s="777" t="s">
        <v>642</v>
      </c>
      <c r="B216" s="777"/>
      <c r="C216" s="777"/>
      <c r="D216" s="777"/>
      <c r="E216" s="777"/>
      <c r="F216" s="777"/>
      <c r="G216" s="777"/>
      <c r="H216" s="777"/>
      <c r="I216" s="777"/>
      <c r="J216" s="777"/>
      <c r="K216" s="777"/>
      <c r="L216" s="777"/>
      <c r="M216" s="777"/>
      <c r="N216" s="777"/>
      <c r="O216" s="777"/>
      <c r="P216" s="777"/>
      <c r="Q216" s="777"/>
      <c r="R216" s="777"/>
      <c r="S216" s="777"/>
      <c r="T216" s="777"/>
      <c r="U216" s="777"/>
      <c r="V216" s="777"/>
      <c r="W216" s="777"/>
      <c r="X216" s="777"/>
      <c r="Y216" s="777"/>
      <c r="Z216" s="777"/>
      <c r="AA216" s="777"/>
      <c r="AB216" s="777"/>
      <c r="AC216" s="777"/>
      <c r="AD216" s="777"/>
      <c r="AE216" s="777"/>
      <c r="AF216" s="777"/>
      <c r="AG216" s="777"/>
      <c r="AH216" s="777"/>
      <c r="AI216" s="777"/>
      <c r="AJ216" s="777"/>
      <c r="AK216" s="777"/>
      <c r="AL216" s="777"/>
      <c r="AM216" s="777"/>
      <c r="AN216" s="777"/>
      <c r="AO216" s="777"/>
      <c r="AP216" s="777"/>
      <c r="AQ216" s="777"/>
      <c r="AR216" s="777"/>
      <c r="AS216" s="777"/>
      <c r="AT216" s="777"/>
      <c r="AU216" s="777"/>
      <c r="AV216" s="777"/>
      <c r="AW216" s="777"/>
      <c r="AX216" s="777"/>
      <c r="AY216" s="777"/>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row>
    <row r="217" spans="1:72" x14ac:dyDescent="0.25">
      <c r="A217" s="777" t="s">
        <v>643</v>
      </c>
      <c r="B217" s="777"/>
      <c r="C217" s="777"/>
      <c r="D217" s="777"/>
      <c r="E217" s="777"/>
      <c r="F217" s="777"/>
      <c r="G217" s="777"/>
      <c r="H217" s="777"/>
      <c r="I217" s="777"/>
      <c r="J217" s="777"/>
      <c r="K217" s="777"/>
      <c r="L217" s="777"/>
      <c r="M217" s="777"/>
      <c r="N217" s="777"/>
      <c r="O217" s="777"/>
      <c r="P217" s="777"/>
      <c r="Q217" s="777"/>
      <c r="R217" s="777"/>
      <c r="S217" s="777"/>
      <c r="T217" s="777"/>
      <c r="U217" s="777"/>
      <c r="V217" s="777"/>
      <c r="W217" s="777"/>
      <c r="X217" s="777"/>
      <c r="Y217" s="777"/>
      <c r="Z217" s="777"/>
      <c r="AA217" s="777"/>
      <c r="AB217" s="777"/>
      <c r="AC217" s="777"/>
      <c r="AD217" s="777"/>
      <c r="AE217" s="777"/>
      <c r="AF217" s="777"/>
      <c r="AG217" s="777"/>
      <c r="AH217" s="777"/>
      <c r="AI217" s="777"/>
      <c r="AJ217" s="777"/>
      <c r="AK217" s="777"/>
      <c r="AL217" s="777"/>
      <c r="AM217" s="777"/>
      <c r="AN217" s="777"/>
      <c r="AO217" s="777"/>
      <c r="AP217" s="777"/>
      <c r="AQ217" s="777"/>
      <c r="AR217" s="777"/>
      <c r="AS217" s="777"/>
      <c r="AT217" s="777"/>
      <c r="AU217" s="777"/>
      <c r="AV217" s="777"/>
      <c r="AW217" s="777"/>
      <c r="AX217" s="777"/>
      <c r="AY217" s="777"/>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row>
    <row r="218" spans="1:72" x14ac:dyDescent="0.25">
      <c r="A218" s="777" t="s">
        <v>535</v>
      </c>
      <c r="B218" s="777"/>
      <c r="C218" s="777"/>
      <c r="D218" s="777"/>
      <c r="E218" s="777"/>
      <c r="F218" s="777"/>
      <c r="G218" s="777"/>
      <c r="H218" s="777"/>
      <c r="I218" s="777"/>
      <c r="J218" s="777"/>
      <c r="K218" s="777"/>
      <c r="L218" s="777"/>
      <c r="M218" s="777"/>
      <c r="N218" s="777"/>
      <c r="O218" s="777"/>
      <c r="P218" s="777"/>
      <c r="Q218" s="777"/>
      <c r="R218" s="777"/>
      <c r="S218" s="777"/>
      <c r="T218" s="777"/>
      <c r="U218" s="777"/>
      <c r="V218" s="777"/>
      <c r="W218" s="777"/>
      <c r="X218" s="777"/>
      <c r="Y218" s="777"/>
      <c r="Z218" s="777"/>
      <c r="AA218" s="777"/>
      <c r="AB218" s="777"/>
      <c r="AC218" s="777"/>
      <c r="AD218" s="777"/>
      <c r="AE218" s="777"/>
      <c r="AF218" s="777"/>
      <c r="AG218" s="777"/>
      <c r="AH218" s="777"/>
      <c r="AI218" s="777"/>
      <c r="AJ218" s="777"/>
      <c r="AK218" s="777"/>
      <c r="AL218" s="777"/>
      <c r="AM218" s="777"/>
      <c r="AN218" s="777"/>
      <c r="AO218" s="777"/>
      <c r="AP218" s="777"/>
      <c r="AQ218" s="777"/>
      <c r="AR218" s="777"/>
      <c r="AS218" s="777"/>
      <c r="AT218" s="777"/>
      <c r="AU218" s="777"/>
      <c r="AV218" s="777"/>
      <c r="AW218" s="777"/>
      <c r="AX218" s="777"/>
      <c r="AY218" s="777"/>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row>
    <row r="219" spans="1:72" x14ac:dyDescent="0.25">
      <c r="A219" s="777" t="s">
        <v>719</v>
      </c>
      <c r="B219" s="777"/>
      <c r="C219" s="777"/>
      <c r="D219" s="777"/>
      <c r="E219" s="777"/>
      <c r="F219" s="777"/>
      <c r="G219" s="777"/>
      <c r="H219" s="777"/>
      <c r="I219" s="777"/>
      <c r="J219" s="777"/>
      <c r="K219" s="777"/>
      <c r="L219" s="777"/>
      <c r="M219" s="777"/>
      <c r="N219" s="777"/>
      <c r="O219" s="777"/>
      <c r="P219" s="777"/>
      <c r="Q219" s="777"/>
      <c r="R219" s="777"/>
      <c r="S219" s="777"/>
      <c r="T219" s="777"/>
      <c r="U219" s="777"/>
      <c r="V219" s="777"/>
      <c r="W219" s="777"/>
      <c r="X219" s="777"/>
      <c r="Y219" s="777"/>
      <c r="Z219" s="777"/>
      <c r="AA219" s="777"/>
      <c r="AB219" s="777"/>
      <c r="AC219" s="777"/>
      <c r="AD219" s="777"/>
      <c r="AE219" s="777"/>
      <c r="AF219" s="777"/>
      <c r="AG219" s="777"/>
      <c r="AH219" s="777"/>
      <c r="AI219" s="777"/>
      <c r="AJ219" s="777"/>
      <c r="AK219" s="777"/>
      <c r="AL219" s="777"/>
      <c r="AM219" s="777"/>
      <c r="AN219" s="777"/>
      <c r="AO219" s="777"/>
      <c r="AP219" s="777"/>
      <c r="AQ219" s="777"/>
      <c r="AR219" s="777"/>
      <c r="AS219" s="777"/>
      <c r="AT219" s="777"/>
      <c r="AU219" s="777"/>
      <c r="AV219" s="777"/>
      <c r="AW219" s="777"/>
      <c r="AX219" s="777"/>
      <c r="AY219" s="777"/>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row>
    <row r="220" spans="1:72" x14ac:dyDescent="0.25">
      <c r="A220" s="777" t="s">
        <v>781</v>
      </c>
      <c r="B220" s="777"/>
      <c r="C220" s="777"/>
      <c r="D220" s="777"/>
      <c r="E220" s="777"/>
      <c r="F220" s="777"/>
      <c r="G220" s="777"/>
      <c r="H220" s="777"/>
      <c r="I220" s="777"/>
      <c r="J220" s="777"/>
      <c r="K220" s="777"/>
      <c r="L220" s="777"/>
      <c r="M220" s="777"/>
      <c r="N220" s="777"/>
      <c r="O220" s="777"/>
      <c r="P220" s="777"/>
      <c r="Q220" s="777"/>
      <c r="R220" s="777"/>
      <c r="S220" s="777"/>
      <c r="T220" s="777"/>
      <c r="U220" s="777"/>
      <c r="V220" s="777"/>
      <c r="W220" s="777"/>
      <c r="X220" s="777"/>
      <c r="Y220" s="777"/>
      <c r="Z220" s="777"/>
      <c r="AA220" s="777"/>
      <c r="AB220" s="777"/>
      <c r="AC220" s="777"/>
      <c r="AD220" s="777"/>
      <c r="AE220" s="777"/>
      <c r="AF220" s="777"/>
      <c r="AG220" s="777"/>
      <c r="AH220" s="777"/>
      <c r="AI220" s="777"/>
      <c r="AJ220" s="777"/>
      <c r="AK220" s="777"/>
      <c r="AL220" s="777"/>
      <c r="AM220" s="777"/>
      <c r="AN220" s="777"/>
      <c r="AO220" s="777"/>
      <c r="AP220" s="777"/>
      <c r="AQ220" s="777"/>
      <c r="AR220" s="777"/>
      <c r="AS220" s="777"/>
      <c r="AT220" s="777"/>
      <c r="AU220" s="777"/>
      <c r="AV220" s="777"/>
      <c r="AW220" s="777"/>
      <c r="AX220" s="777"/>
      <c r="AY220" s="777"/>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row>
    <row r="221" spans="1:72" x14ac:dyDescent="0.25">
      <c r="A221" s="777" t="s">
        <v>782</v>
      </c>
      <c r="B221" s="777"/>
      <c r="C221" s="777"/>
      <c r="D221" s="777"/>
      <c r="E221" s="777"/>
      <c r="F221" s="777"/>
      <c r="G221" s="777"/>
      <c r="H221" s="777"/>
      <c r="I221" s="777"/>
      <c r="J221" s="777"/>
      <c r="K221" s="777"/>
      <c r="L221" s="777"/>
      <c r="M221" s="777"/>
      <c r="N221" s="777"/>
      <c r="O221" s="777"/>
      <c r="P221" s="777"/>
      <c r="Q221" s="777"/>
      <c r="R221" s="777"/>
      <c r="S221" s="777"/>
      <c r="T221" s="777"/>
      <c r="U221" s="777"/>
      <c r="V221" s="777"/>
      <c r="W221" s="777"/>
      <c r="X221" s="777"/>
      <c r="Y221" s="777"/>
      <c r="Z221" s="777"/>
      <c r="AA221" s="777"/>
      <c r="AB221" s="777"/>
      <c r="AC221" s="777"/>
      <c r="AD221" s="777"/>
      <c r="AE221" s="777"/>
      <c r="AF221" s="777"/>
      <c r="AG221" s="777"/>
      <c r="AH221" s="777"/>
      <c r="AI221" s="777"/>
      <c r="AJ221" s="777"/>
      <c r="AK221" s="777"/>
      <c r="AL221" s="777"/>
      <c r="AM221" s="777"/>
      <c r="AN221" s="777"/>
      <c r="AO221" s="777"/>
      <c r="AP221" s="777"/>
      <c r="AQ221" s="777"/>
      <c r="AR221" s="777"/>
      <c r="AS221" s="777"/>
      <c r="AT221" s="777"/>
      <c r="AU221" s="777"/>
      <c r="AV221" s="777"/>
      <c r="AW221" s="777"/>
      <c r="AX221" s="777"/>
      <c r="AY221" s="777"/>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row>
    <row r="222" spans="1:72" x14ac:dyDescent="0.25">
      <c r="A222" s="777" t="s">
        <v>783</v>
      </c>
      <c r="B222" s="777"/>
      <c r="C222" s="777"/>
      <c r="D222" s="777"/>
      <c r="E222" s="777"/>
      <c r="F222" s="777"/>
      <c r="G222" s="777"/>
      <c r="H222" s="777"/>
      <c r="I222" s="777"/>
      <c r="J222" s="777"/>
      <c r="K222" s="777"/>
      <c r="L222" s="777"/>
      <c r="M222" s="777"/>
      <c r="N222" s="777"/>
      <c r="O222" s="777"/>
      <c r="P222" s="777"/>
      <c r="Q222" s="777"/>
      <c r="R222" s="777"/>
      <c r="S222" s="777"/>
      <c r="T222" s="777"/>
      <c r="U222" s="777"/>
      <c r="V222" s="777"/>
      <c r="W222" s="777"/>
      <c r="X222" s="777"/>
      <c r="Y222" s="777"/>
      <c r="Z222" s="777"/>
      <c r="AA222" s="777"/>
      <c r="AB222" s="777"/>
      <c r="AC222" s="777"/>
      <c r="AD222" s="777"/>
      <c r="AE222" s="777"/>
      <c r="AF222" s="777"/>
      <c r="AG222" s="777"/>
      <c r="AH222" s="777"/>
      <c r="AI222" s="777"/>
      <c r="AJ222" s="777"/>
      <c r="AK222" s="777"/>
      <c r="AL222" s="777"/>
      <c r="AM222" s="777"/>
      <c r="AN222" s="777"/>
      <c r="AO222" s="777"/>
      <c r="AP222" s="777"/>
      <c r="AQ222" s="777"/>
      <c r="AR222" s="777"/>
      <c r="AS222" s="777"/>
      <c r="AT222" s="777"/>
      <c r="AU222" s="777"/>
      <c r="AV222" s="777"/>
      <c r="AW222" s="777"/>
      <c r="AX222" s="777"/>
      <c r="AY222" s="777"/>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row>
    <row r="223" spans="1:72" x14ac:dyDescent="0.25">
      <c r="A223" s="777" t="s">
        <v>784</v>
      </c>
      <c r="B223" s="777"/>
      <c r="C223" s="777"/>
      <c r="D223" s="777"/>
      <c r="E223" s="777"/>
      <c r="F223" s="777"/>
      <c r="G223" s="777"/>
      <c r="H223" s="777"/>
      <c r="I223" s="777"/>
      <c r="J223" s="777"/>
      <c r="K223" s="777"/>
      <c r="L223" s="777"/>
      <c r="M223" s="777"/>
      <c r="N223" s="777"/>
      <c r="O223" s="777"/>
      <c r="P223" s="777"/>
      <c r="Q223" s="777"/>
      <c r="R223" s="777"/>
      <c r="S223" s="777"/>
      <c r="T223" s="777"/>
      <c r="U223" s="777"/>
      <c r="V223" s="777"/>
      <c r="W223" s="777"/>
      <c r="X223" s="777"/>
      <c r="Y223" s="777"/>
      <c r="Z223" s="777"/>
      <c r="AA223" s="777"/>
      <c r="AB223" s="777"/>
      <c r="AC223" s="777"/>
      <c r="AD223" s="777"/>
      <c r="AE223" s="777"/>
      <c r="AF223" s="777"/>
      <c r="AG223" s="777"/>
      <c r="AH223" s="777"/>
      <c r="AI223" s="777"/>
      <c r="AJ223" s="777"/>
      <c r="AK223" s="777"/>
      <c r="AL223" s="777"/>
      <c r="AM223" s="777"/>
      <c r="AN223" s="777"/>
      <c r="AO223" s="777"/>
      <c r="AP223" s="777"/>
      <c r="AQ223" s="777"/>
      <c r="AR223" s="777"/>
      <c r="AS223" s="777"/>
      <c r="AT223" s="777"/>
      <c r="AU223" s="777"/>
      <c r="AV223" s="777"/>
      <c r="AW223" s="777"/>
      <c r="AX223" s="777"/>
      <c r="AY223" s="777"/>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row>
    <row r="224" spans="1:72" x14ac:dyDescent="0.25">
      <c r="A224" s="777" t="s">
        <v>785</v>
      </c>
      <c r="B224" s="777"/>
      <c r="C224" s="777"/>
      <c r="D224" s="777"/>
      <c r="E224" s="777"/>
      <c r="F224" s="777"/>
      <c r="G224" s="777"/>
      <c r="H224" s="777"/>
      <c r="I224" s="777"/>
      <c r="J224" s="777"/>
      <c r="K224" s="777"/>
      <c r="L224" s="777"/>
      <c r="M224" s="777"/>
      <c r="N224" s="777"/>
      <c r="O224" s="777"/>
      <c r="P224" s="777"/>
      <c r="Q224" s="777"/>
      <c r="R224" s="777"/>
      <c r="S224" s="777"/>
      <c r="T224" s="777"/>
      <c r="U224" s="777"/>
      <c r="V224" s="777"/>
      <c r="W224" s="777"/>
      <c r="X224" s="777"/>
      <c r="Y224" s="777"/>
      <c r="Z224" s="777"/>
      <c r="AA224" s="777"/>
      <c r="AB224" s="777"/>
      <c r="AC224" s="777"/>
      <c r="AD224" s="777"/>
      <c r="AE224" s="777"/>
      <c r="AF224" s="777"/>
      <c r="AG224" s="777"/>
      <c r="AH224" s="777"/>
      <c r="AI224" s="777"/>
      <c r="AJ224" s="777"/>
      <c r="AK224" s="777"/>
      <c r="AL224" s="777"/>
      <c r="AM224" s="777"/>
      <c r="AN224" s="777"/>
      <c r="AO224" s="777"/>
      <c r="AP224" s="777"/>
      <c r="AQ224" s="777"/>
      <c r="AR224" s="777"/>
      <c r="AS224" s="777"/>
      <c r="AT224" s="777"/>
      <c r="AU224" s="777"/>
      <c r="AV224" s="777"/>
      <c r="AW224" s="777"/>
      <c r="AX224" s="777"/>
      <c r="AY224" s="777"/>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row>
    <row r="225" spans="1:72" x14ac:dyDescent="0.25">
      <c r="A225" s="777" t="s">
        <v>786</v>
      </c>
      <c r="B225" s="777"/>
      <c r="C225" s="777"/>
      <c r="D225" s="777"/>
      <c r="E225" s="777"/>
      <c r="F225" s="777"/>
      <c r="G225" s="777"/>
      <c r="H225" s="777"/>
      <c r="I225" s="777"/>
      <c r="J225" s="777"/>
      <c r="K225" s="777"/>
      <c r="L225" s="777"/>
      <c r="M225" s="777"/>
      <c r="N225" s="777"/>
      <c r="O225" s="777"/>
      <c r="P225" s="777"/>
      <c r="Q225" s="777"/>
      <c r="R225" s="777"/>
      <c r="S225" s="777"/>
      <c r="T225" s="777"/>
      <c r="U225" s="777"/>
      <c r="V225" s="777"/>
      <c r="W225" s="777"/>
      <c r="X225" s="777"/>
      <c r="Y225" s="777"/>
      <c r="Z225" s="777"/>
      <c r="AA225" s="777"/>
      <c r="AB225" s="777"/>
      <c r="AC225" s="777"/>
      <c r="AD225" s="777"/>
      <c r="AE225" s="777"/>
      <c r="AF225" s="777"/>
      <c r="AG225" s="777"/>
      <c r="AH225" s="777"/>
      <c r="AI225" s="777"/>
      <c r="AJ225" s="777"/>
      <c r="AK225" s="777"/>
      <c r="AL225" s="777"/>
      <c r="AM225" s="777"/>
      <c r="AN225" s="777"/>
      <c r="AO225" s="777"/>
      <c r="AP225" s="777"/>
      <c r="AQ225" s="777"/>
      <c r="AR225" s="777"/>
      <c r="AS225" s="777"/>
      <c r="AT225" s="777"/>
      <c r="AU225" s="777"/>
      <c r="AV225" s="777"/>
      <c r="AW225" s="777"/>
      <c r="AX225" s="777"/>
      <c r="AY225" s="777"/>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row>
    <row r="226" spans="1:72" x14ac:dyDescent="0.25">
      <c r="A226" s="777" t="s">
        <v>787</v>
      </c>
      <c r="B226" s="777"/>
      <c r="C226" s="777"/>
      <c r="D226" s="777"/>
      <c r="E226" s="777"/>
      <c r="F226" s="777"/>
      <c r="G226" s="777"/>
      <c r="H226" s="777"/>
      <c r="I226" s="777"/>
      <c r="J226" s="777"/>
      <c r="K226" s="777"/>
      <c r="L226" s="777"/>
      <c r="M226" s="777"/>
      <c r="N226" s="777"/>
      <c r="O226" s="777"/>
      <c r="P226" s="777"/>
      <c r="Q226" s="777"/>
      <c r="R226" s="777"/>
      <c r="S226" s="777"/>
      <c r="T226" s="777"/>
      <c r="U226" s="777"/>
      <c r="V226" s="777"/>
      <c r="W226" s="777"/>
      <c r="X226" s="777"/>
      <c r="Y226" s="777"/>
      <c r="Z226" s="777"/>
      <c r="AA226" s="777"/>
      <c r="AB226" s="777"/>
      <c r="AC226" s="777"/>
      <c r="AD226" s="777"/>
      <c r="AE226" s="777"/>
      <c r="AF226" s="777"/>
      <c r="AG226" s="777"/>
      <c r="AH226" s="777"/>
      <c r="AI226" s="777"/>
      <c r="AJ226" s="777"/>
      <c r="AK226" s="777"/>
      <c r="AL226" s="777"/>
      <c r="AM226" s="777"/>
      <c r="AN226" s="777"/>
      <c r="AO226" s="777"/>
      <c r="AP226" s="777"/>
      <c r="AQ226" s="777"/>
      <c r="AR226" s="777"/>
      <c r="AS226" s="777"/>
      <c r="AT226" s="777"/>
      <c r="AU226" s="777"/>
      <c r="AV226" s="777"/>
      <c r="AW226" s="777"/>
      <c r="AX226" s="777"/>
      <c r="AY226" s="777"/>
      <c r="AZ226" s="777"/>
      <c r="BA226" s="777"/>
      <c r="BB226" s="777"/>
      <c r="BC226" s="777"/>
      <c r="BD226" s="777"/>
      <c r="BE226" s="777"/>
      <c r="BF226" s="777"/>
      <c r="BG226" s="777"/>
      <c r="BH226" s="777"/>
      <c r="BI226" s="777"/>
      <c r="BJ226" s="777"/>
      <c r="BK226" s="777"/>
      <c r="BL226" s="777"/>
      <c r="BM226" s="777"/>
      <c r="BN226" s="777"/>
      <c r="BO226" s="777"/>
      <c r="BP226" s="777"/>
      <c r="BQ226" s="777"/>
      <c r="BR226" s="777"/>
      <c r="BS226" s="777"/>
      <c r="BT226" s="777"/>
    </row>
    <row r="227" spans="1:72" x14ac:dyDescent="0.25">
      <c r="A227" s="777" t="s">
        <v>788</v>
      </c>
      <c r="B227" s="777"/>
      <c r="C227" s="777"/>
      <c r="D227" s="777"/>
      <c r="E227" s="777"/>
      <c r="F227" s="777"/>
      <c r="G227" s="777"/>
      <c r="H227" s="777"/>
      <c r="I227" s="777"/>
      <c r="J227" s="777"/>
      <c r="K227" s="777"/>
      <c r="L227" s="777"/>
      <c r="M227" s="777"/>
      <c r="N227" s="777"/>
      <c r="O227" s="777"/>
      <c r="P227" s="777"/>
      <c r="Q227" s="777"/>
      <c r="R227" s="777"/>
      <c r="S227" s="777"/>
      <c r="T227" s="777"/>
      <c r="U227" s="777"/>
      <c r="V227" s="777"/>
      <c r="W227" s="777"/>
      <c r="X227" s="777"/>
      <c r="Y227" s="777"/>
      <c r="Z227" s="777"/>
      <c r="AA227" s="777"/>
      <c r="AB227" s="777"/>
      <c r="AC227" s="777"/>
      <c r="AD227" s="777"/>
      <c r="AE227" s="777"/>
      <c r="AF227" s="777"/>
      <c r="AG227" s="777"/>
      <c r="AH227" s="777"/>
      <c r="AI227" s="777"/>
      <c r="AJ227" s="777"/>
      <c r="AK227" s="777"/>
      <c r="AL227" s="777"/>
      <c r="AM227" s="777"/>
      <c r="AN227" s="777"/>
      <c r="AO227" s="777"/>
      <c r="AP227" s="777"/>
      <c r="AQ227" s="777"/>
      <c r="AR227" s="777"/>
      <c r="AS227" s="777"/>
      <c r="AT227" s="777"/>
      <c r="AU227" s="777"/>
      <c r="AV227" s="777"/>
      <c r="AW227" s="777"/>
      <c r="AX227" s="777"/>
      <c r="AY227" s="777"/>
      <c r="AZ227" s="777"/>
      <c r="BA227" s="777"/>
      <c r="BB227" s="777"/>
      <c r="BC227" s="777"/>
      <c r="BD227" s="777"/>
      <c r="BE227" s="777"/>
      <c r="BF227" s="777"/>
      <c r="BG227" s="777"/>
      <c r="BH227" s="777"/>
      <c r="BI227" s="777"/>
      <c r="BJ227" s="777"/>
      <c r="BK227" s="777"/>
      <c r="BL227" s="777"/>
      <c r="BM227" s="777"/>
      <c r="BN227" s="777"/>
      <c r="BO227" s="777"/>
      <c r="BP227" s="777"/>
      <c r="BQ227" s="777"/>
      <c r="BR227" s="777"/>
      <c r="BS227" s="777"/>
      <c r="BT227" s="777"/>
    </row>
    <row r="228" spans="1:72" x14ac:dyDescent="0.25">
      <c r="A228" s="777" t="s">
        <v>789</v>
      </c>
      <c r="B228" s="777"/>
      <c r="C228" s="777"/>
      <c r="D228" s="777"/>
      <c r="E228" s="777"/>
      <c r="F228" s="777"/>
      <c r="G228" s="777"/>
      <c r="H228" s="777"/>
      <c r="I228" s="777"/>
      <c r="J228" s="777"/>
      <c r="K228" s="777"/>
      <c r="L228" s="777"/>
      <c r="M228" s="777"/>
      <c r="N228" s="777"/>
      <c r="O228" s="777"/>
      <c r="P228" s="777"/>
      <c r="Q228" s="777"/>
      <c r="R228" s="777"/>
      <c r="S228" s="777"/>
      <c r="T228" s="777"/>
      <c r="U228" s="777"/>
      <c r="V228" s="777"/>
      <c r="W228" s="777"/>
      <c r="X228" s="777"/>
      <c r="Y228" s="777"/>
      <c r="Z228" s="777"/>
      <c r="AA228" s="777"/>
      <c r="AB228" s="777"/>
      <c r="AC228" s="777"/>
      <c r="AD228" s="777"/>
      <c r="AE228" s="777"/>
      <c r="AF228" s="777"/>
      <c r="AG228" s="777"/>
      <c r="AH228" s="777"/>
      <c r="AI228" s="777"/>
      <c r="AJ228" s="777"/>
      <c r="AK228" s="777"/>
      <c r="AL228" s="777"/>
      <c r="AM228" s="777"/>
      <c r="AN228" s="777"/>
      <c r="AO228" s="777"/>
      <c r="AP228" s="777"/>
      <c r="AQ228" s="777"/>
      <c r="AR228" s="777"/>
      <c r="AS228" s="777"/>
      <c r="AT228" s="777"/>
      <c r="AU228" s="777"/>
      <c r="AV228" s="777"/>
      <c r="AW228" s="777"/>
      <c r="AX228" s="777"/>
      <c r="AY228" s="777"/>
      <c r="AZ228" s="777"/>
      <c r="BA228" s="777"/>
      <c r="BB228" s="777"/>
      <c r="BC228" s="777"/>
      <c r="BD228" s="777"/>
      <c r="BE228" s="777"/>
      <c r="BF228" s="777"/>
      <c r="BG228" s="777"/>
      <c r="BH228" s="777"/>
      <c r="BI228" s="777"/>
      <c r="BJ228" s="777"/>
      <c r="BK228" s="777"/>
      <c r="BL228" s="777"/>
      <c r="BM228" s="777"/>
      <c r="BN228" s="777"/>
      <c r="BO228" s="777"/>
      <c r="BP228" s="777"/>
      <c r="BQ228" s="777"/>
      <c r="BR228" s="777"/>
      <c r="BS228" s="777"/>
      <c r="BT228" s="777"/>
    </row>
    <row r="229" spans="1:72" x14ac:dyDescent="0.25">
      <c r="A229" s="777" t="s">
        <v>790</v>
      </c>
      <c r="B229" s="777"/>
      <c r="C229" s="777"/>
      <c r="D229" s="777"/>
      <c r="E229" s="777"/>
      <c r="F229" s="777"/>
      <c r="G229" s="777"/>
      <c r="H229" s="777"/>
      <c r="I229" s="777"/>
      <c r="J229" s="777"/>
      <c r="K229" s="777"/>
      <c r="L229" s="777"/>
      <c r="M229" s="777"/>
      <c r="N229" s="777"/>
      <c r="O229" s="777"/>
      <c r="P229" s="777"/>
      <c r="Q229" s="777"/>
      <c r="R229" s="777"/>
      <c r="S229" s="777"/>
      <c r="T229" s="777"/>
      <c r="U229" s="777"/>
      <c r="V229" s="777"/>
      <c r="W229" s="777"/>
      <c r="X229" s="777"/>
      <c r="Y229" s="777"/>
      <c r="Z229" s="777"/>
      <c r="AA229" s="777"/>
      <c r="AB229" s="777"/>
      <c r="AC229" s="777"/>
      <c r="AD229" s="777"/>
      <c r="AE229" s="777"/>
      <c r="AF229" s="777"/>
      <c r="AG229" s="777"/>
      <c r="AH229" s="777"/>
      <c r="AI229" s="777"/>
      <c r="AJ229" s="777"/>
      <c r="AK229" s="777"/>
      <c r="AL229" s="777"/>
      <c r="AM229" s="777"/>
      <c r="AN229" s="777"/>
      <c r="AO229" s="777"/>
      <c r="AP229" s="777"/>
      <c r="AQ229" s="777"/>
      <c r="AR229" s="777"/>
      <c r="AS229" s="777"/>
      <c r="AT229" s="777"/>
      <c r="AU229" s="777"/>
      <c r="AV229" s="777"/>
      <c r="AW229" s="777"/>
      <c r="AX229" s="777"/>
      <c r="AY229" s="777"/>
      <c r="AZ229" s="777"/>
      <c r="BA229" s="777"/>
      <c r="BB229" s="777"/>
      <c r="BC229" s="777"/>
      <c r="BD229" s="777"/>
      <c r="BE229" s="777"/>
      <c r="BF229" s="777"/>
      <c r="BG229" s="777"/>
      <c r="BH229" s="777"/>
      <c r="BI229" s="777"/>
      <c r="BJ229" s="777"/>
      <c r="BK229" s="777"/>
      <c r="BL229" s="777"/>
      <c r="BM229" s="777"/>
      <c r="BN229" s="777"/>
      <c r="BO229" s="777"/>
      <c r="BP229" s="777"/>
      <c r="BQ229" s="777"/>
      <c r="BR229" s="777"/>
      <c r="BS229" s="777"/>
      <c r="BT229" s="777"/>
    </row>
    <row r="230" spans="1:72" x14ac:dyDescent="0.25">
      <c r="A230" s="777" t="s">
        <v>791</v>
      </c>
      <c r="B230" s="777"/>
      <c r="C230" s="777"/>
      <c r="D230" s="777"/>
      <c r="E230" s="777"/>
      <c r="F230" s="777"/>
      <c r="G230" s="777"/>
      <c r="H230" s="777"/>
      <c r="I230" s="777"/>
      <c r="J230" s="777"/>
      <c r="K230" s="777"/>
      <c r="L230" s="777"/>
      <c r="M230" s="777"/>
      <c r="N230" s="777"/>
      <c r="O230" s="777"/>
      <c r="P230" s="777"/>
      <c r="Q230" s="777"/>
      <c r="R230" s="777"/>
      <c r="S230" s="777"/>
      <c r="T230" s="777"/>
      <c r="U230" s="777"/>
      <c r="V230" s="777"/>
      <c r="W230" s="777"/>
      <c r="X230" s="777"/>
      <c r="Y230" s="777"/>
      <c r="Z230" s="777"/>
      <c r="AA230" s="777"/>
      <c r="AB230" s="777"/>
      <c r="AC230" s="777"/>
      <c r="AD230" s="777"/>
      <c r="AE230" s="777"/>
      <c r="AF230" s="777"/>
      <c r="AG230" s="777"/>
      <c r="AH230" s="777"/>
      <c r="AI230" s="777"/>
      <c r="AJ230" s="777"/>
      <c r="AK230" s="777"/>
      <c r="AL230" s="777"/>
      <c r="AM230" s="777"/>
      <c r="AN230" s="777"/>
      <c r="AO230" s="777"/>
      <c r="AP230" s="777"/>
      <c r="AQ230" s="777"/>
      <c r="AR230" s="777"/>
      <c r="AS230" s="777"/>
      <c r="AT230" s="777"/>
      <c r="AU230" s="777"/>
      <c r="AV230" s="777"/>
      <c r="AW230" s="777"/>
      <c r="AX230" s="777"/>
      <c r="AY230" s="777"/>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row>
    <row r="231" spans="1:72" x14ac:dyDescent="0.25">
      <c r="A231" s="777" t="s">
        <v>792</v>
      </c>
      <c r="B231" s="777"/>
      <c r="C231" s="777"/>
      <c r="D231" s="777"/>
      <c r="E231" s="777"/>
      <c r="F231" s="777"/>
      <c r="G231" s="777"/>
      <c r="H231" s="777"/>
      <c r="I231" s="777"/>
      <c r="J231" s="777"/>
      <c r="K231" s="777"/>
      <c r="L231" s="777"/>
      <c r="M231" s="777"/>
      <c r="N231" s="777"/>
      <c r="O231" s="777"/>
      <c r="P231" s="777"/>
      <c r="Q231" s="777"/>
      <c r="R231" s="777"/>
      <c r="S231" s="777"/>
      <c r="T231" s="777"/>
      <c r="U231" s="777"/>
      <c r="V231" s="777"/>
      <c r="W231" s="777"/>
      <c r="X231" s="777"/>
      <c r="Y231" s="777"/>
      <c r="Z231" s="777"/>
      <c r="AA231" s="777"/>
      <c r="AB231" s="777"/>
      <c r="AC231" s="777"/>
      <c r="AD231" s="777"/>
      <c r="AE231" s="777"/>
      <c r="AF231" s="777"/>
      <c r="AG231" s="777"/>
      <c r="AH231" s="777"/>
      <c r="AI231" s="777"/>
      <c r="AJ231" s="777"/>
      <c r="AK231" s="777"/>
      <c r="AL231" s="777"/>
      <c r="AM231" s="777"/>
      <c r="AN231" s="777"/>
      <c r="AO231" s="777"/>
      <c r="AP231" s="777"/>
      <c r="AQ231" s="777"/>
      <c r="AR231" s="777"/>
      <c r="AS231" s="777"/>
      <c r="AT231" s="777"/>
      <c r="AU231" s="777"/>
      <c r="AV231" s="777"/>
      <c r="AW231" s="777"/>
      <c r="AX231" s="777"/>
      <c r="AY231" s="777"/>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row>
    <row r="232" spans="1:72" x14ac:dyDescent="0.25">
      <c r="A232" s="777" t="s">
        <v>793</v>
      </c>
      <c r="B232" s="777"/>
      <c r="C232" s="777"/>
      <c r="D232" s="777"/>
      <c r="E232" s="777"/>
      <c r="F232" s="777"/>
      <c r="G232" s="777"/>
      <c r="H232" s="777"/>
      <c r="I232" s="777"/>
      <c r="J232" s="777"/>
      <c r="K232" s="777"/>
      <c r="L232" s="777"/>
      <c r="M232" s="777"/>
      <c r="N232" s="777"/>
      <c r="O232" s="777"/>
      <c r="P232" s="777"/>
      <c r="Q232" s="777"/>
      <c r="R232" s="777"/>
      <c r="S232" s="777"/>
      <c r="T232" s="777"/>
      <c r="U232" s="777"/>
      <c r="V232" s="777"/>
      <c r="W232" s="777"/>
      <c r="X232" s="777"/>
      <c r="Y232" s="777"/>
      <c r="Z232" s="777"/>
      <c r="AA232" s="777"/>
      <c r="AB232" s="777"/>
      <c r="AC232" s="777"/>
      <c r="AD232" s="777"/>
      <c r="AE232" s="777"/>
      <c r="AF232" s="777"/>
      <c r="AG232" s="777"/>
      <c r="AH232" s="777"/>
      <c r="AI232" s="777"/>
      <c r="AJ232" s="777"/>
      <c r="AK232" s="777"/>
      <c r="AL232" s="777"/>
      <c r="AM232" s="777"/>
      <c r="AN232" s="777"/>
      <c r="AO232" s="777"/>
      <c r="AP232" s="777"/>
      <c r="AQ232" s="777"/>
      <c r="AR232" s="777"/>
      <c r="AS232" s="777"/>
      <c r="AT232" s="777"/>
      <c r="AU232" s="777"/>
      <c r="AV232" s="777"/>
      <c r="AW232" s="777"/>
      <c r="AX232" s="777"/>
      <c r="AY232" s="777"/>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row>
    <row r="233" spans="1:72" x14ac:dyDescent="0.25">
      <c r="A233" s="754" t="s">
        <v>794</v>
      </c>
      <c r="AA233" s="300"/>
      <c r="AB233" s="300"/>
      <c r="AC233" s="300"/>
      <c r="AD233" s="300"/>
    </row>
    <row r="234" spans="1:72" x14ac:dyDescent="0.25">
      <c r="A234" s="754" t="s">
        <v>795</v>
      </c>
      <c r="AA234" s="300"/>
      <c r="AB234" s="300"/>
      <c r="AC234" s="300"/>
      <c r="AD234" s="300"/>
    </row>
    <row r="235" spans="1:72" x14ac:dyDescent="0.25">
      <c r="A235" s="754" t="s">
        <v>707</v>
      </c>
      <c r="B235" t="s">
        <v>708</v>
      </c>
      <c r="C235" t="s">
        <v>709</v>
      </c>
      <c r="E235" t="s">
        <v>710</v>
      </c>
      <c r="AA235" s="300"/>
      <c r="AB235" s="300"/>
      <c r="AC235" s="300"/>
      <c r="AD235" s="300"/>
    </row>
    <row r="236" spans="1:72" x14ac:dyDescent="0.25">
      <c r="AA236" s="300"/>
      <c r="AB236" s="300"/>
      <c r="AC236" s="300"/>
      <c r="AD236" s="300"/>
    </row>
    <row r="237" spans="1:72" x14ac:dyDescent="0.25">
      <c r="A237" s="754" t="s">
        <v>437</v>
      </c>
      <c r="AA237" s="300"/>
      <c r="AB237" s="300"/>
      <c r="AC237" s="300"/>
      <c r="AD237" s="300"/>
    </row>
    <row r="238" spans="1:72" x14ac:dyDescent="0.25">
      <c r="A238" s="754" t="s">
        <v>711</v>
      </c>
      <c r="AA238" s="300"/>
      <c r="AB238" s="300"/>
      <c r="AC238" s="300"/>
      <c r="AD238" s="300"/>
    </row>
    <row r="239" spans="1:72" x14ac:dyDescent="0.25">
      <c r="AA239" s="300"/>
      <c r="AB239" s="300"/>
      <c r="AC239" s="300"/>
      <c r="AD239" s="300"/>
    </row>
    <row r="240" spans="1:72" x14ac:dyDescent="0.25">
      <c r="AA240" s="300"/>
      <c r="AB240" s="300"/>
      <c r="AC240" s="300"/>
      <c r="AD240" s="300"/>
    </row>
    <row r="241" spans="1:70" x14ac:dyDescent="0.25">
      <c r="AA241" s="300"/>
      <c r="AB241" s="300"/>
      <c r="AC241" s="300"/>
      <c r="AD241" s="300"/>
    </row>
    <row r="242" spans="1:70" x14ac:dyDescent="0.25">
      <c r="B242" s="755" t="s">
        <v>443</v>
      </c>
      <c r="C242" s="755" t="s">
        <v>444</v>
      </c>
      <c r="D242" s="755" t="s">
        <v>445</v>
      </c>
      <c r="E242" s="755" t="s">
        <v>446</v>
      </c>
      <c r="F242" s="755" t="s">
        <v>447</v>
      </c>
      <c r="G242" s="755" t="s">
        <v>448</v>
      </c>
      <c r="H242" s="755" t="s">
        <v>449</v>
      </c>
      <c r="I242" s="755" t="s">
        <v>450</v>
      </c>
      <c r="J242" s="755" t="s">
        <v>451</v>
      </c>
      <c r="K242" s="755" t="s">
        <v>452</v>
      </c>
      <c r="L242" s="755" t="s">
        <v>453</v>
      </c>
      <c r="M242" s="755" t="s">
        <v>454</v>
      </c>
      <c r="N242" s="755" t="s">
        <v>455</v>
      </c>
      <c r="O242" s="755" t="s">
        <v>456</v>
      </c>
      <c r="P242" s="755" t="s">
        <v>457</v>
      </c>
      <c r="Q242" s="755" t="s">
        <v>458</v>
      </c>
      <c r="R242" s="755" t="s">
        <v>459</v>
      </c>
      <c r="S242" s="755" t="s">
        <v>460</v>
      </c>
      <c r="T242" s="755" t="s">
        <v>461</v>
      </c>
      <c r="U242" s="755" t="s">
        <v>462</v>
      </c>
      <c r="V242" s="755" t="s">
        <v>593</v>
      </c>
      <c r="W242" s="755" t="s">
        <v>594</v>
      </c>
      <c r="X242" s="755" t="s">
        <v>595</v>
      </c>
      <c r="Y242" s="755" t="s">
        <v>596</v>
      </c>
      <c r="Z242" s="755" t="s">
        <v>597</v>
      </c>
      <c r="AA242" s="300" t="s">
        <v>594</v>
      </c>
      <c r="AB242" s="300" t="s">
        <v>595</v>
      </c>
      <c r="AC242" s="300" t="s">
        <v>596</v>
      </c>
      <c r="AD242" s="300" t="s">
        <v>597</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0"/>
      <c r="AB243" s="300"/>
      <c r="AC243" s="300"/>
      <c r="AD243" s="300"/>
    </row>
    <row r="244" spans="1:70" x14ac:dyDescent="0.25">
      <c r="AA244" s="300"/>
      <c r="AB244" s="300"/>
      <c r="AC244" s="300"/>
      <c r="AD244" s="300"/>
    </row>
    <row r="245" spans="1:70" x14ac:dyDescent="0.25">
      <c r="A245" s="754" t="s">
        <v>463</v>
      </c>
      <c r="AA245" s="300"/>
      <c r="AB245" s="300"/>
      <c r="AC245" s="300"/>
      <c r="AD245" s="300"/>
    </row>
    <row r="246" spans="1:70" x14ac:dyDescent="0.25">
      <c r="A246" s="754" t="s">
        <v>598</v>
      </c>
      <c r="B246" s="756">
        <v>23.882804870605501</v>
      </c>
      <c r="C246" s="756">
        <v>24.973464965820298</v>
      </c>
      <c r="D246" s="756">
        <v>28.470840454101602</v>
      </c>
      <c r="E246" s="756">
        <v>21.505495071411101</v>
      </c>
      <c r="F246" s="756">
        <v>20.697200775146499</v>
      </c>
      <c r="G246" s="756">
        <v>23.0020751953125</v>
      </c>
      <c r="H246" s="756">
        <v>24.980747222900401</v>
      </c>
      <c r="I246" s="756">
        <v>26.7403888702393</v>
      </c>
      <c r="J246" s="756">
        <v>28.254840850830099</v>
      </c>
      <c r="K246" s="756">
        <v>29.8807067871094</v>
      </c>
      <c r="L246" s="756">
        <v>30.930690765380898</v>
      </c>
      <c r="M246" s="756">
        <v>31.804765701293899</v>
      </c>
      <c r="N246" s="756">
        <v>32.682899475097699</v>
      </c>
      <c r="O246" s="756">
        <v>33.084945678710902</v>
      </c>
      <c r="P246" s="756">
        <v>33.339298248291001</v>
      </c>
      <c r="Q246" s="756">
        <v>33.569530487060497</v>
      </c>
      <c r="R246" s="756">
        <v>33.692008972167997</v>
      </c>
      <c r="S246" s="756">
        <v>34.029460906982401</v>
      </c>
      <c r="T246" s="756">
        <v>34.165733337402301</v>
      </c>
      <c r="U246" s="756">
        <v>33.722698211669901</v>
      </c>
      <c r="V246" s="756">
        <v>33.999015808105497</v>
      </c>
      <c r="W246" s="756">
        <v>34.276668548583999</v>
      </c>
      <c r="X246" s="756">
        <v>34.616855621337898</v>
      </c>
      <c r="Y246" s="756">
        <v>34.804977416992202</v>
      </c>
      <c r="Z246" s="756">
        <v>35.163482666015597</v>
      </c>
      <c r="AA246" s="300">
        <v>23.653226852416999</v>
      </c>
      <c r="AB246" s="300">
        <v>23.781959533691399</v>
      </c>
      <c r="AC246" s="300">
        <v>23.869001388549801</v>
      </c>
      <c r="AD246" s="300">
        <v>23.909082412719702</v>
      </c>
    </row>
    <row r="247" spans="1:70" x14ac:dyDescent="0.25">
      <c r="A247" s="754" t="s">
        <v>599</v>
      </c>
      <c r="B247" s="756">
        <v>18.4642543792725</v>
      </c>
      <c r="C247" s="756">
        <v>19.664405822753899</v>
      </c>
      <c r="D247" s="756">
        <v>23.940315246581999</v>
      </c>
      <c r="E247" s="756">
        <v>15.6857194900513</v>
      </c>
      <c r="F247" s="756">
        <v>13.3512983322144</v>
      </c>
      <c r="G247" s="756">
        <v>15.708171844482401</v>
      </c>
      <c r="H247" s="756">
        <v>17.491518020629901</v>
      </c>
      <c r="I247" s="756">
        <v>18.8044624328613</v>
      </c>
      <c r="J247" s="756">
        <v>20.071212768554702</v>
      </c>
      <c r="K247" s="756">
        <v>21.571735382080099</v>
      </c>
      <c r="L247" s="756">
        <v>22.444984436035199</v>
      </c>
      <c r="M247" s="756">
        <v>23.2645053863525</v>
      </c>
      <c r="N247" s="756">
        <v>23.975505828857401</v>
      </c>
      <c r="O247" s="756">
        <v>24.350082397460898</v>
      </c>
      <c r="P247" s="756">
        <v>24.6401481628418</v>
      </c>
      <c r="Q247" s="756">
        <v>24.7862453460693</v>
      </c>
      <c r="R247" s="756">
        <v>24.899822235107401</v>
      </c>
      <c r="S247" s="756">
        <v>25.1952934265137</v>
      </c>
      <c r="T247" s="756">
        <v>25.492937088012699</v>
      </c>
      <c r="U247" s="756">
        <v>25.134300231933601</v>
      </c>
      <c r="V247" s="756">
        <v>25.433099746704102</v>
      </c>
      <c r="W247" s="756">
        <v>25.7546691894531</v>
      </c>
      <c r="X247" s="756">
        <v>26.098386764526399</v>
      </c>
      <c r="Y247" s="756">
        <v>26.3820476531982</v>
      </c>
      <c r="Z247" s="756">
        <v>26.7700805664063</v>
      </c>
      <c r="AA247" s="300">
        <v>13.801754951477101</v>
      </c>
      <c r="AB247" s="300">
        <v>13.897899627685501</v>
      </c>
      <c r="AC247" s="300">
        <v>14.058331489563001</v>
      </c>
      <c r="AD247" s="300">
        <v>14.125551223754901</v>
      </c>
    </row>
    <row r="248" spans="1:70" x14ac:dyDescent="0.25">
      <c r="A248" s="754" t="s">
        <v>500</v>
      </c>
      <c r="B248" s="756">
        <v>13.7000589370728</v>
      </c>
      <c r="C248" s="756">
        <v>12.691158294677701</v>
      </c>
      <c r="D248" s="756">
        <v>12.9778490066528</v>
      </c>
      <c r="E248" s="756">
        <v>10.717614173889199</v>
      </c>
      <c r="F248" s="756">
        <v>11.192774772644</v>
      </c>
      <c r="G248" s="756">
        <v>11.487280845642101</v>
      </c>
      <c r="H248" s="756">
        <v>11.3991556167603</v>
      </c>
      <c r="I248" s="756">
        <v>11.307798385620099</v>
      </c>
      <c r="J248" s="756">
        <v>11.2896461486816</v>
      </c>
      <c r="K248" s="756">
        <v>11.345415115356399</v>
      </c>
      <c r="L248" s="756">
        <v>11.538298606872599</v>
      </c>
      <c r="M248" s="756">
        <v>11.7583208084106</v>
      </c>
      <c r="N248" s="756">
        <v>11.975100517272899</v>
      </c>
      <c r="O248" s="756">
        <v>12.23952293396</v>
      </c>
      <c r="P248" s="756">
        <v>12.557071685791</v>
      </c>
      <c r="Q248" s="756">
        <v>12.7957820892334</v>
      </c>
      <c r="R248" s="756">
        <v>12.871651649475099</v>
      </c>
      <c r="S248" s="756">
        <v>12.660281181335399</v>
      </c>
      <c r="T248" s="756">
        <v>12.6240320205688</v>
      </c>
      <c r="U248" s="756">
        <v>12.5992183685303</v>
      </c>
      <c r="V248" s="756">
        <v>12.7868556976318</v>
      </c>
      <c r="W248" s="756">
        <v>13.07555103302</v>
      </c>
      <c r="X248" s="756">
        <v>13.407883644104</v>
      </c>
      <c r="Y248" s="756">
        <v>13.6725673675537</v>
      </c>
      <c r="Z248" s="756">
        <v>13.962038993835399</v>
      </c>
      <c r="AA248" s="300">
        <v>11.116808891296399</v>
      </c>
      <c r="AB248" s="300">
        <v>11.2574377059937</v>
      </c>
      <c r="AC248" s="300">
        <v>11.3709173202515</v>
      </c>
      <c r="AD248" s="300">
        <v>11.426144599914601</v>
      </c>
    </row>
    <row r="249" spans="1:70" x14ac:dyDescent="0.25">
      <c r="A249" s="754" t="s">
        <v>469</v>
      </c>
      <c r="B249" s="756">
        <v>31.206779479980501</v>
      </c>
      <c r="C249" s="756">
        <v>31.181957244873001</v>
      </c>
      <c r="D249" s="756">
        <v>31.772819519043001</v>
      </c>
      <c r="E249" s="756">
        <v>30.736837387085</v>
      </c>
      <c r="F249" s="756">
        <v>28.616357803344702</v>
      </c>
      <c r="G249" s="756">
        <v>29.873619079589801</v>
      </c>
      <c r="H249" s="756">
        <v>30.101655960083001</v>
      </c>
      <c r="I249" s="756">
        <v>30.425390243530298</v>
      </c>
      <c r="J249" s="756">
        <v>30.7938537597656</v>
      </c>
      <c r="K249" s="756">
        <v>30.883028030395501</v>
      </c>
      <c r="L249" s="756">
        <v>31.149145126342798</v>
      </c>
      <c r="M249" s="756">
        <v>31.4898681640625</v>
      </c>
      <c r="N249" s="756">
        <v>31.815629959106399</v>
      </c>
      <c r="O249" s="756">
        <v>32.020698547363303</v>
      </c>
      <c r="P249" s="756">
        <v>32.4303588867188</v>
      </c>
      <c r="Q249" s="756">
        <v>32.7907905578613</v>
      </c>
      <c r="R249" s="756">
        <v>32.994007110595703</v>
      </c>
      <c r="S249" s="756">
        <v>32.923465728759801</v>
      </c>
      <c r="T249" s="756">
        <v>32.920154571533203</v>
      </c>
      <c r="U249" s="756">
        <v>32.902271270752003</v>
      </c>
      <c r="V249" s="756">
        <v>32.958240509033203</v>
      </c>
      <c r="W249" s="756">
        <v>33.321102142333999</v>
      </c>
      <c r="X249" s="756">
        <v>33.734363555908203</v>
      </c>
      <c r="Y249" s="756">
        <v>34.149539947509801</v>
      </c>
      <c r="Z249" s="756">
        <v>34.490489959716797</v>
      </c>
      <c r="AA249" s="300">
        <v>26.5695495605469</v>
      </c>
      <c r="AB249" s="300">
        <v>26.6057014465332</v>
      </c>
      <c r="AC249" s="300">
        <v>26.7373046875</v>
      </c>
      <c r="AD249" s="300">
        <v>26.757972717285199</v>
      </c>
    </row>
    <row r="250" spans="1:70" x14ac:dyDescent="0.25">
      <c r="AA250" s="300"/>
      <c r="AB250" s="300"/>
      <c r="AC250" s="300"/>
      <c r="AD250" s="300"/>
    </row>
    <row r="251" spans="1:70" x14ac:dyDescent="0.25">
      <c r="A251" s="754" t="s">
        <v>470</v>
      </c>
      <c r="AA251" s="300">
        <v>12.0537929534912</v>
      </c>
      <c r="AB251" s="300">
        <v>12.2529897689819</v>
      </c>
      <c r="AC251" s="300">
        <v>12.3258762359619</v>
      </c>
      <c r="AD251" s="300">
        <v>12.452996253967299</v>
      </c>
    </row>
    <row r="252" spans="1:70" ht="13.8" thickBot="1" x14ac:dyDescent="0.3">
      <c r="A252" s="754" t="s">
        <v>598</v>
      </c>
      <c r="B252" s="756">
        <v>21.1974983215332</v>
      </c>
      <c r="C252" s="756">
        <v>23.041419982910199</v>
      </c>
      <c r="D252" s="756">
        <v>23.540430068969702</v>
      </c>
      <c r="E252" s="756">
        <v>20.975297927856399</v>
      </c>
      <c r="F252" s="756">
        <v>17.540355682373001</v>
      </c>
      <c r="G252" s="756">
        <v>19.827720642089801</v>
      </c>
      <c r="H252" s="756">
        <v>21.7962131500244</v>
      </c>
      <c r="I252" s="756">
        <v>23.5440998077393</v>
      </c>
      <c r="J252" s="756">
        <v>25.047388076782202</v>
      </c>
      <c r="K252" s="756">
        <v>26.6623840332031</v>
      </c>
      <c r="L252" s="756">
        <v>27.701774597168001</v>
      </c>
      <c r="M252" s="756">
        <v>28.565574645996101</v>
      </c>
      <c r="N252" s="756">
        <v>29.4346523284912</v>
      </c>
      <c r="O252" s="756">
        <v>29.8274021148682</v>
      </c>
      <c r="P252" s="756">
        <v>30.0731811523438</v>
      </c>
      <c r="Q252" s="756">
        <v>30.2960014343262</v>
      </c>
      <c r="R252" s="756">
        <v>30.4115695953369</v>
      </c>
      <c r="S252" s="756">
        <v>30.7421360015869</v>
      </c>
      <c r="T252" s="756">
        <v>30.871879577636701</v>
      </c>
      <c r="U252" s="756">
        <v>30.422807693481399</v>
      </c>
      <c r="V252" s="756">
        <v>30.6932373046875</v>
      </c>
      <c r="W252" s="756">
        <v>30.965314865112301</v>
      </c>
      <c r="X252" s="756">
        <v>31.299940109252901</v>
      </c>
      <c r="Y252" s="756">
        <v>31.482862472534201</v>
      </c>
      <c r="Z252" s="756">
        <v>31.836189270019499</v>
      </c>
      <c r="AA252" s="300">
        <v>7.3951959609985396</v>
      </c>
      <c r="AB252" s="300">
        <v>7.4624595642089799</v>
      </c>
      <c r="AC252" s="300">
        <v>7.2386937141418501</v>
      </c>
      <c r="AD252" s="300">
        <v>7.3113985061645499</v>
      </c>
    </row>
    <row r="253" spans="1:70" ht="13.8" thickBot="1" x14ac:dyDescent="0.3">
      <c r="A253" s="754" t="s">
        <v>599</v>
      </c>
      <c r="B253" s="756">
        <v>15.019946098327599</v>
      </c>
      <c r="C253" s="756">
        <v>16.054100036621101</v>
      </c>
      <c r="D253" s="756">
        <v>20.9568576812744</v>
      </c>
      <c r="E253" s="756">
        <v>13.740292549133301</v>
      </c>
      <c r="F253" s="756">
        <v>10.759732246398899</v>
      </c>
      <c r="G253" s="756">
        <v>13.277551651001</v>
      </c>
      <c r="H253" s="756">
        <v>15.102119445800801</v>
      </c>
      <c r="I253" s="756">
        <v>16.819028854370099</v>
      </c>
      <c r="J253" s="756">
        <v>18.163129806518601</v>
      </c>
      <c r="K253" s="756">
        <v>19.404659271240199</v>
      </c>
      <c r="L253" s="756">
        <v>20.2805690765381</v>
      </c>
      <c r="M253" s="756">
        <v>21.141357421875</v>
      </c>
      <c r="N253" s="756">
        <v>21.870569229126001</v>
      </c>
      <c r="O253" s="756">
        <v>22.288406372070298</v>
      </c>
      <c r="P253" s="756">
        <v>22.606428146362301</v>
      </c>
      <c r="Q253" s="756">
        <v>22.643785476684599</v>
      </c>
      <c r="R253" s="756">
        <v>22.862098693847699</v>
      </c>
      <c r="S253" s="756">
        <v>23.111530303955099</v>
      </c>
      <c r="T253" s="756">
        <v>23.2818489074707</v>
      </c>
      <c r="U253" s="756">
        <v>23.1139316558838</v>
      </c>
      <c r="V253" s="756">
        <v>23.4434604644775</v>
      </c>
      <c r="W253" s="756">
        <v>23.529294967651399</v>
      </c>
      <c r="X253" s="756">
        <v>23.9437866210938</v>
      </c>
      <c r="Y253" s="756">
        <v>24.471529006958001</v>
      </c>
      <c r="Z253" s="756">
        <v>24.6476936340332</v>
      </c>
      <c r="AA253" s="300">
        <v>9.0512752532959002</v>
      </c>
      <c r="AB253" s="300">
        <v>9.1702537536621094</v>
      </c>
      <c r="AC253" s="300">
        <v>9.2454566955566406</v>
      </c>
      <c r="AD253" s="300">
        <v>9.3029346466064506</v>
      </c>
      <c r="AE253" s="277">
        <f>AD253+($AI$253-$AD$253)/5</f>
        <v>9.3577216364198588</v>
      </c>
      <c r="AF253" s="277">
        <f>AE253+($AI$253-$AD$253)/5</f>
        <v>9.4125086262332669</v>
      </c>
      <c r="AG253" s="277">
        <f>AF253+($AI$253-$AD$253)/5</f>
        <v>9.467295616046675</v>
      </c>
      <c r="AH253" s="277">
        <f>AG253+($AI$253-$AD$253)/5</f>
        <v>9.5220826058600831</v>
      </c>
      <c r="AI253" s="278">
        <f>T423*$E$742</f>
        <v>9.5768695956734877</v>
      </c>
      <c r="AJ253" s="277">
        <f>AI253+($AX$253-$AI$253)/15</f>
        <v>9.6852727225982509</v>
      </c>
      <c r="AK253" s="277">
        <f t="shared" ref="AK253:AW253" si="3">AJ253+($AX$253-$AI$253)/15</f>
        <v>9.7936758495230141</v>
      </c>
      <c r="AL253" s="277">
        <f t="shared" si="3"/>
        <v>9.9020789764477772</v>
      </c>
      <c r="AM253" s="277">
        <f t="shared" si="3"/>
        <v>10.01048210337254</v>
      </c>
      <c r="AN253" s="277">
        <f t="shared" si="3"/>
        <v>10.118885230297304</v>
      </c>
      <c r="AO253" s="277">
        <f t="shared" si="3"/>
        <v>10.227288357222067</v>
      </c>
      <c r="AP253" s="277">
        <f t="shared" si="3"/>
        <v>10.33569148414683</v>
      </c>
      <c r="AQ253" s="277">
        <f t="shared" si="3"/>
        <v>10.444094611071593</v>
      </c>
      <c r="AR253" s="277">
        <f t="shared" si="3"/>
        <v>10.552497737996356</v>
      </c>
      <c r="AS253" s="277">
        <f t="shared" si="3"/>
        <v>10.660900864921119</v>
      </c>
      <c r="AT253" s="277">
        <f t="shared" si="3"/>
        <v>10.769303991845883</v>
      </c>
      <c r="AU253" s="277">
        <f t="shared" si="3"/>
        <v>10.877707118770646</v>
      </c>
      <c r="AV253" s="277">
        <f t="shared" si="3"/>
        <v>10.986110245695409</v>
      </c>
      <c r="AW253" s="277">
        <f t="shared" si="3"/>
        <v>11.094513372620172</v>
      </c>
      <c r="AX253" s="278">
        <f>AI253*$B$742</f>
        <v>11.202916499544939</v>
      </c>
      <c r="AY253" s="277">
        <f>AX253+($BM$253-$AX$253)/15</f>
        <v>11.313845014700993</v>
      </c>
      <c r="AZ253" s="277">
        <f t="shared" ref="AZ253:BL253" si="4">AY253+($BM$253-$AX$253)/15</f>
        <v>11.424773529857047</v>
      </c>
      <c r="BA253" s="277">
        <f t="shared" si="4"/>
        <v>11.535702045013101</v>
      </c>
      <c r="BB253" s="277">
        <f t="shared" si="4"/>
        <v>11.646630560169156</v>
      </c>
      <c r="BC253" s="277">
        <f t="shared" si="4"/>
        <v>11.75755907532521</v>
      </c>
      <c r="BD253" s="277">
        <f t="shared" si="4"/>
        <v>11.868487590481264</v>
      </c>
      <c r="BE253" s="277">
        <f t="shared" si="4"/>
        <v>11.979416105637318</v>
      </c>
      <c r="BF253" s="277">
        <f t="shared" si="4"/>
        <v>12.090344620793372</v>
      </c>
      <c r="BG253" s="277">
        <f t="shared" si="4"/>
        <v>12.201273135949426</v>
      </c>
      <c r="BH253" s="277">
        <f t="shared" si="4"/>
        <v>12.312201651105481</v>
      </c>
      <c r="BI253" s="277">
        <f t="shared" si="4"/>
        <v>12.423130166261535</v>
      </c>
      <c r="BJ253" s="277">
        <f t="shared" si="4"/>
        <v>12.534058681417589</v>
      </c>
      <c r="BK253" s="277">
        <f t="shared" si="4"/>
        <v>12.644987196573643</v>
      </c>
      <c r="BL253" s="277">
        <f t="shared" si="4"/>
        <v>12.755915711729697</v>
      </c>
      <c r="BM253" s="278">
        <f>AX253*$C$742</f>
        <v>12.866844226885757</v>
      </c>
      <c r="BN253" s="277">
        <f>BM253+($BR$253-$BM$253)/5</f>
        <v>12.994248543867917</v>
      </c>
      <c r="BO253" s="277">
        <f>BN253+($BR$253-$BM$253)/5</f>
        <v>13.121652860850077</v>
      </c>
      <c r="BP253" s="277">
        <f>BO253+($BR$253-$BM$253)/5</f>
        <v>13.249057177832237</v>
      </c>
      <c r="BQ253" s="277">
        <f>BP253+($BR$253-$BM$253)/5</f>
        <v>13.376461494814397</v>
      </c>
      <c r="BR253" s="278">
        <f>BM253*$D$742</f>
        <v>13.503865811796555</v>
      </c>
    </row>
    <row r="254" spans="1:70" ht="13.8" thickBot="1" x14ac:dyDescent="0.3">
      <c r="A254" s="754" t="s">
        <v>712</v>
      </c>
      <c r="B254" s="756">
        <v>8.8815975189209002</v>
      </c>
      <c r="C254" s="756">
        <v>10.3074436187744</v>
      </c>
      <c r="D254" s="756">
        <v>13.411918640136699</v>
      </c>
      <c r="E254" s="756">
        <v>6.6991925239562997</v>
      </c>
      <c r="F254" s="756">
        <v>5.8016228675842303</v>
      </c>
      <c r="G254" s="756">
        <v>8.5975322723388707</v>
      </c>
      <c r="H254" s="756">
        <v>10.1285858154297</v>
      </c>
      <c r="I254" s="756">
        <v>11.654000282287599</v>
      </c>
      <c r="J254" s="756">
        <v>12.9474182128906</v>
      </c>
      <c r="K254" s="756">
        <v>14.400235176086399</v>
      </c>
      <c r="L254" s="756">
        <v>15.2041673660278</v>
      </c>
      <c r="M254" s="756">
        <v>15.658245086669901</v>
      </c>
      <c r="N254" s="756">
        <v>16.352220535278299</v>
      </c>
      <c r="O254" s="756">
        <v>16.605510711669901</v>
      </c>
      <c r="P254" s="756">
        <v>16.856744766235401</v>
      </c>
      <c r="Q254" s="756">
        <v>17.043632507324201</v>
      </c>
      <c r="R254" s="756">
        <v>17.1953125</v>
      </c>
      <c r="S254" s="756">
        <v>17.403110504150401</v>
      </c>
      <c r="T254" s="756">
        <v>17.4520969390869</v>
      </c>
      <c r="U254" s="756">
        <v>17.016120910644499</v>
      </c>
      <c r="V254" s="756">
        <v>17.163618087768601</v>
      </c>
      <c r="W254" s="756">
        <v>17.311967849731399</v>
      </c>
      <c r="X254" s="756">
        <v>17.516565322876001</v>
      </c>
      <c r="Y254" s="756">
        <v>17.704761505126999</v>
      </c>
      <c r="Z254" s="756">
        <v>17.873653411865199</v>
      </c>
      <c r="AA254" s="300">
        <v>24.1571254730225</v>
      </c>
      <c r="AB254" s="300">
        <v>24.207300186157202</v>
      </c>
      <c r="AC254" s="300">
        <v>24.2876873016357</v>
      </c>
      <c r="AD254" s="300">
        <v>24.267208099365199</v>
      </c>
      <c r="AE254" s="279">
        <f>AD254+($AI$254-$AD$254)/5</f>
        <v>24.075703794494256</v>
      </c>
      <c r="AF254" s="279">
        <f>AE254+($AI$254-$AD$254)/5</f>
        <v>23.884199489623313</v>
      </c>
      <c r="AG254" s="279">
        <f>AF254+($AI$254-$AD$254)/5</f>
        <v>23.69269518475237</v>
      </c>
      <c r="AH254" s="279">
        <f>AG254+($AI$254-$AD$254)/5</f>
        <v>23.501190879881428</v>
      </c>
      <c r="AI254" s="280">
        <f>T424*$E$745</f>
        <v>23.309686575010492</v>
      </c>
      <c r="AJ254" s="279">
        <f>AI254+($AX$254-$AI$254)/15</f>
        <v>23.300523054015734</v>
      </c>
      <c r="AK254" s="279">
        <f t="shared" ref="AK254:AW254" si="5">AJ254+($AX$254-$AI$254)/15</f>
        <v>23.291359533020977</v>
      </c>
      <c r="AL254" s="279">
        <f t="shared" si="5"/>
        <v>23.282196012026219</v>
      </c>
      <c r="AM254" s="279">
        <f t="shared" si="5"/>
        <v>23.273032491031461</v>
      </c>
      <c r="AN254" s="279">
        <f t="shared" si="5"/>
        <v>23.263868970036704</v>
      </c>
      <c r="AO254" s="279">
        <f t="shared" si="5"/>
        <v>23.254705449041946</v>
      </c>
      <c r="AP254" s="279">
        <f t="shared" si="5"/>
        <v>23.245541928047189</v>
      </c>
      <c r="AQ254" s="279">
        <f t="shared" si="5"/>
        <v>23.236378407052431</v>
      </c>
      <c r="AR254" s="279">
        <f t="shared" si="5"/>
        <v>23.227214886057673</v>
      </c>
      <c r="AS254" s="279">
        <f t="shared" si="5"/>
        <v>23.218051365062916</v>
      </c>
      <c r="AT254" s="279">
        <f t="shared" si="5"/>
        <v>23.208887844068158</v>
      </c>
      <c r="AU254" s="279">
        <f t="shared" si="5"/>
        <v>23.199724323073401</v>
      </c>
      <c r="AV254" s="279">
        <f t="shared" si="5"/>
        <v>23.190560802078643</v>
      </c>
      <c r="AW254" s="279">
        <f t="shared" si="5"/>
        <v>23.181397281083886</v>
      </c>
      <c r="AX254" s="280">
        <f>AI254*$B$745</f>
        <v>23.172233760089139</v>
      </c>
      <c r="AY254" s="279">
        <f>AX254+($BM$254-$AX$254)/15</f>
        <v>23.186953863011141</v>
      </c>
      <c r="AZ254" s="279">
        <f t="shared" ref="AZ254:BL254" si="6">AY254+($BM$254-$AX$254)/15</f>
        <v>23.201673965933143</v>
      </c>
      <c r="BA254" s="279">
        <f t="shared" si="6"/>
        <v>23.216394068855145</v>
      </c>
      <c r="BB254" s="279">
        <f t="shared" si="6"/>
        <v>23.231114171777147</v>
      </c>
      <c r="BC254" s="279">
        <f t="shared" si="6"/>
        <v>23.245834274699149</v>
      </c>
      <c r="BD254" s="279">
        <f t="shared" si="6"/>
        <v>23.260554377621151</v>
      </c>
      <c r="BE254" s="279">
        <f t="shared" si="6"/>
        <v>23.275274480543153</v>
      </c>
      <c r="BF254" s="279">
        <f t="shared" si="6"/>
        <v>23.289994583465155</v>
      </c>
      <c r="BG254" s="279">
        <f t="shared" si="6"/>
        <v>23.304714686387157</v>
      </c>
      <c r="BH254" s="279">
        <f t="shared" si="6"/>
        <v>23.31943478930916</v>
      </c>
      <c r="BI254" s="279">
        <f t="shared" si="6"/>
        <v>23.334154892231162</v>
      </c>
      <c r="BJ254" s="279">
        <f t="shared" si="6"/>
        <v>23.348874995153164</v>
      </c>
      <c r="BK254" s="279">
        <f t="shared" si="6"/>
        <v>23.363595098075166</v>
      </c>
      <c r="BL254" s="279">
        <f t="shared" si="6"/>
        <v>23.378315200997168</v>
      </c>
      <c r="BM254" s="280">
        <f>AX254*$C$745</f>
        <v>23.393035303919145</v>
      </c>
      <c r="BN254" s="279">
        <f>BM254+($BR$254-$BM$254)/5</f>
        <v>23.407895670463727</v>
      </c>
      <c r="BO254" s="279">
        <f>BN254+($BR$254-$BM$254)/5</f>
        <v>23.422756037008309</v>
      </c>
      <c r="BP254" s="279">
        <f>BO254+($BR$254-$BM$254)/5</f>
        <v>23.437616403552891</v>
      </c>
      <c r="BQ254" s="279">
        <f>BP254+($BR$254-$BM$254)/5</f>
        <v>23.452476770097473</v>
      </c>
      <c r="BR254" s="280">
        <f>BM254*$D$745</f>
        <v>23.467337136642058</v>
      </c>
    </row>
    <row r="255" spans="1:70" x14ac:dyDescent="0.25">
      <c r="A255" s="754" t="s">
        <v>500</v>
      </c>
      <c r="B255" s="756">
        <v>11.896094322204601</v>
      </c>
      <c r="C255" s="756">
        <v>10.9898433685303</v>
      </c>
      <c r="D255" s="756">
        <v>11.3387994766235</v>
      </c>
      <c r="E255" s="756">
        <v>8.9075946807861293</v>
      </c>
      <c r="F255" s="756">
        <v>9.4656057357788104</v>
      </c>
      <c r="G255" s="756">
        <v>9.7463216781616193</v>
      </c>
      <c r="H255" s="756">
        <v>9.7210922241210902</v>
      </c>
      <c r="I255" s="756">
        <v>9.6719341278076207</v>
      </c>
      <c r="J255" s="756">
        <v>9.7138872146606392</v>
      </c>
      <c r="K255" s="756">
        <v>9.8306560516357404</v>
      </c>
      <c r="L255" s="756">
        <v>10.038209915161101</v>
      </c>
      <c r="M255" s="756">
        <v>10.2545003890991</v>
      </c>
      <c r="N255" s="756">
        <v>10.476261138916</v>
      </c>
      <c r="O255" s="756">
        <v>10.746561050415</v>
      </c>
      <c r="P255" s="756">
        <v>11.0803880691528</v>
      </c>
      <c r="Q255" s="756">
        <v>11.314369201660201</v>
      </c>
      <c r="R255" s="756">
        <v>11.4017143249512</v>
      </c>
      <c r="S255" s="756">
        <v>11.212500572204601</v>
      </c>
      <c r="T255" s="756">
        <v>11.1975994110107</v>
      </c>
      <c r="U255" s="756">
        <v>11.159740447998001</v>
      </c>
      <c r="V255" s="756">
        <v>11.3503875732422</v>
      </c>
      <c r="W255" s="756">
        <v>11.640952110290501</v>
      </c>
      <c r="X255" s="756">
        <v>11.9785671234131</v>
      </c>
      <c r="Y255" s="756">
        <v>12.2332496643066</v>
      </c>
      <c r="Z255" s="756">
        <v>12.5188312530518</v>
      </c>
      <c r="AA255" s="300"/>
      <c r="AB255" s="300"/>
      <c r="AC255" s="300"/>
      <c r="AD255" s="300"/>
    </row>
    <row r="256" spans="1:70" x14ac:dyDescent="0.25">
      <c r="A256" s="754" t="s">
        <v>469</v>
      </c>
      <c r="B256" s="756">
        <v>28.3762531280518</v>
      </c>
      <c r="C256" s="756">
        <v>28.029735565185501</v>
      </c>
      <c r="D256" s="756">
        <v>29.057315826416001</v>
      </c>
      <c r="E256" s="756">
        <v>27.6067714691162</v>
      </c>
      <c r="F256" s="756">
        <v>24.835584640502901</v>
      </c>
      <c r="G256" s="756">
        <v>25.581251144409201</v>
      </c>
      <c r="H256" s="756">
        <v>25.4402256011963</v>
      </c>
      <c r="I256" s="756">
        <v>25.470129013061499</v>
      </c>
      <c r="J256" s="756">
        <v>25.672283172607401</v>
      </c>
      <c r="K256" s="756">
        <v>25.763282775878899</v>
      </c>
      <c r="L256" s="756">
        <v>26.100669860839801</v>
      </c>
      <c r="M256" s="756">
        <v>26.468044281005898</v>
      </c>
      <c r="N256" s="756">
        <v>26.885612487793001</v>
      </c>
      <c r="O256" s="756">
        <v>27.169450759887699</v>
      </c>
      <c r="P256" s="756">
        <v>27.620109558105501</v>
      </c>
      <c r="Q256" s="756">
        <v>28.002447128295898</v>
      </c>
      <c r="R256" s="756">
        <v>28.245407104492202</v>
      </c>
      <c r="S256" s="756">
        <v>28.186374664306602</v>
      </c>
      <c r="T256" s="756">
        <v>28.203248977661101</v>
      </c>
      <c r="U256" s="756">
        <v>28.139711380004901</v>
      </c>
      <c r="V256" s="756">
        <v>28.178466796875</v>
      </c>
      <c r="W256" s="756">
        <v>28.495182037353501</v>
      </c>
      <c r="X256" s="756">
        <v>28.915565490722699</v>
      </c>
      <c r="Y256" s="756">
        <v>29.289411544799801</v>
      </c>
      <c r="Z256" s="756">
        <v>29.651695251464801</v>
      </c>
      <c r="AA256" s="300">
        <v>16.318952560424801</v>
      </c>
      <c r="AB256" s="300">
        <v>16.4172878265381</v>
      </c>
      <c r="AC256" s="300">
        <v>16.5084934234619</v>
      </c>
      <c r="AD256" s="300">
        <v>16.549221038818398</v>
      </c>
    </row>
    <row r="257" spans="1:70" x14ac:dyDescent="0.25">
      <c r="AA257" s="300">
        <v>12.788073539733899</v>
      </c>
      <c r="AB257" s="300">
        <v>13.069622039794901</v>
      </c>
      <c r="AC257" s="300">
        <v>13.0597486495972</v>
      </c>
      <c r="AD257" s="300">
        <v>13.2463188171387</v>
      </c>
    </row>
    <row r="258" spans="1:70" ht="13.8" thickBot="1" x14ac:dyDescent="0.3">
      <c r="A258" s="754" t="s">
        <v>601</v>
      </c>
      <c r="AA258" s="300">
        <v>9.5039434432983398</v>
      </c>
      <c r="AB258" s="300">
        <v>9.4975557327270508</v>
      </c>
      <c r="AC258" s="300">
        <v>9.6068582534790004</v>
      </c>
      <c r="AD258" s="300">
        <v>9.5831336975097692</v>
      </c>
    </row>
    <row r="259" spans="1:70" ht="13.8" thickBot="1" x14ac:dyDescent="0.3">
      <c r="A259" s="754" t="s">
        <v>598</v>
      </c>
      <c r="B259" s="756">
        <v>21.041078567504901</v>
      </c>
      <c r="C259" s="756">
        <v>23.3795166015625</v>
      </c>
      <c r="D259" s="756">
        <v>26.646581649780298</v>
      </c>
      <c r="E259" s="756">
        <v>22.2440700531006</v>
      </c>
      <c r="F259" s="756">
        <v>16.6379299163818</v>
      </c>
      <c r="G259" s="756">
        <v>18.920274734497099</v>
      </c>
      <c r="H259" s="756">
        <v>20.8892612457275</v>
      </c>
      <c r="I259" s="756">
        <v>22.636520385742202</v>
      </c>
      <c r="J259" s="756">
        <v>24.1346244812012</v>
      </c>
      <c r="K259" s="756">
        <v>25.742292404174801</v>
      </c>
      <c r="L259" s="756">
        <v>26.783767700195298</v>
      </c>
      <c r="M259" s="756">
        <v>27.652248382568398</v>
      </c>
      <c r="N259" s="756">
        <v>28.520401000976602</v>
      </c>
      <c r="O259" s="756">
        <v>28.932659149169901</v>
      </c>
      <c r="P259" s="756">
        <v>29.169765472412099</v>
      </c>
      <c r="Q259" s="756">
        <v>29.4143581390381</v>
      </c>
      <c r="R259" s="756">
        <v>29.524629592895501</v>
      </c>
      <c r="S259" s="756">
        <v>29.853767395019499</v>
      </c>
      <c r="T259" s="756">
        <v>29.959171295166001</v>
      </c>
      <c r="U259" s="756">
        <v>29.528638839721701</v>
      </c>
      <c r="V259" s="756">
        <v>29.7813510894775</v>
      </c>
      <c r="W259" s="756">
        <v>30.054143905639599</v>
      </c>
      <c r="X259" s="756">
        <v>30.3852443695068</v>
      </c>
      <c r="Y259" s="756">
        <v>30.4649448394775</v>
      </c>
      <c r="Z259" s="756">
        <v>30.849096298217798</v>
      </c>
      <c r="AA259" s="300">
        <v>6.3330101966857901</v>
      </c>
      <c r="AB259" s="300">
        <v>6.4338274002075204</v>
      </c>
      <c r="AC259" s="300">
        <v>6.5134425163268999</v>
      </c>
      <c r="AD259" s="300">
        <v>6.5598897933959996</v>
      </c>
      <c r="AE259" s="277">
        <f>AD259+($AI$259-$AD$259)/5</f>
        <v>6.5507078532683796</v>
      </c>
      <c r="AF259" s="277">
        <f>AE259+($AI$259-$AD$259)/5</f>
        <v>6.5415259131407595</v>
      </c>
      <c r="AG259" s="277">
        <f>AF259+($AI$259-$AD$259)/5</f>
        <v>6.5323439730131394</v>
      </c>
      <c r="AH259" s="277">
        <f>AG259+($AI$259-$AD$259)/5</f>
        <v>6.5231620328855193</v>
      </c>
      <c r="AI259" s="278">
        <f>T429*$E$742</f>
        <v>6.5139800927579001</v>
      </c>
      <c r="AJ259" s="277">
        <f>AI259+($AX$259-$AI$259)/15</f>
        <v>6.5877135610615332</v>
      </c>
      <c r="AK259" s="277">
        <f t="shared" ref="AK259:AW259" si="7">AJ259+($AX$259-$AI$259)/15</f>
        <v>6.6614470293651662</v>
      </c>
      <c r="AL259" s="277">
        <f t="shared" si="7"/>
        <v>6.7351804976687992</v>
      </c>
      <c r="AM259" s="277">
        <f t="shared" si="7"/>
        <v>6.8089139659724323</v>
      </c>
      <c r="AN259" s="277">
        <f t="shared" si="7"/>
        <v>6.8826474342760653</v>
      </c>
      <c r="AO259" s="277">
        <f t="shared" si="7"/>
        <v>6.9563809025796983</v>
      </c>
      <c r="AP259" s="277">
        <f t="shared" si="7"/>
        <v>7.0301143708833314</v>
      </c>
      <c r="AQ259" s="277">
        <f t="shared" si="7"/>
        <v>7.1038478391869644</v>
      </c>
      <c r="AR259" s="277">
        <f t="shared" si="7"/>
        <v>7.1775813074905974</v>
      </c>
      <c r="AS259" s="277">
        <f t="shared" si="7"/>
        <v>7.2513147757942304</v>
      </c>
      <c r="AT259" s="277">
        <f t="shared" si="7"/>
        <v>7.3250482440978635</v>
      </c>
      <c r="AU259" s="277">
        <f t="shared" si="7"/>
        <v>7.3987817124014965</v>
      </c>
      <c r="AV259" s="277">
        <f t="shared" si="7"/>
        <v>7.4725151807051295</v>
      </c>
      <c r="AW259" s="277">
        <f t="shared" si="7"/>
        <v>7.5462486490087626</v>
      </c>
      <c r="AX259" s="278">
        <f>AI259*$B$742</f>
        <v>7.6199821173123929</v>
      </c>
      <c r="AY259" s="277">
        <f>AX259+($BM$259-$AX$259)/15</f>
        <v>7.6954333002095865</v>
      </c>
      <c r="AZ259" s="277">
        <f t="shared" ref="AZ259:BL259" si="8">AY259+($BM$259-$AX$259)/15</f>
        <v>7.77088448310678</v>
      </c>
      <c r="BA259" s="277">
        <f t="shared" si="8"/>
        <v>7.8463356660039736</v>
      </c>
      <c r="BB259" s="277">
        <f t="shared" si="8"/>
        <v>7.9217868489011671</v>
      </c>
      <c r="BC259" s="277">
        <f t="shared" si="8"/>
        <v>7.9972380317983607</v>
      </c>
      <c r="BD259" s="277">
        <f t="shared" si="8"/>
        <v>8.0726892146955542</v>
      </c>
      <c r="BE259" s="277">
        <f t="shared" si="8"/>
        <v>8.1481403975927478</v>
      </c>
      <c r="BF259" s="277">
        <f t="shared" si="8"/>
        <v>8.2235915804899413</v>
      </c>
      <c r="BG259" s="277">
        <f t="shared" si="8"/>
        <v>8.2990427633871349</v>
      </c>
      <c r="BH259" s="277">
        <f t="shared" si="8"/>
        <v>8.3744939462843284</v>
      </c>
      <c r="BI259" s="277">
        <f t="shared" si="8"/>
        <v>8.449945129181522</v>
      </c>
      <c r="BJ259" s="277">
        <f t="shared" si="8"/>
        <v>8.5253963120787155</v>
      </c>
      <c r="BK259" s="277">
        <f t="shared" si="8"/>
        <v>8.6008474949759091</v>
      </c>
      <c r="BL259" s="277">
        <f t="shared" si="8"/>
        <v>8.6762986778731026</v>
      </c>
      <c r="BM259" s="278">
        <f>AX259*$C$742</f>
        <v>8.7517498607702962</v>
      </c>
      <c r="BN259" s="277">
        <f>BM259+($BR$259-$BM$259)/5</f>
        <v>8.8384075286295438</v>
      </c>
      <c r="BO259" s="277">
        <f>BN259+($BR$259-$BM$259)/5</f>
        <v>8.9250651964887915</v>
      </c>
      <c r="BP259" s="277">
        <f>BO259+($BR$259-$BM$259)/5</f>
        <v>9.0117228643480392</v>
      </c>
      <c r="BQ259" s="277">
        <f>BP259+($BR$259-$BM$259)/5</f>
        <v>9.0983805322072868</v>
      </c>
      <c r="BR259" s="278">
        <f>BM259*$D$742</f>
        <v>9.1850382000665363</v>
      </c>
    </row>
    <row r="260" spans="1:70" x14ac:dyDescent="0.25">
      <c r="A260" s="754" t="s">
        <v>599</v>
      </c>
      <c r="B260" s="756">
        <v>15.7354278564453</v>
      </c>
      <c r="C260" s="756">
        <v>16.8219394683838</v>
      </c>
      <c r="D260" s="756">
        <v>21.937858581543001</v>
      </c>
      <c r="E260" s="756">
        <v>14.291754722595201</v>
      </c>
      <c r="F260" s="756">
        <v>10.6247463226318</v>
      </c>
      <c r="G260" s="756">
        <v>13.4027051925659</v>
      </c>
      <c r="H260" s="756">
        <v>15.2648477554321</v>
      </c>
      <c r="I260" s="756">
        <v>17.266075134277301</v>
      </c>
      <c r="J260" s="756">
        <v>18.658037185668899</v>
      </c>
      <c r="K260" s="756">
        <v>19.740333557128899</v>
      </c>
      <c r="L260" s="756">
        <v>20.622322082519499</v>
      </c>
      <c r="M260" s="756">
        <v>21.514814376831101</v>
      </c>
      <c r="N260" s="756">
        <v>22.261856079101602</v>
      </c>
      <c r="O260" s="756">
        <v>22.720048904418899</v>
      </c>
      <c r="P260" s="756">
        <v>23.0620517730713</v>
      </c>
      <c r="Q260" s="756">
        <v>23.029100418090799</v>
      </c>
      <c r="R260" s="756">
        <v>23.327865600585898</v>
      </c>
      <c r="S260" s="756">
        <v>23.5460414886475</v>
      </c>
      <c r="T260" s="756">
        <v>23.635374069213899</v>
      </c>
      <c r="U260" s="756">
        <v>23.588466644287099</v>
      </c>
      <c r="V260" s="756">
        <v>23.9423828125</v>
      </c>
      <c r="W260" s="756">
        <v>23.870851516723601</v>
      </c>
      <c r="X260" s="756">
        <v>24.336980819702099</v>
      </c>
      <c r="Y260" s="756">
        <v>25.037542343139599</v>
      </c>
      <c r="Z260" s="756">
        <v>25.073137283325199</v>
      </c>
      <c r="AA260" s="300">
        <v>2.7168338298797599</v>
      </c>
      <c r="AB260" s="300">
        <v>2.7307398319244398</v>
      </c>
      <c r="AC260" s="300">
        <v>2.7413196563720699</v>
      </c>
      <c r="AD260" s="300">
        <v>2.7546591758728001</v>
      </c>
    </row>
    <row r="261" spans="1:70" x14ac:dyDescent="0.25">
      <c r="A261" s="754" t="s">
        <v>600</v>
      </c>
      <c r="B261" s="756">
        <v>9.2125787734985405</v>
      </c>
      <c r="C261" s="756">
        <v>10.5954837799072</v>
      </c>
      <c r="D261" s="756">
        <v>13.7473258972168</v>
      </c>
      <c r="E261" s="756">
        <v>6.9127345085143999</v>
      </c>
      <c r="F261" s="756">
        <v>9.8444128036499006</v>
      </c>
      <c r="G261" s="756">
        <v>12.2499532699585</v>
      </c>
      <c r="H261" s="756">
        <v>13.9352369308472</v>
      </c>
      <c r="I261" s="756">
        <v>15.428977966308601</v>
      </c>
      <c r="J261" s="756">
        <v>16.646518707275401</v>
      </c>
      <c r="K261" s="756">
        <v>18.037969589233398</v>
      </c>
      <c r="L261" s="756">
        <v>18.8180332183838</v>
      </c>
      <c r="M261" s="756">
        <v>19.4296264648438</v>
      </c>
      <c r="N261" s="756">
        <v>20.112428665161101</v>
      </c>
      <c r="O261" s="756">
        <v>20.448431015014599</v>
      </c>
      <c r="P261" s="756">
        <v>20.727931976318398</v>
      </c>
      <c r="Q261" s="756">
        <v>20.973798751831101</v>
      </c>
      <c r="R261" s="756">
        <v>21.101537704467798</v>
      </c>
      <c r="S261" s="756">
        <v>21.306892395019499</v>
      </c>
      <c r="T261" s="756">
        <v>21.394767761230501</v>
      </c>
      <c r="U261" s="756">
        <v>21.017236709594702</v>
      </c>
      <c r="V261" s="756">
        <v>21.180326461791999</v>
      </c>
      <c r="W261" s="756">
        <v>21.338615417480501</v>
      </c>
      <c r="X261" s="756">
        <v>21.660650253295898</v>
      </c>
      <c r="Y261" s="756">
        <v>21.793584823608398</v>
      </c>
      <c r="Z261" s="756">
        <v>22.078443527221701</v>
      </c>
      <c r="AA261" s="300">
        <v>2.2517027854919398</v>
      </c>
      <c r="AB261" s="300">
        <v>2.2682161331176802</v>
      </c>
      <c r="AC261" s="300">
        <v>2.2745745182037398</v>
      </c>
      <c r="AD261" s="300">
        <v>2.2862651348114</v>
      </c>
    </row>
    <row r="262" spans="1:70" ht="13.8" thickBot="1" x14ac:dyDescent="0.3">
      <c r="A262" s="754" t="s">
        <v>602</v>
      </c>
      <c r="B262" s="756">
        <v>7.9540700912475604</v>
      </c>
      <c r="C262" s="756">
        <v>7.5152516365051296</v>
      </c>
      <c r="D262" s="756">
        <v>8.8012723922729492</v>
      </c>
      <c r="E262" s="756">
        <v>4.8485679626464799</v>
      </c>
      <c r="F262" s="756">
        <v>5.4989199638366699</v>
      </c>
      <c r="G262" s="756">
        <v>5.8261642456054696</v>
      </c>
      <c r="H262" s="756">
        <v>5.87778615951538</v>
      </c>
      <c r="I262" s="756">
        <v>5.9538393020629901</v>
      </c>
      <c r="J262" s="756">
        <v>6.1098570823669398</v>
      </c>
      <c r="K262" s="756">
        <v>6.3294844627380398</v>
      </c>
      <c r="L262" s="756">
        <v>6.5125813484191903</v>
      </c>
      <c r="M262" s="756">
        <v>6.7027301788330096</v>
      </c>
      <c r="N262" s="756">
        <v>6.8988709449768102</v>
      </c>
      <c r="O262" s="756">
        <v>7.1528282165527299</v>
      </c>
      <c r="P262" s="756">
        <v>7.4686021804809597</v>
      </c>
      <c r="Q262" s="756">
        <v>7.6786775588989302</v>
      </c>
      <c r="R262" s="756">
        <v>7.7538070678710902</v>
      </c>
      <c r="S262" s="756">
        <v>7.5584783554077104</v>
      </c>
      <c r="T262" s="756">
        <v>7.5461778640747097</v>
      </c>
      <c r="U262" s="756">
        <v>7.4592709541320801</v>
      </c>
      <c r="V262" s="756">
        <v>7.6002230644226101</v>
      </c>
      <c r="W262" s="756">
        <v>7.8596048355102504</v>
      </c>
      <c r="X262" s="756">
        <v>8.1941757202148402</v>
      </c>
      <c r="Y262" s="756">
        <v>8.4216127395629901</v>
      </c>
      <c r="Z262" s="756">
        <v>8.6935501098632795</v>
      </c>
      <c r="AA262" s="300">
        <v>1.2833950519561801</v>
      </c>
      <c r="AB262" s="300">
        <v>1.3286876678466799</v>
      </c>
      <c r="AC262" s="300">
        <v>1.33012855052948</v>
      </c>
      <c r="AD262" s="300">
        <v>1.33445107936859</v>
      </c>
    </row>
    <row r="263" spans="1:70" ht="13.8" thickBot="1" x14ac:dyDescent="0.3">
      <c r="A263" s="754" t="s">
        <v>603</v>
      </c>
      <c r="B263" s="756">
        <v>3.6353600025177002</v>
      </c>
      <c r="C263" s="756">
        <v>3.6099998950958301</v>
      </c>
      <c r="D263" s="756">
        <v>4.0558156967163104</v>
      </c>
      <c r="E263" s="756">
        <v>4.0487108230590803</v>
      </c>
      <c r="F263" s="756">
        <v>3.9977276325225799</v>
      </c>
      <c r="G263" s="756">
        <v>4.1121706962585396</v>
      </c>
      <c r="H263" s="756">
        <v>4.1809573173522896</v>
      </c>
      <c r="I263" s="756">
        <v>4.2343683242797896</v>
      </c>
      <c r="J263" s="756">
        <v>4.27162742614746</v>
      </c>
      <c r="K263" s="756">
        <v>4.2985162734985396</v>
      </c>
      <c r="L263" s="756">
        <v>4.3192996978759801</v>
      </c>
      <c r="M263" s="756">
        <v>4.3337044715881303</v>
      </c>
      <c r="N263" s="756">
        <v>4.3530845642089799</v>
      </c>
      <c r="O263" s="756">
        <v>4.3696141242981001</v>
      </c>
      <c r="P263" s="756">
        <v>4.3899216651916504</v>
      </c>
      <c r="Q263" s="756">
        <v>4.4470157623290998</v>
      </c>
      <c r="R263" s="756">
        <v>4.5093812942504901</v>
      </c>
      <c r="S263" s="756">
        <v>4.5352845191955602</v>
      </c>
      <c r="T263" s="756">
        <v>4.5618190765380904</v>
      </c>
      <c r="U263" s="756">
        <v>4.5643453598022496</v>
      </c>
      <c r="V263" s="756">
        <v>4.5493078231811497</v>
      </c>
      <c r="W263" s="756">
        <v>4.5490665435790998</v>
      </c>
      <c r="X263" s="756">
        <v>4.5331215858459499</v>
      </c>
      <c r="Y263" s="756">
        <v>4.4955492019653303</v>
      </c>
      <c r="Z263" s="756">
        <v>4.4319190979003897</v>
      </c>
      <c r="AA263" s="300">
        <v>17.3004150390625</v>
      </c>
      <c r="AB263" s="300">
        <v>17.331628799438501</v>
      </c>
      <c r="AC263" s="300">
        <v>17.425392150878899</v>
      </c>
      <c r="AD263" s="300">
        <v>17.430723190307599</v>
      </c>
      <c r="AE263" s="279">
        <f>AD263+($AI$263-$AD$263)/5</f>
        <v>17.267158349957999</v>
      </c>
      <c r="AF263" s="279">
        <f>AE263+($AI$263-$AD$263)/5</f>
        <v>17.103593509608398</v>
      </c>
      <c r="AG263" s="279">
        <f>AF263+($AI$263-$AD$263)/5</f>
        <v>16.940028669258798</v>
      </c>
      <c r="AH263" s="279">
        <f>AG263+($AI$263-$AD$263)/5</f>
        <v>16.776463828909197</v>
      </c>
      <c r="AI263" s="280">
        <f>T433*$E$745</f>
        <v>16.612898988559596</v>
      </c>
      <c r="AJ263" s="279">
        <f>AI263+($AX$263-$AI$263)/15</f>
        <v>16.606368113587273</v>
      </c>
      <c r="AK263" s="279">
        <f t="shared" ref="AK263:AW263" si="9">AJ263+($AX$263-$AI$263)/15</f>
        <v>16.599837238614949</v>
      </c>
      <c r="AL263" s="279">
        <f t="shared" si="9"/>
        <v>16.593306363642625</v>
      </c>
      <c r="AM263" s="279">
        <f t="shared" si="9"/>
        <v>16.586775488670302</v>
      </c>
      <c r="AN263" s="279">
        <f t="shared" si="9"/>
        <v>16.580244613697978</v>
      </c>
      <c r="AO263" s="279">
        <f t="shared" si="9"/>
        <v>16.573713738725655</v>
      </c>
      <c r="AP263" s="279">
        <f t="shared" si="9"/>
        <v>16.567182863753331</v>
      </c>
      <c r="AQ263" s="279">
        <f t="shared" si="9"/>
        <v>16.560651988781007</v>
      </c>
      <c r="AR263" s="279">
        <f t="shared" si="9"/>
        <v>16.554121113808684</v>
      </c>
      <c r="AS263" s="279">
        <f t="shared" si="9"/>
        <v>16.54759023883636</v>
      </c>
      <c r="AT263" s="279">
        <f t="shared" si="9"/>
        <v>16.541059363864036</v>
      </c>
      <c r="AU263" s="279">
        <f t="shared" si="9"/>
        <v>16.534528488891713</v>
      </c>
      <c r="AV263" s="279">
        <f t="shared" si="9"/>
        <v>16.527997613919389</v>
      </c>
      <c r="AW263" s="279">
        <f t="shared" si="9"/>
        <v>16.521466738947066</v>
      </c>
      <c r="AX263" s="280">
        <f>AI263*$B$745</f>
        <v>16.514935863974742</v>
      </c>
      <c r="AY263" s="279">
        <f>AX263+($BM$263-$AX$263)/15</f>
        <v>16.525426935236357</v>
      </c>
      <c r="AZ263" s="279">
        <f t="shared" ref="AZ263:BL263" si="10">AY263+($BM$263-$AX$263)/15</f>
        <v>16.535918006497972</v>
      </c>
      <c r="BA263" s="279">
        <f t="shared" si="10"/>
        <v>16.546409077759588</v>
      </c>
      <c r="BB263" s="279">
        <f t="shared" si="10"/>
        <v>16.556900149021203</v>
      </c>
      <c r="BC263" s="279">
        <f t="shared" si="10"/>
        <v>16.567391220282818</v>
      </c>
      <c r="BD263" s="279">
        <f t="shared" si="10"/>
        <v>16.577882291544434</v>
      </c>
      <c r="BE263" s="279">
        <f t="shared" si="10"/>
        <v>16.588373362806049</v>
      </c>
      <c r="BF263" s="279">
        <f t="shared" si="10"/>
        <v>16.598864434067664</v>
      </c>
      <c r="BG263" s="279">
        <f t="shared" si="10"/>
        <v>16.60935550532928</v>
      </c>
      <c r="BH263" s="279">
        <f t="shared" si="10"/>
        <v>16.619846576590895</v>
      </c>
      <c r="BI263" s="279">
        <f t="shared" si="10"/>
        <v>16.63033764785251</v>
      </c>
      <c r="BJ263" s="279">
        <f t="shared" si="10"/>
        <v>16.640828719114126</v>
      </c>
      <c r="BK263" s="279">
        <f t="shared" si="10"/>
        <v>16.651319790375741</v>
      </c>
      <c r="BL263" s="279">
        <f t="shared" si="10"/>
        <v>16.661810861637356</v>
      </c>
      <c r="BM263" s="280">
        <f>AX263*$C$745</f>
        <v>16.672301932898996</v>
      </c>
      <c r="BN263" s="279">
        <f>BM263+($BR$263-$BM$263)/5</f>
        <v>16.682892970558111</v>
      </c>
      <c r="BO263" s="279">
        <f>BN263+($BR$263-$BM$263)/5</f>
        <v>16.693484008217226</v>
      </c>
      <c r="BP263" s="279">
        <f>BO263+($BR$263-$BM$263)/5</f>
        <v>16.704075045876341</v>
      </c>
      <c r="BQ263" s="279">
        <f>BP263+($BR$263-$BM$263)/5</f>
        <v>16.714666083535455</v>
      </c>
      <c r="BR263" s="280">
        <f>BM263*$D$745</f>
        <v>16.725257121194577</v>
      </c>
    </row>
    <row r="264" spans="1:70" x14ac:dyDescent="0.25">
      <c r="A264" s="754" t="s">
        <v>604</v>
      </c>
      <c r="B264" s="756">
        <v>2.4029970169067401</v>
      </c>
      <c r="C264" s="756">
        <v>2.4299483299255402</v>
      </c>
      <c r="D264" s="756">
        <v>2.5420303344726598</v>
      </c>
      <c r="E264" s="756">
        <v>2.4490520954132098</v>
      </c>
      <c r="F264" s="756">
        <v>2.3906834125518799</v>
      </c>
      <c r="G264" s="756">
        <v>2.4765830039978001</v>
      </c>
      <c r="H264" s="756">
        <v>2.4936084747314502</v>
      </c>
      <c r="I264" s="756">
        <v>2.5247271060943599</v>
      </c>
      <c r="J264" s="756">
        <v>2.54471778869629</v>
      </c>
      <c r="K264" s="756">
        <v>2.53918480873108</v>
      </c>
      <c r="L264" s="756">
        <v>2.54552221298218</v>
      </c>
      <c r="M264" s="756">
        <v>2.5526983737945601</v>
      </c>
      <c r="N264" s="756">
        <v>2.5639333724975599</v>
      </c>
      <c r="O264" s="756">
        <v>2.5611753463745099</v>
      </c>
      <c r="P264" s="756">
        <v>2.56861472129822</v>
      </c>
      <c r="Q264" s="756">
        <v>2.5710935592651398</v>
      </c>
      <c r="R264" s="756">
        <v>2.57420825958252</v>
      </c>
      <c r="S264" s="756">
        <v>2.5741758346557599</v>
      </c>
      <c r="T264" s="756">
        <v>2.5788726806640598</v>
      </c>
      <c r="U264" s="756">
        <v>2.5789062976837198</v>
      </c>
      <c r="V264" s="756">
        <v>2.59378290176392</v>
      </c>
      <c r="W264" s="756">
        <v>2.6088099479675302</v>
      </c>
      <c r="X264" s="756">
        <v>2.6259028911590598</v>
      </c>
      <c r="Y264" s="756">
        <v>2.64452123641968</v>
      </c>
      <c r="Z264" s="756">
        <v>2.6644773483276398</v>
      </c>
      <c r="AA264" s="300"/>
      <c r="AB264" s="300"/>
      <c r="AC264" s="300"/>
      <c r="AD264" s="300"/>
    </row>
    <row r="265" spans="1:70" ht="13.8" thickBot="1" x14ac:dyDescent="0.3">
      <c r="A265" s="754" t="s">
        <v>605</v>
      </c>
      <c r="B265" s="756">
        <v>0</v>
      </c>
      <c r="C265" s="756">
        <v>0</v>
      </c>
      <c r="D265" s="756">
        <v>0</v>
      </c>
      <c r="E265" s="756">
        <v>0</v>
      </c>
      <c r="F265" s="756">
        <v>0</v>
      </c>
      <c r="G265" s="756">
        <v>1.5133428573608401</v>
      </c>
      <c r="H265" s="756">
        <v>1.3742095232009901</v>
      </c>
      <c r="I265" s="756">
        <v>1.19064140319824</v>
      </c>
      <c r="J265" s="756">
        <v>1.3664953708648699</v>
      </c>
      <c r="K265" s="756">
        <v>1.33487153053284</v>
      </c>
      <c r="L265" s="756">
        <v>1.31654036045074</v>
      </c>
      <c r="M265" s="756">
        <v>1.30223417282104</v>
      </c>
      <c r="N265" s="756">
        <v>1.30838906764984</v>
      </c>
      <c r="O265" s="756">
        <v>1.32146644592285</v>
      </c>
      <c r="P265" s="756">
        <v>1.3489345312118499</v>
      </c>
      <c r="Q265" s="756">
        <v>1.3524934053421001</v>
      </c>
      <c r="R265" s="756">
        <v>1.3570195436477701</v>
      </c>
      <c r="S265" s="756">
        <v>1.3626403808593801</v>
      </c>
      <c r="T265" s="756">
        <v>1.37119424343109</v>
      </c>
      <c r="U265" s="756">
        <v>1.3635557889938399</v>
      </c>
      <c r="V265" s="756">
        <v>1.3662919998168901</v>
      </c>
      <c r="W265" s="756">
        <v>1.37254309654236</v>
      </c>
      <c r="X265" s="756">
        <v>1.37609398365021</v>
      </c>
      <c r="Y265" s="756">
        <v>1.3784751892089799</v>
      </c>
      <c r="Z265" s="756">
        <v>1.3805129528045701</v>
      </c>
      <c r="AA265" s="300">
        <v>24.056577682495099</v>
      </c>
      <c r="AB265" s="300">
        <v>24.1739406585693</v>
      </c>
      <c r="AC265" s="300">
        <v>24.2586994171143</v>
      </c>
      <c r="AD265" s="300">
        <v>24.288969039916999</v>
      </c>
    </row>
    <row r="266" spans="1:70" ht="13.8" thickBot="1" x14ac:dyDescent="0.3">
      <c r="A266" s="754" t="s">
        <v>469</v>
      </c>
      <c r="B266" s="756">
        <v>18.400894165039102</v>
      </c>
      <c r="C266" s="756">
        <v>18.6226921081543</v>
      </c>
      <c r="D266" s="756">
        <v>20.334409713745099</v>
      </c>
      <c r="E266" s="756">
        <v>19.159486770629901</v>
      </c>
      <c r="F266" s="756">
        <v>16.828172683715799</v>
      </c>
      <c r="G266" s="756">
        <v>17.264308929443398</v>
      </c>
      <c r="H266" s="756">
        <v>17.156070709228501</v>
      </c>
      <c r="I266" s="756">
        <v>17.083604812622099</v>
      </c>
      <c r="J266" s="756">
        <v>17.1988334655762</v>
      </c>
      <c r="K266" s="756">
        <v>17.318143844604499</v>
      </c>
      <c r="L266" s="756">
        <v>17.615074157714801</v>
      </c>
      <c r="M266" s="756">
        <v>17.910154342651399</v>
      </c>
      <c r="N266" s="756">
        <v>18.210170745849599</v>
      </c>
      <c r="O266" s="756">
        <v>18.456880569458001</v>
      </c>
      <c r="P266" s="756">
        <v>18.803001403808601</v>
      </c>
      <c r="Q266" s="756">
        <v>19.085206985473601</v>
      </c>
      <c r="R266" s="756">
        <v>19.30615234375</v>
      </c>
      <c r="S266" s="756">
        <v>19.3043308258057</v>
      </c>
      <c r="T266" s="756">
        <v>19.3253479003906</v>
      </c>
      <c r="U266" s="756">
        <v>19.324813842773398</v>
      </c>
      <c r="V266" s="756">
        <v>19.354219436645501</v>
      </c>
      <c r="W266" s="756">
        <v>19.614883422851602</v>
      </c>
      <c r="X266" s="756">
        <v>19.97239112854</v>
      </c>
      <c r="Y266" s="756">
        <v>20.29469871521</v>
      </c>
      <c r="Z266" s="756">
        <v>20.560989379882798</v>
      </c>
      <c r="AA266" s="300">
        <v>21.3195495605469</v>
      </c>
      <c r="AB266" s="300">
        <v>21.43874168396</v>
      </c>
      <c r="AC266" s="300">
        <v>21.398374557495099</v>
      </c>
      <c r="AD266" s="300">
        <v>21.4992275238037</v>
      </c>
      <c r="AE266" s="283">
        <f>AD266+($AI$266-$AD$266)/5</f>
        <v>21.318281718011935</v>
      </c>
      <c r="AF266" s="283">
        <f>AE266+($AI$266-$AD$266)/5</f>
        <v>21.13733591222017</v>
      </c>
      <c r="AG266" s="283">
        <f>AF266+($AI$266-$AD$266)/5</f>
        <v>20.956390106428405</v>
      </c>
      <c r="AH266" s="283">
        <f>AG266+($AI$266-$AD$266)/5</f>
        <v>20.775444300636639</v>
      </c>
      <c r="AI266" s="284">
        <f>T436*$E$747</f>
        <v>20.594498494844878</v>
      </c>
      <c r="AJ266" s="283">
        <f>AI266+($AX$266-$AI$266)/15</f>
        <v>20.60819416894353</v>
      </c>
      <c r="AK266" s="283">
        <f t="shared" ref="AK266:AW266" si="11">AJ266+($AX$266-$AI$266)/15</f>
        <v>20.621889843042183</v>
      </c>
      <c r="AL266" s="283">
        <f t="shared" si="11"/>
        <v>20.635585517140836</v>
      </c>
      <c r="AM266" s="283">
        <f t="shared" si="11"/>
        <v>20.649281191239488</v>
      </c>
      <c r="AN266" s="283">
        <f t="shared" si="11"/>
        <v>20.662976865338141</v>
      </c>
      <c r="AO266" s="283">
        <f t="shared" si="11"/>
        <v>20.676672539436794</v>
      </c>
      <c r="AP266" s="283">
        <f t="shared" si="11"/>
        <v>20.690368213535447</v>
      </c>
      <c r="AQ266" s="283">
        <f t="shared" si="11"/>
        <v>20.704063887634099</v>
      </c>
      <c r="AR266" s="283">
        <f t="shared" si="11"/>
        <v>20.717759561732752</v>
      </c>
      <c r="AS266" s="283">
        <f t="shared" si="11"/>
        <v>20.731455235831405</v>
      </c>
      <c r="AT266" s="283">
        <f t="shared" si="11"/>
        <v>20.745150909930057</v>
      </c>
      <c r="AU266" s="283">
        <f t="shared" si="11"/>
        <v>20.75884658402871</v>
      </c>
      <c r="AV266" s="283">
        <f t="shared" si="11"/>
        <v>20.772542258127363</v>
      </c>
      <c r="AW266" s="283">
        <f t="shared" si="11"/>
        <v>20.786237932226015</v>
      </c>
      <c r="AX266" s="284">
        <f>AI266*$B$747</f>
        <v>20.799933606324664</v>
      </c>
      <c r="AY266" s="283">
        <f>AX266+($BM$266-$AX$266)/15</f>
        <v>20.807002050879195</v>
      </c>
      <c r="AZ266" s="283">
        <f t="shared" ref="AZ266:BL266" si="12">AY266+($BM$266-$AX$266)/15</f>
        <v>20.814070495433725</v>
      </c>
      <c r="BA266" s="283">
        <f t="shared" si="12"/>
        <v>20.821138939988256</v>
      </c>
      <c r="BB266" s="283">
        <f t="shared" si="12"/>
        <v>20.828207384542786</v>
      </c>
      <c r="BC266" s="283">
        <f t="shared" si="12"/>
        <v>20.835275829097316</v>
      </c>
      <c r="BD266" s="283">
        <f t="shared" si="12"/>
        <v>20.842344273651847</v>
      </c>
      <c r="BE266" s="283">
        <f t="shared" si="12"/>
        <v>20.849412718206377</v>
      </c>
      <c r="BF266" s="283">
        <f t="shared" si="12"/>
        <v>20.856481162760907</v>
      </c>
      <c r="BG266" s="283">
        <f t="shared" si="12"/>
        <v>20.863549607315438</v>
      </c>
      <c r="BH266" s="283">
        <f t="shared" si="12"/>
        <v>20.870618051869968</v>
      </c>
      <c r="BI266" s="283">
        <f t="shared" si="12"/>
        <v>20.877686496424499</v>
      </c>
      <c r="BJ266" s="283">
        <f t="shared" si="12"/>
        <v>20.884754940979029</v>
      </c>
      <c r="BK266" s="283">
        <f t="shared" si="12"/>
        <v>20.891823385533559</v>
      </c>
      <c r="BL266" s="283">
        <f t="shared" si="12"/>
        <v>20.89889183008809</v>
      </c>
      <c r="BM266" s="284">
        <f>AX266*$C$747</f>
        <v>20.905960274642634</v>
      </c>
      <c r="BN266" s="283">
        <f>BM266+($BR$266-$BM$266)/5</f>
        <v>20.913064750255749</v>
      </c>
      <c r="BO266" s="283">
        <f>BN266+($BR$266-$BM$266)/5</f>
        <v>20.920169225868865</v>
      </c>
      <c r="BP266" s="283">
        <f>BO266+($BR$266-$BM$266)/5</f>
        <v>20.92727370148198</v>
      </c>
      <c r="BQ266" s="283">
        <f>BP266+($BR$266-$BM$266)/5</f>
        <v>20.934378177095095</v>
      </c>
      <c r="BR266" s="284">
        <f>BM266*$D$747</f>
        <v>20.94148265270821</v>
      </c>
    </row>
    <row r="267" spans="1:70" ht="13.8" thickBot="1" x14ac:dyDescent="0.3">
      <c r="AA267" s="300">
        <v>17.292875289916999</v>
      </c>
      <c r="AB267" s="300">
        <v>17.531343460083001</v>
      </c>
      <c r="AC267" s="300">
        <v>17.526832580566399</v>
      </c>
      <c r="AD267" s="300">
        <v>17.756109237670898</v>
      </c>
      <c r="AE267" s="281">
        <f>AD267+($AI$267-$AD$267)/5</f>
        <v>18.740759573600641</v>
      </c>
      <c r="AF267" s="281">
        <f>AE267+($AI$267-$AD$267)/5</f>
        <v>19.725409909530384</v>
      </c>
      <c r="AG267" s="281">
        <f>AF267+($AI$267-$AD$267)/5</f>
        <v>20.710060245460127</v>
      </c>
      <c r="AH267" s="281">
        <f>AG267+($AI$267-$AD$267)/5</f>
        <v>21.69471058138987</v>
      </c>
      <c r="AI267" s="282">
        <f>T437*$E$744</f>
        <v>22.67936091731961</v>
      </c>
      <c r="AJ267" s="281">
        <f>AI267+($AX$267-$AI$267)/15</f>
        <v>22.91940642537169</v>
      </c>
      <c r="AK267" s="281">
        <f t="shared" ref="AK267:AW267" si="13">AJ267+($AX$267-$AI$267)/15</f>
        <v>23.159451933423771</v>
      </c>
      <c r="AL267" s="281">
        <f t="shared" si="13"/>
        <v>23.399497441475852</v>
      </c>
      <c r="AM267" s="281">
        <f t="shared" si="13"/>
        <v>23.639542949527932</v>
      </c>
      <c r="AN267" s="281">
        <f t="shared" si="13"/>
        <v>23.879588457580013</v>
      </c>
      <c r="AO267" s="281">
        <f t="shared" si="13"/>
        <v>24.119633965632094</v>
      </c>
      <c r="AP267" s="281">
        <f t="shared" si="13"/>
        <v>24.359679473684174</v>
      </c>
      <c r="AQ267" s="281">
        <f t="shared" si="13"/>
        <v>24.599724981736255</v>
      </c>
      <c r="AR267" s="281">
        <f t="shared" si="13"/>
        <v>24.839770489788336</v>
      </c>
      <c r="AS267" s="281">
        <f t="shared" si="13"/>
        <v>25.079815997840416</v>
      </c>
      <c r="AT267" s="281">
        <f t="shared" si="13"/>
        <v>25.319861505892497</v>
      </c>
      <c r="AU267" s="281">
        <f t="shared" si="13"/>
        <v>25.559907013944578</v>
      </c>
      <c r="AV267" s="281">
        <f t="shared" si="13"/>
        <v>25.799952521996659</v>
      </c>
      <c r="AW267" s="281">
        <f t="shared" si="13"/>
        <v>26.039998030048739</v>
      </c>
      <c r="AX267" s="282">
        <f>AI267*$B$744</f>
        <v>26.28004353810082</v>
      </c>
      <c r="AY267" s="281">
        <f>AX267+($BM$267-$AX$267)/15</f>
        <v>26.429681543018035</v>
      </c>
      <c r="AZ267" s="281">
        <f t="shared" ref="AZ267:BL267" si="14">AY267+($BM$267-$AX$267)/15</f>
        <v>26.579319547935249</v>
      </c>
      <c r="BA267" s="281">
        <f t="shared" si="14"/>
        <v>26.728957552852464</v>
      </c>
      <c r="BB267" s="281">
        <f t="shared" si="14"/>
        <v>26.878595557769678</v>
      </c>
      <c r="BC267" s="281">
        <f t="shared" si="14"/>
        <v>27.028233562686893</v>
      </c>
      <c r="BD267" s="281">
        <f t="shared" si="14"/>
        <v>27.177871567604107</v>
      </c>
      <c r="BE267" s="281">
        <f t="shared" si="14"/>
        <v>27.327509572521322</v>
      </c>
      <c r="BF267" s="281">
        <f t="shared" si="14"/>
        <v>27.477147577438537</v>
      </c>
      <c r="BG267" s="281">
        <f t="shared" si="14"/>
        <v>27.626785582355751</v>
      </c>
      <c r="BH267" s="281">
        <f t="shared" si="14"/>
        <v>27.776423587272966</v>
      </c>
      <c r="BI267" s="281">
        <f t="shared" si="14"/>
        <v>27.92606159219018</v>
      </c>
      <c r="BJ267" s="281">
        <f t="shared" si="14"/>
        <v>28.075699597107395</v>
      </c>
      <c r="BK267" s="281">
        <f t="shared" si="14"/>
        <v>28.225337602024609</v>
      </c>
      <c r="BL267" s="281">
        <f t="shared" si="14"/>
        <v>28.374975606941824</v>
      </c>
      <c r="BM267" s="282">
        <f>AX267*$C$744</f>
        <v>28.524613611859053</v>
      </c>
      <c r="BN267" s="281">
        <f>BM267+($BR$267-$BM$267)/5</f>
        <v>28.687032150691561</v>
      </c>
      <c r="BO267" s="281">
        <f>BN267+($BR$267-$BM$267)/5</f>
        <v>28.849450689524069</v>
      </c>
      <c r="BP267" s="281">
        <f>BO267+($BR$267-$BM$267)/5</f>
        <v>29.011869228356577</v>
      </c>
      <c r="BQ267" s="281">
        <f>BP267+($BR$267-$BM$267)/5</f>
        <v>29.174287767189085</v>
      </c>
      <c r="BR267" s="282">
        <f>BM267*$D$744</f>
        <v>29.336706306021593</v>
      </c>
    </row>
    <row r="268" spans="1:70" ht="13.8" thickBot="1" x14ac:dyDescent="0.3">
      <c r="A268" s="754" t="s">
        <v>477</v>
      </c>
      <c r="AA268" s="300">
        <v>11.227470397949199</v>
      </c>
      <c r="AB268" s="300">
        <v>11.517865180969199</v>
      </c>
      <c r="AC268" s="300">
        <v>11.5089683532715</v>
      </c>
      <c r="AD268" s="300">
        <v>11.7493782043457</v>
      </c>
    </row>
    <row r="269" spans="1:70" ht="13.8" thickBot="1" x14ac:dyDescent="0.3">
      <c r="A269" s="754" t="s">
        <v>606</v>
      </c>
      <c r="B269" s="756">
        <v>22.296371459960898</v>
      </c>
      <c r="C269" s="756">
        <v>25.0072345733643</v>
      </c>
      <c r="D269" s="756">
        <v>28.759458541870099</v>
      </c>
      <c r="E269" s="756">
        <v>21.685003280639599</v>
      </c>
      <c r="F269" s="756">
        <v>20.534326553344702</v>
      </c>
      <c r="G269" s="756">
        <v>22.796831130981399</v>
      </c>
      <c r="H269" s="756">
        <v>24.8035278320313</v>
      </c>
      <c r="I269" s="756">
        <v>26.570152282714801</v>
      </c>
      <c r="J269" s="756">
        <v>28.076972961425799</v>
      </c>
      <c r="K269" s="756">
        <v>29.693559646606399</v>
      </c>
      <c r="L269" s="756">
        <v>30.7330017089844</v>
      </c>
      <c r="M269" s="756">
        <v>31.595745086669901</v>
      </c>
      <c r="N269" s="756">
        <v>32.463813781738303</v>
      </c>
      <c r="O269" s="756">
        <v>32.853603363037102</v>
      </c>
      <c r="P269" s="756">
        <v>33.095050811767599</v>
      </c>
      <c r="Q269" s="756">
        <v>33.3141899108887</v>
      </c>
      <c r="R269" s="756">
        <v>33.425758361816399</v>
      </c>
      <c r="S269" s="756">
        <v>33.752655029296903</v>
      </c>
      <c r="T269" s="756">
        <v>33.878787994384801</v>
      </c>
      <c r="U269" s="756">
        <v>33.426109313964801</v>
      </c>
      <c r="V269" s="756">
        <v>33.692680358886697</v>
      </c>
      <c r="W269" s="756">
        <v>33.960933685302699</v>
      </c>
      <c r="X269" s="756">
        <v>34.291332244872997</v>
      </c>
      <c r="Y269" s="756">
        <v>34.467491149902301</v>
      </c>
      <c r="Z269" s="756">
        <v>34.819602966308601</v>
      </c>
      <c r="AA269" s="300">
        <v>16.025825500488299</v>
      </c>
      <c r="AB269" s="300">
        <v>16.333782196044901</v>
      </c>
      <c r="AC269" s="300">
        <v>16.2625331878662</v>
      </c>
      <c r="AD269" s="300">
        <v>16.470952987670898</v>
      </c>
      <c r="AE269" s="281">
        <f>AD269+($AI$269-$AD$269)/5</f>
        <v>17.380928094850553</v>
      </c>
      <c r="AF269" s="281">
        <f>AE269+($AI$269-$AD$269)/5</f>
        <v>18.290903202030208</v>
      </c>
      <c r="AG269" s="281">
        <f>AF269+($AI$269-$AD$269)/5</f>
        <v>19.200878309209862</v>
      </c>
      <c r="AH269" s="281">
        <f>AG269+($AI$269-$AD$269)/5</f>
        <v>20.110853416389517</v>
      </c>
      <c r="AI269" s="282">
        <f>T439*$E$744</f>
        <v>21.020828523569172</v>
      </c>
      <c r="AJ269" s="281">
        <f>AI269+($AX$269-$AI$269)/15</f>
        <v>21.243319601735415</v>
      </c>
      <c r="AK269" s="281">
        <f t="shared" ref="AK269:AW269" si="15">AJ269+($AX$269-$AI$269)/15</f>
        <v>21.465810679901658</v>
      </c>
      <c r="AL269" s="281">
        <f t="shared" si="15"/>
        <v>21.688301758067901</v>
      </c>
      <c r="AM269" s="281">
        <f t="shared" si="15"/>
        <v>21.910792836234144</v>
      </c>
      <c r="AN269" s="281">
        <f t="shared" si="15"/>
        <v>22.133283914400387</v>
      </c>
      <c r="AO269" s="281">
        <f t="shared" si="15"/>
        <v>22.35577499256663</v>
      </c>
      <c r="AP269" s="281">
        <f t="shared" si="15"/>
        <v>22.578266070732873</v>
      </c>
      <c r="AQ269" s="281">
        <f t="shared" si="15"/>
        <v>22.800757148899116</v>
      </c>
      <c r="AR269" s="281">
        <f t="shared" si="15"/>
        <v>23.023248227065359</v>
      </c>
      <c r="AS269" s="281">
        <f t="shared" si="15"/>
        <v>23.245739305231602</v>
      </c>
      <c r="AT269" s="281">
        <f t="shared" si="15"/>
        <v>23.468230383397845</v>
      </c>
      <c r="AU269" s="281">
        <f t="shared" si="15"/>
        <v>23.690721461564088</v>
      </c>
      <c r="AV269" s="281">
        <f t="shared" si="15"/>
        <v>23.913212539730331</v>
      </c>
      <c r="AW269" s="281">
        <f t="shared" si="15"/>
        <v>24.135703617896574</v>
      </c>
      <c r="AX269" s="282">
        <f>AI269*$B$744</f>
        <v>24.358194696062842</v>
      </c>
      <c r="AY269" s="281">
        <f>AX269+($BM$269-$AX$269)/15</f>
        <v>24.496889734844629</v>
      </c>
      <c r="AZ269" s="281">
        <f t="shared" ref="AZ269:BL269" si="16">AY269+($BM$269-$AX$269)/15</f>
        <v>24.635584773626416</v>
      </c>
      <c r="BA269" s="281">
        <f t="shared" si="16"/>
        <v>24.774279812408203</v>
      </c>
      <c r="BB269" s="281">
        <f t="shared" si="16"/>
        <v>24.91297485118999</v>
      </c>
      <c r="BC269" s="281">
        <f t="shared" si="16"/>
        <v>25.051669889971777</v>
      </c>
      <c r="BD269" s="281">
        <f t="shared" si="16"/>
        <v>25.190364928753564</v>
      </c>
      <c r="BE269" s="281">
        <f t="shared" si="16"/>
        <v>25.32905996753535</v>
      </c>
      <c r="BF269" s="281">
        <f t="shared" si="16"/>
        <v>25.467755006317137</v>
      </c>
      <c r="BG269" s="281">
        <f t="shared" si="16"/>
        <v>25.606450045098924</v>
      </c>
      <c r="BH269" s="281">
        <f t="shared" si="16"/>
        <v>25.745145083880711</v>
      </c>
      <c r="BI269" s="281">
        <f t="shared" si="16"/>
        <v>25.883840122662498</v>
      </c>
      <c r="BJ269" s="281">
        <f t="shared" si="16"/>
        <v>26.022535161444285</v>
      </c>
      <c r="BK269" s="281">
        <f t="shared" si="16"/>
        <v>26.161230200226072</v>
      </c>
      <c r="BL269" s="281">
        <f t="shared" si="16"/>
        <v>26.299925239007859</v>
      </c>
      <c r="BM269" s="282">
        <f>AX269*$C$744</f>
        <v>26.438620277789649</v>
      </c>
      <c r="BN269" s="281">
        <f>BM269+($BR$269-$BM$269)/5</f>
        <v>26.589161215265516</v>
      </c>
      <c r="BO269" s="281">
        <f>BN269+($BR$269-$BM$269)/5</f>
        <v>26.739702152741383</v>
      </c>
      <c r="BP269" s="281">
        <f>BO269+($BR$269-$BM$269)/5</f>
        <v>26.89024309021725</v>
      </c>
      <c r="BQ269" s="281">
        <f>BP269+($BR$269-$BM$269)/5</f>
        <v>27.040784027693118</v>
      </c>
      <c r="BR269" s="282">
        <f>BM269*$D$744</f>
        <v>27.191324965168981</v>
      </c>
    </row>
    <row r="270" spans="1:70" x14ac:dyDescent="0.25">
      <c r="A270" s="754" t="s">
        <v>607</v>
      </c>
      <c r="B270" s="756">
        <v>25.5142211914063</v>
      </c>
      <c r="C270" s="756">
        <v>26.818180084228501</v>
      </c>
      <c r="D270" s="756">
        <v>34.073703765869098</v>
      </c>
      <c r="E270" s="756">
        <v>20.3962516784668</v>
      </c>
      <c r="F270" s="756">
        <v>18.869060516357401</v>
      </c>
      <c r="G270" s="756">
        <v>22.499189376831101</v>
      </c>
      <c r="H270" s="756">
        <v>24.345371246337901</v>
      </c>
      <c r="I270" s="756">
        <v>25.8835773468018</v>
      </c>
      <c r="J270" s="756">
        <v>27.376197814941399</v>
      </c>
      <c r="K270" s="756">
        <v>25.5507621765137</v>
      </c>
      <c r="L270" s="756">
        <v>26.3307495117188</v>
      </c>
      <c r="M270" s="756">
        <v>27.042121887206999</v>
      </c>
      <c r="N270" s="756">
        <v>27.074653625488299</v>
      </c>
      <c r="O270" s="756">
        <v>28.861484527587901</v>
      </c>
      <c r="P270" s="756">
        <v>29.593324661254901</v>
      </c>
      <c r="Q270" s="756">
        <v>29.691083908081101</v>
      </c>
      <c r="R270" s="756">
        <v>29.8394565582275</v>
      </c>
      <c r="S270" s="756">
        <v>30.056737899780298</v>
      </c>
      <c r="T270" s="756">
        <v>30.123649597168001</v>
      </c>
      <c r="U270" s="756">
        <v>30.045396804809599</v>
      </c>
      <c r="V270" s="756">
        <v>30.335887908935501</v>
      </c>
      <c r="W270" s="756">
        <v>30.1821899414063</v>
      </c>
      <c r="X270" s="756">
        <v>30.567377090454102</v>
      </c>
      <c r="Y270" s="756">
        <v>31.227724075317401</v>
      </c>
      <c r="Z270" s="756">
        <v>30.935503005981399</v>
      </c>
      <c r="AA270" s="300">
        <v>8.1832656860351598</v>
      </c>
      <c r="AB270" s="300">
        <v>8.1197490692138707</v>
      </c>
      <c r="AC270" s="300">
        <v>8.3803300857543892</v>
      </c>
      <c r="AD270" s="300">
        <v>8.2735004425048793</v>
      </c>
    </row>
    <row r="271" spans="1:70" x14ac:dyDescent="0.25">
      <c r="A271" s="754" t="s">
        <v>608</v>
      </c>
      <c r="B271" s="756">
        <v>21.784559249877901</v>
      </c>
      <c r="C271" s="756">
        <v>22.982162475585898</v>
      </c>
      <c r="D271" s="756">
        <v>26.1744689941406</v>
      </c>
      <c r="E271" s="756">
        <v>15.6736001968384</v>
      </c>
      <c r="F271" s="756">
        <v>17.7131462097168</v>
      </c>
      <c r="G271" s="756">
        <v>20.6617527008057</v>
      </c>
      <c r="H271" s="756">
        <v>22.301433563232401</v>
      </c>
      <c r="I271" s="756">
        <v>23.517950057983398</v>
      </c>
      <c r="J271" s="756">
        <v>24.816135406494102</v>
      </c>
      <c r="K271" s="756">
        <v>26.137458801269499</v>
      </c>
      <c r="L271" s="756">
        <v>27.061580657958999</v>
      </c>
      <c r="M271" s="756">
        <v>27.993299484252901</v>
      </c>
      <c r="N271" s="756">
        <v>28.802474975585898</v>
      </c>
      <c r="O271" s="756">
        <v>29.411088943481399</v>
      </c>
      <c r="P271" s="756">
        <v>29.938217163085898</v>
      </c>
      <c r="Q271" s="756">
        <v>30.057752609252901</v>
      </c>
      <c r="R271" s="756">
        <v>30.3159790039063</v>
      </c>
      <c r="S271" s="756">
        <v>30.494945526123001</v>
      </c>
      <c r="T271" s="756">
        <v>30.528341293335</v>
      </c>
      <c r="U271" s="756">
        <v>30.4458103179932</v>
      </c>
      <c r="V271" s="756">
        <v>30.726751327514599</v>
      </c>
      <c r="W271" s="756">
        <v>30.704950332641602</v>
      </c>
      <c r="X271" s="756">
        <v>31.110511779785199</v>
      </c>
      <c r="Y271" s="756">
        <v>31.9617519378662</v>
      </c>
      <c r="Z271" s="756">
        <v>31.583656311035199</v>
      </c>
      <c r="AA271" s="300">
        <v>13.240598678588899</v>
      </c>
      <c r="AB271" s="300">
        <v>13.359972000122101</v>
      </c>
      <c r="AC271" s="300">
        <v>13.395259857177701</v>
      </c>
      <c r="AD271" s="300">
        <v>13.453570365905801</v>
      </c>
    </row>
    <row r="272" spans="1:70" x14ac:dyDescent="0.25">
      <c r="A272" s="754" t="s">
        <v>609</v>
      </c>
      <c r="B272" s="756">
        <v>15.2446508407593</v>
      </c>
      <c r="C272" s="756">
        <v>16.0964660644531</v>
      </c>
      <c r="D272" s="756">
        <v>22.1856594085693</v>
      </c>
      <c r="E272" s="756">
        <v>10.540905952453601</v>
      </c>
      <c r="F272" s="756">
        <v>10.4131317138672</v>
      </c>
      <c r="G272" s="756">
        <v>12.992267608642599</v>
      </c>
      <c r="H272" s="756">
        <v>14.8510446548462</v>
      </c>
      <c r="I272" s="756">
        <v>16.4927158355713</v>
      </c>
      <c r="J272" s="756">
        <v>17.888269424438501</v>
      </c>
      <c r="K272" s="756">
        <v>19.120731353759801</v>
      </c>
      <c r="L272" s="756">
        <v>20.025011062622099</v>
      </c>
      <c r="M272" s="756">
        <v>20.925888061523398</v>
      </c>
      <c r="N272" s="756">
        <v>21.650459289550799</v>
      </c>
      <c r="O272" s="756">
        <v>22.054113388061499</v>
      </c>
      <c r="P272" s="756">
        <v>22.358533859252901</v>
      </c>
      <c r="Q272" s="756">
        <v>22.535087585449201</v>
      </c>
      <c r="R272" s="756">
        <v>22.624557495117202</v>
      </c>
      <c r="S272" s="756">
        <v>22.875423431396499</v>
      </c>
      <c r="T272" s="756">
        <v>23.088819503784201</v>
      </c>
      <c r="U272" s="756">
        <v>22.878332138061499</v>
      </c>
      <c r="V272" s="756">
        <v>23.229129791259801</v>
      </c>
      <c r="W272" s="756">
        <v>23.440977096557599</v>
      </c>
      <c r="X272" s="756">
        <v>23.911849975585898</v>
      </c>
      <c r="Y272" s="756">
        <v>24.3618278503418</v>
      </c>
      <c r="Z272" s="756">
        <v>24.669164657592798</v>
      </c>
      <c r="AA272" s="300">
        <v>24.345100402831999</v>
      </c>
      <c r="AB272" s="300">
        <v>24.401657104492202</v>
      </c>
      <c r="AC272" s="300">
        <v>24.482112884521499</v>
      </c>
      <c r="AD272" s="300">
        <v>24.4609375</v>
      </c>
    </row>
    <row r="273" spans="1:70" x14ac:dyDescent="0.25">
      <c r="A273" s="754" t="s">
        <v>713</v>
      </c>
      <c r="B273" s="756">
        <v>20.2724208831787</v>
      </c>
      <c r="C273" s="756">
        <v>20.921422958373999</v>
      </c>
      <c r="D273" s="756">
        <v>27.066003799438501</v>
      </c>
      <c r="E273" s="756">
        <v>15.379162788391101</v>
      </c>
      <c r="F273" s="756">
        <v>14.6322994232178</v>
      </c>
      <c r="G273" s="756">
        <v>17.082887649536101</v>
      </c>
      <c r="H273" s="756">
        <v>18.906814575195298</v>
      </c>
      <c r="I273" s="756">
        <v>21.012025833129901</v>
      </c>
      <c r="J273" s="756">
        <v>22.391767501831101</v>
      </c>
      <c r="K273" s="756">
        <v>23.401908874511701</v>
      </c>
      <c r="L273" s="756">
        <v>24.249780654907202</v>
      </c>
      <c r="M273" s="756">
        <v>25.151100158691399</v>
      </c>
      <c r="N273" s="756">
        <v>25.830009460449201</v>
      </c>
      <c r="O273" s="756">
        <v>26.267305374145501</v>
      </c>
      <c r="P273" s="756">
        <v>26.5901203155518</v>
      </c>
      <c r="Q273" s="756">
        <v>26.487575531005898</v>
      </c>
      <c r="R273" s="756">
        <v>26.7318305969238</v>
      </c>
      <c r="S273" s="756">
        <v>26.979133605956999</v>
      </c>
      <c r="T273" s="756">
        <v>27.001283645629901</v>
      </c>
      <c r="U273" s="756">
        <v>26.997362136840799</v>
      </c>
      <c r="V273" s="756">
        <v>27.317785263061499</v>
      </c>
      <c r="W273" s="756">
        <v>27.182266235351602</v>
      </c>
      <c r="X273" s="756">
        <v>27.638069152831999</v>
      </c>
      <c r="Y273" s="756">
        <v>28.388862609863299</v>
      </c>
      <c r="Z273" s="756">
        <v>28.337171554565401</v>
      </c>
      <c r="AA273" s="300"/>
      <c r="AB273" s="300"/>
      <c r="AC273" s="300"/>
      <c r="AD273" s="300"/>
    </row>
    <row r="274" spans="1:70" x14ac:dyDescent="0.25">
      <c r="A274" s="754" t="s">
        <v>600</v>
      </c>
      <c r="B274" s="756">
        <v>8.20648097991943</v>
      </c>
      <c r="C274" s="756">
        <v>9.4357099533081108</v>
      </c>
      <c r="D274" s="756">
        <v>14.2847747802734</v>
      </c>
      <c r="E274" s="756">
        <v>6.3925981521606401</v>
      </c>
      <c r="F274" s="756">
        <v>6.5852246284484899</v>
      </c>
      <c r="G274" s="756">
        <v>8.6673641204834002</v>
      </c>
      <c r="H274" s="756">
        <v>10.3328533172607</v>
      </c>
      <c r="I274" s="756">
        <v>11.815202713012701</v>
      </c>
      <c r="J274" s="756">
        <v>13.023598670959499</v>
      </c>
      <c r="K274" s="756">
        <v>14.4141092300415</v>
      </c>
      <c r="L274" s="756">
        <v>15.219378471374499</v>
      </c>
      <c r="M274" s="756">
        <v>15.915946006774901</v>
      </c>
      <c r="N274" s="756">
        <v>16.592523574829102</v>
      </c>
      <c r="O274" s="756">
        <v>16.9536838531494</v>
      </c>
      <c r="P274" s="756">
        <v>17.162534713745099</v>
      </c>
      <c r="Q274" s="756">
        <v>17.429744720458999</v>
      </c>
      <c r="R274" s="756">
        <v>17.456914901733398</v>
      </c>
      <c r="S274" s="756">
        <v>17.5628662109375</v>
      </c>
      <c r="T274" s="756">
        <v>17.630765914916999</v>
      </c>
      <c r="U274" s="756">
        <v>17.410764694213899</v>
      </c>
      <c r="V274" s="756">
        <v>17.6028347015381</v>
      </c>
      <c r="W274" s="756">
        <v>17.926630020141602</v>
      </c>
      <c r="X274" s="756">
        <v>18.257143020629901</v>
      </c>
      <c r="Y274" s="756">
        <v>18.451654434204102</v>
      </c>
      <c r="Z274" s="756">
        <v>18.835027694702099</v>
      </c>
      <c r="AA274" s="300">
        <v>10.4858131408691</v>
      </c>
      <c r="AB274" s="300">
        <v>10.572740554809601</v>
      </c>
      <c r="AC274" s="300">
        <v>10.740042686462401</v>
      </c>
      <c r="AD274" s="300">
        <v>10.786236763000501</v>
      </c>
    </row>
    <row r="275" spans="1:70" ht="13.8" thickBot="1" x14ac:dyDescent="0.3">
      <c r="A275" s="754" t="s">
        <v>611</v>
      </c>
      <c r="B275" s="756">
        <v>15.5415086746216</v>
      </c>
      <c r="C275" s="756">
        <v>15.4958410263062</v>
      </c>
      <c r="D275" s="756">
        <v>16.8896675109863</v>
      </c>
      <c r="E275" s="756">
        <v>12.7877197265625</v>
      </c>
      <c r="F275" s="756">
        <v>13.502610206604</v>
      </c>
      <c r="G275" s="756">
        <v>13.8291311264038</v>
      </c>
      <c r="H275" s="756">
        <v>13.8390712738037</v>
      </c>
      <c r="I275" s="756">
        <v>13.843875885009799</v>
      </c>
      <c r="J275" s="756">
        <v>13.934069633483899</v>
      </c>
      <c r="K275" s="756">
        <v>14.0993509292603</v>
      </c>
      <c r="L275" s="756">
        <v>14.229956626892101</v>
      </c>
      <c r="M275" s="756">
        <v>14.3684740066528</v>
      </c>
      <c r="N275" s="756">
        <v>14.5119123458862</v>
      </c>
      <c r="O275" s="756">
        <v>14.701403617858899</v>
      </c>
      <c r="P275" s="756">
        <v>14.9462375640869</v>
      </c>
      <c r="Q275" s="756">
        <v>15.0934410095215</v>
      </c>
      <c r="R275" s="756">
        <v>15.092455863952599</v>
      </c>
      <c r="S275" s="756">
        <v>14.8220539093018</v>
      </c>
      <c r="T275" s="756">
        <v>14.7596139907837</v>
      </c>
      <c r="U275" s="756">
        <v>14.661186218261699</v>
      </c>
      <c r="V275" s="756">
        <v>14.786495208740201</v>
      </c>
      <c r="W275" s="756">
        <v>15.012266159057599</v>
      </c>
      <c r="X275" s="756">
        <v>15.2852840423584</v>
      </c>
      <c r="Y275" s="756">
        <v>15.4684591293335</v>
      </c>
      <c r="Z275" s="756">
        <v>15.6974124908447</v>
      </c>
      <c r="AA275" s="300">
        <v>6.7344188690185502</v>
      </c>
      <c r="AB275" s="300">
        <v>6.7479009628295898</v>
      </c>
      <c r="AC275" s="300">
        <v>6.8497943878173801</v>
      </c>
      <c r="AD275" s="300">
        <v>6.84698486328125</v>
      </c>
    </row>
    <row r="276" spans="1:70" ht="13.8" thickBot="1" x14ac:dyDescent="0.3">
      <c r="A276" s="754" t="s">
        <v>469</v>
      </c>
      <c r="B276" s="756">
        <v>30.349004745483398</v>
      </c>
      <c r="C276" s="756">
        <v>30.777971267700199</v>
      </c>
      <c r="D276" s="756">
        <v>33.734138488769503</v>
      </c>
      <c r="E276" s="756">
        <v>31.501590728759801</v>
      </c>
      <c r="F276" s="756">
        <v>27.327030181884801</v>
      </c>
      <c r="G276" s="756">
        <v>28.561843872070298</v>
      </c>
      <c r="H276" s="756">
        <v>28.965305328369102</v>
      </c>
      <c r="I276" s="756">
        <v>28.9159030914307</v>
      </c>
      <c r="J276" s="756">
        <v>28.7644939422607</v>
      </c>
      <c r="K276" s="756">
        <v>28.526710510253899</v>
      </c>
      <c r="L276" s="756">
        <v>28.644361495971701</v>
      </c>
      <c r="M276" s="756">
        <v>28.6527919769287</v>
      </c>
      <c r="N276" s="756">
        <v>28.819505691528299</v>
      </c>
      <c r="O276" s="756">
        <v>28.888120651245099</v>
      </c>
      <c r="P276" s="756">
        <v>29.142557144165</v>
      </c>
      <c r="Q276" s="756">
        <v>29.470201492309599</v>
      </c>
      <c r="R276" s="756">
        <v>29.764074325561499</v>
      </c>
      <c r="S276" s="756">
        <v>29.801677703857401</v>
      </c>
      <c r="T276" s="756">
        <v>29.921939849853501</v>
      </c>
      <c r="U276" s="756">
        <v>30.035243988037099</v>
      </c>
      <c r="V276" s="756">
        <v>30.304817199706999</v>
      </c>
      <c r="W276" s="756">
        <v>30.8045558929443</v>
      </c>
      <c r="X276" s="756">
        <v>31.450147628784201</v>
      </c>
      <c r="Y276" s="756">
        <v>31.910936355590799</v>
      </c>
      <c r="Z276" s="756">
        <v>32.484222412109403</v>
      </c>
      <c r="AA276" s="300">
        <v>6.1479806900024396</v>
      </c>
      <c r="AB276" s="300">
        <v>6.2516684532165501</v>
      </c>
      <c r="AC276" s="300">
        <v>6.3134694099426296</v>
      </c>
      <c r="AD276" s="300">
        <v>6.3304243087768599</v>
      </c>
      <c r="AE276" s="277">
        <f>AD276+($AI$276-$AD$276)/5</f>
        <v>6.3370805697154289</v>
      </c>
      <c r="AF276" s="277">
        <f>AE276+($AI$276-$AD$276)/5</f>
        <v>6.3437368306539978</v>
      </c>
      <c r="AG276" s="277">
        <f>AF276+($AI$276-$AD$276)/5</f>
        <v>6.3503930915925668</v>
      </c>
      <c r="AH276" s="277">
        <f>AG276+($AI$276-$AD$276)/5</f>
        <v>6.3570493525311358</v>
      </c>
      <c r="AI276" s="278">
        <f>T446*$E$742</f>
        <v>6.363705613469703</v>
      </c>
      <c r="AJ276" s="277">
        <f>AI276+($AX$276-$AI$276)/15</f>
        <v>6.4357380850865695</v>
      </c>
      <c r="AK276" s="277">
        <f t="shared" ref="AK276:AW276" si="17">AJ276+($AX$276-$AI$276)/15</f>
        <v>6.5077705567034361</v>
      </c>
      <c r="AL276" s="277">
        <f t="shared" si="17"/>
        <v>6.5798030283203026</v>
      </c>
      <c r="AM276" s="277">
        <f t="shared" si="17"/>
        <v>6.6518354999371692</v>
      </c>
      <c r="AN276" s="277">
        <f t="shared" si="17"/>
        <v>6.7238679715540357</v>
      </c>
      <c r="AO276" s="277">
        <f t="shared" si="17"/>
        <v>6.7959004431709022</v>
      </c>
      <c r="AP276" s="277">
        <f t="shared" si="17"/>
        <v>6.8679329147877688</v>
      </c>
      <c r="AQ276" s="277">
        <f t="shared" si="17"/>
        <v>6.9399653864046353</v>
      </c>
      <c r="AR276" s="277">
        <f t="shared" si="17"/>
        <v>7.0119978580215019</v>
      </c>
      <c r="AS276" s="277">
        <f t="shared" si="17"/>
        <v>7.0840303296383684</v>
      </c>
      <c r="AT276" s="277">
        <f t="shared" si="17"/>
        <v>7.156062801255235</v>
      </c>
      <c r="AU276" s="277">
        <f t="shared" si="17"/>
        <v>7.2280952728721015</v>
      </c>
      <c r="AV276" s="277">
        <f t="shared" si="17"/>
        <v>7.3001277444889681</v>
      </c>
      <c r="AW276" s="277">
        <f t="shared" si="17"/>
        <v>7.3721602161058346</v>
      </c>
      <c r="AX276" s="278">
        <f>AI276*$B$742</f>
        <v>7.4441926877227056</v>
      </c>
      <c r="AY276" s="277">
        <f>AX276+($BM$276-$AX$276)/15</f>
        <v>7.51790324705948</v>
      </c>
      <c r="AZ276" s="277">
        <f t="shared" ref="AZ276:BL276" si="18">AY276+($BM$276-$AX$276)/15</f>
        <v>7.5916138063962544</v>
      </c>
      <c r="BA276" s="277">
        <f t="shared" si="18"/>
        <v>7.6653243657330288</v>
      </c>
      <c r="BB276" s="277">
        <f t="shared" si="18"/>
        <v>7.7390349250698032</v>
      </c>
      <c r="BC276" s="277">
        <f t="shared" si="18"/>
        <v>7.8127454844065776</v>
      </c>
      <c r="BD276" s="277">
        <f t="shared" si="18"/>
        <v>7.886456043743352</v>
      </c>
      <c r="BE276" s="277">
        <f t="shared" si="18"/>
        <v>7.9601666030801264</v>
      </c>
      <c r="BF276" s="277">
        <f t="shared" si="18"/>
        <v>8.0338771624169016</v>
      </c>
      <c r="BG276" s="277">
        <f t="shared" si="18"/>
        <v>8.107587721753676</v>
      </c>
      <c r="BH276" s="277">
        <f t="shared" si="18"/>
        <v>8.1812982810904504</v>
      </c>
      <c r="BI276" s="277">
        <f t="shared" si="18"/>
        <v>8.2550088404272248</v>
      </c>
      <c r="BJ276" s="277">
        <f t="shared" si="18"/>
        <v>8.3287193997639992</v>
      </c>
      <c r="BK276" s="277">
        <f t="shared" si="18"/>
        <v>8.4024299591007736</v>
      </c>
      <c r="BL276" s="277">
        <f t="shared" si="18"/>
        <v>8.476140518437548</v>
      </c>
      <c r="BM276" s="278">
        <f>AX276*$C$742</f>
        <v>8.5498510777743242</v>
      </c>
      <c r="BN276" s="277">
        <f>BM276+($BR$276-$BM$276)/5</f>
        <v>8.6345095936975138</v>
      </c>
      <c r="BO276" s="277">
        <f>BN276+($BR$276-$BM$276)/5</f>
        <v>8.7191681096207034</v>
      </c>
      <c r="BP276" s="277">
        <f>BO276+($BR$276-$BM$276)/5</f>
        <v>8.8038266255438931</v>
      </c>
      <c r="BQ276" s="277">
        <f>BP276+($BR$276-$BM$276)/5</f>
        <v>8.8884851414670827</v>
      </c>
      <c r="BR276" s="278">
        <f>BM276*$D$742</f>
        <v>8.9731436573902759</v>
      </c>
    </row>
    <row r="277" spans="1:70" ht="13.8" thickBot="1" x14ac:dyDescent="0.3">
      <c r="AA277" s="300">
        <v>1.65011918544769</v>
      </c>
      <c r="AB277" s="300">
        <v>1.6656291484832799</v>
      </c>
      <c r="AC277" s="300">
        <v>1.67491066455841</v>
      </c>
      <c r="AD277" s="300">
        <v>1.68971908092499</v>
      </c>
      <c r="AE277" s="285">
        <f>AD277+($AI$277-$AD$277)/5</f>
        <v>1.6902380098146863</v>
      </c>
      <c r="AF277" s="285">
        <f>AE277+($AI$277-$AD$277)/5</f>
        <v>1.6907569387043826</v>
      </c>
      <c r="AG277" s="285">
        <f>AF277+($AI$277-$AD$277)/5</f>
        <v>1.6912758675940789</v>
      </c>
      <c r="AH277" s="285">
        <f>AG277+($AI$277-$AD$277)/5</f>
        <v>1.6917947964837752</v>
      </c>
      <c r="AI277" s="286">
        <f>T447*$E$740</f>
        <v>1.692313725373471</v>
      </c>
      <c r="AJ277" s="285">
        <f>AI277+($AX$277-$AI$277)/15</f>
        <v>1.6972753042285647</v>
      </c>
      <c r="AK277" s="285">
        <f t="shared" ref="AK277:AW277" si="19">AJ277+($AX$277-$AI$277)/15</f>
        <v>1.7022368830836583</v>
      </c>
      <c r="AL277" s="285">
        <f t="shared" si="19"/>
        <v>1.7071984619387519</v>
      </c>
      <c r="AM277" s="285">
        <f t="shared" si="19"/>
        <v>1.7121600407938455</v>
      </c>
      <c r="AN277" s="285">
        <f t="shared" si="19"/>
        <v>1.7171216196489392</v>
      </c>
      <c r="AO277" s="285">
        <f t="shared" si="19"/>
        <v>1.7220831985040328</v>
      </c>
      <c r="AP277" s="285">
        <f t="shared" si="19"/>
        <v>1.7270447773591264</v>
      </c>
      <c r="AQ277" s="285">
        <f t="shared" si="19"/>
        <v>1.7320063562142201</v>
      </c>
      <c r="AR277" s="285">
        <f t="shared" si="19"/>
        <v>1.7369679350693137</v>
      </c>
      <c r="AS277" s="285">
        <f t="shared" si="19"/>
        <v>1.7419295139244073</v>
      </c>
      <c r="AT277" s="285">
        <f t="shared" si="19"/>
        <v>1.7468910927795009</v>
      </c>
      <c r="AU277" s="285">
        <f t="shared" si="19"/>
        <v>1.7518526716345946</v>
      </c>
      <c r="AV277" s="285">
        <f t="shared" si="19"/>
        <v>1.7568142504896882</v>
      </c>
      <c r="AW277" s="285">
        <f t="shared" si="19"/>
        <v>1.7617758293447818</v>
      </c>
      <c r="AX277" s="286">
        <f>AI277*$B$740</f>
        <v>1.7667374081998766</v>
      </c>
      <c r="AY277" s="285">
        <f>AX277+($BM$277-$AX$277)/15</f>
        <v>1.7700881577207939</v>
      </c>
      <c r="AZ277" s="285">
        <f t="shared" ref="AZ277:BL277" si="20">AY277+($BM$277-$AX$277)/15</f>
        <v>1.7734389072417112</v>
      </c>
      <c r="BA277" s="285">
        <f t="shared" si="20"/>
        <v>1.7767896567626285</v>
      </c>
      <c r="BB277" s="285">
        <f t="shared" si="20"/>
        <v>1.7801404062835458</v>
      </c>
      <c r="BC277" s="285">
        <f t="shared" si="20"/>
        <v>1.783491155804463</v>
      </c>
      <c r="BD277" s="285">
        <f t="shared" si="20"/>
        <v>1.7868419053253803</v>
      </c>
      <c r="BE277" s="285">
        <f t="shared" si="20"/>
        <v>1.7901926548462976</v>
      </c>
      <c r="BF277" s="285">
        <f t="shared" si="20"/>
        <v>1.7935434043672149</v>
      </c>
      <c r="BG277" s="285">
        <f t="shared" si="20"/>
        <v>1.7968941538881322</v>
      </c>
      <c r="BH277" s="285">
        <f t="shared" si="20"/>
        <v>1.8002449034090495</v>
      </c>
      <c r="BI277" s="285">
        <f t="shared" si="20"/>
        <v>1.8035956529299668</v>
      </c>
      <c r="BJ277" s="285">
        <f t="shared" si="20"/>
        <v>1.8069464024508841</v>
      </c>
      <c r="BK277" s="285">
        <f t="shared" si="20"/>
        <v>1.8102971519718014</v>
      </c>
      <c r="BL277" s="285">
        <f t="shared" si="20"/>
        <v>1.8136479014927187</v>
      </c>
      <c r="BM277" s="286">
        <f>AX277*$C$740</f>
        <v>1.8169986510136373</v>
      </c>
      <c r="BN277" s="285">
        <f>BM277+($BR$277-$BM$277)/5</f>
        <v>1.8204447247375162</v>
      </c>
      <c r="BO277" s="285">
        <f>BN277+($BR$277-$BM$277)/5</f>
        <v>1.823890798461395</v>
      </c>
      <c r="BP277" s="285">
        <f>BO277+($BR$277-$BM$277)/5</f>
        <v>1.8273368721852739</v>
      </c>
      <c r="BQ277" s="285">
        <f>BP277+($BR$277-$BM$277)/5</f>
        <v>1.8307829459091527</v>
      </c>
      <c r="BR277" s="286">
        <f>BM277*$D$740</f>
        <v>1.8342290196330318</v>
      </c>
    </row>
    <row r="278" spans="1:70" x14ac:dyDescent="0.25">
      <c r="A278" s="754" t="s">
        <v>612</v>
      </c>
      <c r="AA278" s="300"/>
      <c r="AB278" s="300"/>
      <c r="AC278" s="300"/>
      <c r="AD278" s="300"/>
    </row>
    <row r="279" spans="1:70" x14ac:dyDescent="0.25">
      <c r="A279" s="754" t="s">
        <v>599</v>
      </c>
      <c r="B279" s="756">
        <v>13.773189544677701</v>
      </c>
      <c r="C279" s="756">
        <v>14.7725219726563</v>
      </c>
      <c r="D279" s="756">
        <v>19.176651000976602</v>
      </c>
      <c r="E279" s="756">
        <v>12.4995737075806</v>
      </c>
      <c r="F279" s="756">
        <v>9.7914295196533203</v>
      </c>
      <c r="G279" s="756">
        <v>12.0805196762085</v>
      </c>
      <c r="H279" s="756">
        <v>13.8671321868896</v>
      </c>
      <c r="I279" s="756">
        <v>15.216549873352101</v>
      </c>
      <c r="J279" s="756">
        <v>16.469785690307599</v>
      </c>
      <c r="K279" s="756">
        <v>17.9636936187744</v>
      </c>
      <c r="L279" s="756">
        <v>18.832237243652301</v>
      </c>
      <c r="M279" s="756">
        <v>19.641151428222699</v>
      </c>
      <c r="N279" s="756">
        <v>20.348432540893601</v>
      </c>
      <c r="O279" s="756">
        <v>20.710233688354499</v>
      </c>
      <c r="P279" s="756">
        <v>20.980741500854499</v>
      </c>
      <c r="Q279" s="756">
        <v>21.161005020141602</v>
      </c>
      <c r="R279" s="756">
        <v>21.2950553894043</v>
      </c>
      <c r="S279" s="756">
        <v>21.596014022827099</v>
      </c>
      <c r="T279" s="756">
        <v>21.884708404541001</v>
      </c>
      <c r="U279" s="756">
        <v>21.582948684692401</v>
      </c>
      <c r="V279" s="756">
        <v>21.8727416992188</v>
      </c>
      <c r="W279" s="756">
        <v>22.200710296630898</v>
      </c>
      <c r="X279" s="756">
        <v>22.548530578613299</v>
      </c>
      <c r="Y279" s="756">
        <v>22.812198638916001</v>
      </c>
      <c r="Z279" s="756">
        <v>23.2114353179932</v>
      </c>
      <c r="AA279" s="300">
        <v>18.0768718719482</v>
      </c>
      <c r="AB279" s="300">
        <v>18.184886932373001</v>
      </c>
      <c r="AC279" s="300">
        <v>18.263076782226602</v>
      </c>
      <c r="AD279" s="300">
        <v>18.304286956787099</v>
      </c>
    </row>
    <row r="280" spans="1:70" x14ac:dyDescent="0.25">
      <c r="A280" s="754" t="s">
        <v>600</v>
      </c>
      <c r="B280" s="756">
        <v>8.3781757354736293</v>
      </c>
      <c r="C280" s="756">
        <v>8.5664386749267596</v>
      </c>
      <c r="D280" s="756">
        <v>14.309384346008301</v>
      </c>
      <c r="E280" s="756">
        <v>6.51324510574341</v>
      </c>
      <c r="F280" s="756">
        <v>6.6763448715209996</v>
      </c>
      <c r="G280" s="756">
        <v>9.3123388290405291</v>
      </c>
      <c r="H280" s="756">
        <v>10.994701385498001</v>
      </c>
      <c r="I280" s="756">
        <v>12.5300750732422</v>
      </c>
      <c r="J280" s="756">
        <v>13.7526693344116</v>
      </c>
      <c r="K280" s="756">
        <v>15.155575752258301</v>
      </c>
      <c r="L280" s="756">
        <v>15.963142395019499</v>
      </c>
      <c r="M280" s="756">
        <v>16.617677688598601</v>
      </c>
      <c r="N280" s="756">
        <v>17.274333953857401</v>
      </c>
      <c r="O280" s="756">
        <v>17.322587966918899</v>
      </c>
      <c r="P280" s="756">
        <v>17.542411804199201</v>
      </c>
      <c r="Q280" s="756">
        <v>17.799869537353501</v>
      </c>
      <c r="R280" s="756">
        <v>17.916141510009801</v>
      </c>
      <c r="S280" s="756">
        <v>18.075910568237301</v>
      </c>
      <c r="T280" s="756">
        <v>18.1613368988037</v>
      </c>
      <c r="U280" s="756">
        <v>17.935956954956101</v>
      </c>
      <c r="V280" s="756">
        <v>18.128087997436499</v>
      </c>
      <c r="W280" s="756">
        <v>18.400978088378899</v>
      </c>
      <c r="X280" s="756">
        <v>18.7218933105469</v>
      </c>
      <c r="Y280" s="756">
        <v>18.9085083007813</v>
      </c>
      <c r="Z280" s="756">
        <v>19.247135162353501</v>
      </c>
      <c r="AA280" s="300">
        <v>21.3195495605469</v>
      </c>
      <c r="AB280" s="300">
        <v>21.43874168396</v>
      </c>
      <c r="AC280" s="300">
        <v>21.398374557495099</v>
      </c>
      <c r="AD280" s="300">
        <v>21.4992275238037</v>
      </c>
    </row>
    <row r="281" spans="1:70" x14ac:dyDescent="0.25">
      <c r="A281" s="754" t="s">
        <v>500</v>
      </c>
      <c r="B281" s="756">
        <v>7.0546379089355504</v>
      </c>
      <c r="C281" s="756">
        <v>7.0191597938537598</v>
      </c>
      <c r="D281" s="756">
        <v>8.8716125488281303</v>
      </c>
      <c r="E281" s="756">
        <v>4.5556221008300799</v>
      </c>
      <c r="F281" s="756">
        <v>5.1293134689331099</v>
      </c>
      <c r="G281" s="756">
        <v>5.4535460472106898</v>
      </c>
      <c r="H281" s="756">
        <v>5.5187635421752903</v>
      </c>
      <c r="I281" s="756">
        <v>5.53977298736572</v>
      </c>
      <c r="J281" s="756">
        <v>5.6835036277770996</v>
      </c>
      <c r="K281" s="756">
        <v>5.8920464515686</v>
      </c>
      <c r="L281" s="756">
        <v>6.0819325447082502</v>
      </c>
      <c r="M281" s="756">
        <v>6.2693996429443404</v>
      </c>
      <c r="N281" s="756">
        <v>6.4775133132934597</v>
      </c>
      <c r="O281" s="756">
        <v>6.7354197502136204</v>
      </c>
      <c r="P281" s="756">
        <v>7.0278439521789604</v>
      </c>
      <c r="Q281" s="756">
        <v>7.2539091110229501</v>
      </c>
      <c r="R281" s="756">
        <v>7.3283839225768999</v>
      </c>
      <c r="S281" s="756">
        <v>7.1506276130676296</v>
      </c>
      <c r="T281" s="756">
        <v>7.1924118995666504</v>
      </c>
      <c r="U281" s="756">
        <v>7.1398839950561497</v>
      </c>
      <c r="V281" s="756">
        <v>7.2806253433227504</v>
      </c>
      <c r="W281" s="756">
        <v>7.5354790687561</v>
      </c>
      <c r="X281" s="756">
        <v>7.8600792884826696</v>
      </c>
      <c r="Y281" s="756">
        <v>8.0742120742797905</v>
      </c>
      <c r="Z281" s="756">
        <v>8.3395175933837908</v>
      </c>
      <c r="AA281" s="300">
        <v>17.291141510009801</v>
      </c>
      <c r="AB281" s="300">
        <v>17.529483795166001</v>
      </c>
      <c r="AC281" s="300">
        <v>17.525184631347699</v>
      </c>
      <c r="AD281" s="300">
        <v>17.7543029785156</v>
      </c>
    </row>
    <row r="282" spans="1:70" x14ac:dyDescent="0.25">
      <c r="A282" s="754" t="s">
        <v>613</v>
      </c>
      <c r="B282" s="756">
        <v>1.7355252504348799</v>
      </c>
      <c r="C282" s="756">
        <v>1.7800002098083501</v>
      </c>
      <c r="D282" s="756">
        <v>1.9310736656189</v>
      </c>
      <c r="E282" s="756">
        <v>1.98230564594269</v>
      </c>
      <c r="F282" s="756">
        <v>1.86225914955139</v>
      </c>
      <c r="G282" s="756">
        <v>1.87335216999054</v>
      </c>
      <c r="H282" s="756">
        <v>1.85759365558624</v>
      </c>
      <c r="I282" s="756">
        <v>1.8817487955093399</v>
      </c>
      <c r="J282" s="756">
        <v>1.9043176174163801</v>
      </c>
      <c r="K282" s="756">
        <v>1.90719401836395</v>
      </c>
      <c r="L282" s="756">
        <v>1.9170492887496899</v>
      </c>
      <c r="M282" s="756">
        <v>1.9259506464004501</v>
      </c>
      <c r="N282" s="756">
        <v>1.94080138206482</v>
      </c>
      <c r="O282" s="756">
        <v>1.94636797904968</v>
      </c>
      <c r="P282" s="756">
        <v>1.9562891721725499</v>
      </c>
      <c r="Q282" s="756">
        <v>1.9622501134872401</v>
      </c>
      <c r="R282" s="756">
        <v>1.9753552675247199</v>
      </c>
      <c r="S282" s="756">
        <v>1.9811542034149201</v>
      </c>
      <c r="T282" s="756">
        <v>1.98549652099609</v>
      </c>
      <c r="U282" s="756">
        <v>1.9898830652236901</v>
      </c>
      <c r="V282" s="756">
        <v>1.99634909629822</v>
      </c>
      <c r="W282" s="756">
        <v>2.00744533538818</v>
      </c>
      <c r="X282" s="756">
        <v>2.0202190876007098</v>
      </c>
      <c r="Y282" s="756">
        <v>2.0336120128631601</v>
      </c>
      <c r="Z282" s="756">
        <v>2.0445194244384801</v>
      </c>
      <c r="AA282" s="300">
        <v>11.227470397949199</v>
      </c>
      <c r="AB282" s="300">
        <v>11.517865180969199</v>
      </c>
      <c r="AC282" s="300">
        <v>11.5089683532715</v>
      </c>
      <c r="AD282" s="300">
        <v>11.7493782043457</v>
      </c>
    </row>
    <row r="283" spans="1:70" x14ac:dyDescent="0.25">
      <c r="AA283" s="300">
        <v>15.2353620529175</v>
      </c>
      <c r="AB283" s="300">
        <v>15.5302953720093</v>
      </c>
      <c r="AC283" s="300">
        <v>15.500846862793001</v>
      </c>
      <c r="AD283" s="300">
        <v>15.7047281265259</v>
      </c>
    </row>
    <row r="284" spans="1:70" x14ac:dyDescent="0.25">
      <c r="A284" s="754" t="s">
        <v>614</v>
      </c>
      <c r="AA284" s="300">
        <v>7.7013258934020996</v>
      </c>
      <c r="AB284" s="300">
        <v>7.6767330169677699</v>
      </c>
      <c r="AC284" s="300">
        <v>7.8322434425354004</v>
      </c>
      <c r="AD284" s="300">
        <v>7.7872447967529297</v>
      </c>
    </row>
    <row r="285" spans="1:70" x14ac:dyDescent="0.25">
      <c r="A285" s="754" t="s">
        <v>598</v>
      </c>
      <c r="B285" s="756">
        <v>15.657142639160201</v>
      </c>
      <c r="C285" s="756">
        <v>18.5313529968262</v>
      </c>
      <c r="D285" s="756">
        <v>19.701341629028299</v>
      </c>
      <c r="E285" s="756">
        <v>16.4090671539307</v>
      </c>
      <c r="F285" s="756">
        <v>16.297544479370099</v>
      </c>
      <c r="G285" s="756">
        <v>18.4262371063232</v>
      </c>
      <c r="H285" s="756">
        <v>20.2184352874756</v>
      </c>
      <c r="I285" s="756">
        <v>21.813219070434599</v>
      </c>
      <c r="J285" s="756">
        <v>23.252103805541999</v>
      </c>
      <c r="K285" s="756">
        <v>24.811630249023398</v>
      </c>
      <c r="L285" s="756">
        <v>25.812454223632798</v>
      </c>
      <c r="M285" s="756">
        <v>26.627546310424801</v>
      </c>
      <c r="N285" s="756">
        <v>27.460300445556602</v>
      </c>
      <c r="O285" s="756">
        <v>27.8579425811768</v>
      </c>
      <c r="P285" s="756">
        <v>28.113265991210898</v>
      </c>
      <c r="Q285" s="756">
        <v>28.325565338134801</v>
      </c>
      <c r="R285" s="756">
        <v>28.4571437835693</v>
      </c>
      <c r="S285" s="756">
        <v>28.7732944488525</v>
      </c>
      <c r="T285" s="756">
        <v>28.920036315918001</v>
      </c>
      <c r="U285" s="756">
        <v>28.525373458862301</v>
      </c>
      <c r="V285" s="756">
        <v>28.814060211181602</v>
      </c>
      <c r="W285" s="756">
        <v>29.1242790222168</v>
      </c>
      <c r="X285" s="756">
        <v>29.486963272094702</v>
      </c>
      <c r="Y285" s="756">
        <v>29.629682540893601</v>
      </c>
      <c r="Z285" s="756">
        <v>30.0484523773193</v>
      </c>
      <c r="AA285" s="300">
        <v>7.8213167190551802</v>
      </c>
      <c r="AB285" s="300">
        <v>7.9383788108825701</v>
      </c>
      <c r="AC285" s="300">
        <v>8.0273618698120099</v>
      </c>
      <c r="AD285" s="300">
        <v>8.0851049423217791</v>
      </c>
    </row>
    <row r="286" spans="1:70" x14ac:dyDescent="0.25">
      <c r="A286" s="754" t="s">
        <v>607</v>
      </c>
      <c r="B286" s="756">
        <v>25.5142211914063</v>
      </c>
      <c r="C286" s="756">
        <v>26.818180084228501</v>
      </c>
      <c r="D286" s="756">
        <v>34.073703765869098</v>
      </c>
      <c r="E286" s="756">
        <v>20.3962516784668</v>
      </c>
      <c r="F286" s="756">
        <v>18.869060516357401</v>
      </c>
      <c r="G286" s="756">
        <v>22.499189376831101</v>
      </c>
      <c r="H286" s="756">
        <v>24.345371246337901</v>
      </c>
      <c r="I286" s="756">
        <v>25.8835773468018</v>
      </c>
      <c r="J286" s="756">
        <v>27.376197814941399</v>
      </c>
      <c r="K286" s="756">
        <v>25.5507621765137</v>
      </c>
      <c r="L286" s="756">
        <v>26.3307495117188</v>
      </c>
      <c r="M286" s="756">
        <v>27.042121887206999</v>
      </c>
      <c r="N286" s="756">
        <v>27.074653625488299</v>
      </c>
      <c r="O286" s="756">
        <v>28.861484527587901</v>
      </c>
      <c r="P286" s="756">
        <v>29.593324661254901</v>
      </c>
      <c r="Q286" s="756">
        <v>29.691083908081101</v>
      </c>
      <c r="R286" s="756">
        <v>29.8394565582275</v>
      </c>
      <c r="S286" s="756">
        <v>30.056737899780298</v>
      </c>
      <c r="T286" s="756">
        <v>30.123649597168001</v>
      </c>
      <c r="U286" s="756">
        <v>30.045396804809599</v>
      </c>
      <c r="V286" s="756">
        <v>30.335887908935501</v>
      </c>
      <c r="W286" s="756">
        <v>30.1821899414063</v>
      </c>
      <c r="X286" s="756">
        <v>30.567377090454102</v>
      </c>
      <c r="Y286" s="756">
        <v>31.227724075317401</v>
      </c>
      <c r="Z286" s="756">
        <v>30.935503005981399</v>
      </c>
      <c r="AA286" s="300">
        <v>2.7168338298797599</v>
      </c>
      <c r="AB286" s="300">
        <v>2.7307398319244398</v>
      </c>
      <c r="AC286" s="300">
        <v>2.7413196563720699</v>
      </c>
      <c r="AD286" s="300">
        <v>2.7546591758728001</v>
      </c>
    </row>
    <row r="287" spans="1:70" x14ac:dyDescent="0.25">
      <c r="A287" s="754" t="s">
        <v>608</v>
      </c>
      <c r="B287" s="756">
        <v>21.649000167846701</v>
      </c>
      <c r="C287" s="756">
        <v>22.8191947937012</v>
      </c>
      <c r="D287" s="756">
        <v>26.0107421875</v>
      </c>
      <c r="E287" s="756">
        <v>15.8019914627075</v>
      </c>
      <c r="F287" s="756">
        <v>17.711067199706999</v>
      </c>
      <c r="G287" s="756">
        <v>20.6589241027832</v>
      </c>
      <c r="H287" s="756">
        <v>22.298402786254901</v>
      </c>
      <c r="I287" s="756">
        <v>23.5152263641357</v>
      </c>
      <c r="J287" s="756">
        <v>24.813198089599599</v>
      </c>
      <c r="K287" s="756">
        <v>26.134485244751001</v>
      </c>
      <c r="L287" s="756">
        <v>27.0586547851563</v>
      </c>
      <c r="M287" s="756">
        <v>27.9900207519531</v>
      </c>
      <c r="N287" s="756">
        <v>28.799554824829102</v>
      </c>
      <c r="O287" s="756">
        <v>29.408401489257798</v>
      </c>
      <c r="P287" s="756">
        <v>29.935087203979499</v>
      </c>
      <c r="Q287" s="756">
        <v>30.054672241210898</v>
      </c>
      <c r="R287" s="756">
        <v>30.314332962036101</v>
      </c>
      <c r="S287" s="756">
        <v>30.492042541503899</v>
      </c>
      <c r="T287" s="756">
        <v>30.525100708007798</v>
      </c>
      <c r="U287" s="756">
        <v>30.442491531372099</v>
      </c>
      <c r="V287" s="756">
        <v>30.723676681518601</v>
      </c>
      <c r="W287" s="756">
        <v>30.701581954956101</v>
      </c>
      <c r="X287" s="756">
        <v>31.107343673706101</v>
      </c>
      <c r="Y287" s="756">
        <v>31.957983016967798</v>
      </c>
      <c r="Z287" s="756">
        <v>31.580909729003899</v>
      </c>
      <c r="AA287" s="300">
        <v>1.67883205413818</v>
      </c>
      <c r="AB287" s="300">
        <v>1.6938681602478001</v>
      </c>
      <c r="AC287" s="300">
        <v>1.7024568319320701</v>
      </c>
      <c r="AD287" s="300">
        <v>1.71655297279358</v>
      </c>
    </row>
    <row r="288" spans="1:70" x14ac:dyDescent="0.25">
      <c r="A288" s="754" t="s">
        <v>615</v>
      </c>
      <c r="B288" s="756">
        <v>15.2446508407593</v>
      </c>
      <c r="C288" s="756">
        <v>16.0964660644531</v>
      </c>
      <c r="D288" s="756">
        <v>22.1856594085693</v>
      </c>
      <c r="E288" s="756">
        <v>10.540905952453601</v>
      </c>
      <c r="F288" s="756">
        <v>10.4131317138672</v>
      </c>
      <c r="G288" s="756">
        <v>12.992267608642599</v>
      </c>
      <c r="H288" s="756">
        <v>14.8510446548462</v>
      </c>
      <c r="I288" s="756">
        <v>16.4927158355713</v>
      </c>
      <c r="J288" s="756">
        <v>17.888269424438501</v>
      </c>
      <c r="K288" s="756">
        <v>19.120731353759801</v>
      </c>
      <c r="L288" s="756">
        <v>20.025011062622099</v>
      </c>
      <c r="M288" s="756">
        <v>20.925888061523398</v>
      </c>
      <c r="N288" s="756">
        <v>21.650459289550799</v>
      </c>
      <c r="O288" s="756">
        <v>22.054113388061499</v>
      </c>
      <c r="P288" s="756">
        <v>22.358533859252901</v>
      </c>
      <c r="Q288" s="756">
        <v>22.535087585449201</v>
      </c>
      <c r="R288" s="756">
        <v>22.624557495117202</v>
      </c>
      <c r="S288" s="756">
        <v>22.875423431396499</v>
      </c>
      <c r="T288" s="756">
        <v>23.088819503784201</v>
      </c>
      <c r="U288" s="756">
        <v>22.878332138061499</v>
      </c>
      <c r="V288" s="756">
        <v>23.229129791259801</v>
      </c>
      <c r="W288" s="756">
        <v>23.440977096557599</v>
      </c>
      <c r="X288" s="756">
        <v>23.911849975585898</v>
      </c>
      <c r="Y288" s="756">
        <v>24.3618278503418</v>
      </c>
      <c r="Z288" s="756">
        <v>24.669164657592798</v>
      </c>
      <c r="AA288" s="300">
        <v>1.2833950519561801</v>
      </c>
      <c r="AB288" s="300">
        <v>1.3286876678466799</v>
      </c>
      <c r="AC288" s="300">
        <v>1.33012855052948</v>
      </c>
      <c r="AD288" s="300">
        <v>1.33445107936859</v>
      </c>
    </row>
    <row r="289" spans="1:30" x14ac:dyDescent="0.25">
      <c r="A289" s="754" t="s">
        <v>599</v>
      </c>
      <c r="B289" s="756">
        <v>19.171348571777301</v>
      </c>
      <c r="C289" s="756">
        <v>19.9431552886963</v>
      </c>
      <c r="D289" s="756">
        <v>25.721439361572301</v>
      </c>
      <c r="E289" s="756">
        <v>15.1513471603394</v>
      </c>
      <c r="F289" s="756">
        <v>13.5963325500488</v>
      </c>
      <c r="G289" s="756">
        <v>16.098552703857401</v>
      </c>
      <c r="H289" s="756">
        <v>18.014595031738299</v>
      </c>
      <c r="I289" s="756">
        <v>20.0945529937744</v>
      </c>
      <c r="J289" s="756">
        <v>21.487236022949201</v>
      </c>
      <c r="K289" s="756">
        <v>22.551927566528299</v>
      </c>
      <c r="L289" s="756">
        <v>23.4185886383057</v>
      </c>
      <c r="M289" s="756">
        <v>24.295482635498001</v>
      </c>
      <c r="N289" s="756">
        <v>25.028078079223601</v>
      </c>
      <c r="O289" s="756">
        <v>25.4735622406006</v>
      </c>
      <c r="P289" s="756">
        <v>25.7968635559082</v>
      </c>
      <c r="Q289" s="756">
        <v>25.744600296020501</v>
      </c>
      <c r="R289" s="756">
        <v>26.0401725769043</v>
      </c>
      <c r="S289" s="756">
        <v>26.245742797851602</v>
      </c>
      <c r="T289" s="756">
        <v>26.316581726074201</v>
      </c>
      <c r="U289" s="756">
        <v>26.282798767089801</v>
      </c>
      <c r="V289" s="756">
        <v>26.623888015747099</v>
      </c>
      <c r="W289" s="756">
        <v>26.532428741455099</v>
      </c>
      <c r="X289" s="756">
        <v>26.9911499023438</v>
      </c>
      <c r="Y289" s="756">
        <v>27.692060470581101</v>
      </c>
      <c r="Z289" s="756">
        <v>27.7130451202393</v>
      </c>
      <c r="AA289" s="300">
        <v>23.429731369018601</v>
      </c>
      <c r="AB289" s="300">
        <v>23.480413436889599</v>
      </c>
      <c r="AC289" s="300">
        <v>23.589033126831101</v>
      </c>
      <c r="AD289" s="300">
        <v>23.596023559570298</v>
      </c>
    </row>
    <row r="290" spans="1:30" x14ac:dyDescent="0.25">
      <c r="A290" s="754" t="s">
        <v>600</v>
      </c>
      <c r="B290" s="756">
        <v>8.4246683120727504</v>
      </c>
      <c r="C290" s="756">
        <v>9.3672227859497106</v>
      </c>
      <c r="D290" s="756">
        <v>14.1781015396118</v>
      </c>
      <c r="E290" s="756">
        <v>6.5043296813964799</v>
      </c>
      <c r="F290" s="756">
        <v>6.9149212837219203</v>
      </c>
      <c r="G290" s="756">
        <v>9.2013835906982404</v>
      </c>
      <c r="H290" s="756">
        <v>10.8588418960571</v>
      </c>
      <c r="I290" s="756">
        <v>12.3554439544678</v>
      </c>
      <c r="J290" s="756">
        <v>13.5696716308594</v>
      </c>
      <c r="K290" s="756">
        <v>14.9571332931519</v>
      </c>
      <c r="L290" s="756">
        <v>15.7562828063965</v>
      </c>
      <c r="M290" s="756">
        <v>16.419845581054702</v>
      </c>
      <c r="N290" s="756">
        <v>17.090215682983398</v>
      </c>
      <c r="O290" s="756">
        <v>17.3671054840088</v>
      </c>
      <c r="P290" s="756">
        <v>17.589653015136701</v>
      </c>
      <c r="Q290" s="756">
        <v>17.8480415344238</v>
      </c>
      <c r="R290" s="756">
        <v>17.911899566650401</v>
      </c>
      <c r="S290" s="756">
        <v>18.041828155517599</v>
      </c>
      <c r="T290" s="756">
        <v>18.112939834594702</v>
      </c>
      <c r="U290" s="756">
        <v>17.862413406372099</v>
      </c>
      <c r="V290" s="756">
        <v>18.047613143920898</v>
      </c>
      <c r="W290" s="756">
        <v>18.333000183105501</v>
      </c>
      <c r="X290" s="756">
        <v>18.6528930664063</v>
      </c>
      <c r="Y290" s="756">
        <v>18.8375339508057</v>
      </c>
      <c r="Z290" s="756">
        <v>19.187860488891602</v>
      </c>
      <c r="AA290" s="300"/>
      <c r="AB290" s="300"/>
      <c r="AC290" s="300"/>
      <c r="AD290" s="300"/>
    </row>
    <row r="291" spans="1:30" x14ac:dyDescent="0.25">
      <c r="A291" s="754" t="s">
        <v>500</v>
      </c>
      <c r="B291" s="756">
        <v>9.5015735626220703</v>
      </c>
      <c r="C291" s="756">
        <v>9.0060253143310494</v>
      </c>
      <c r="D291" s="756">
        <v>10.1816816329956</v>
      </c>
      <c r="E291" s="756">
        <v>6.76324558258057</v>
      </c>
      <c r="F291" s="756">
        <v>7.4289712905883798</v>
      </c>
      <c r="G291" s="756">
        <v>7.7374553680419904</v>
      </c>
      <c r="H291" s="756">
        <v>7.7907910346984899</v>
      </c>
      <c r="I291" s="756">
        <v>7.79954290390015</v>
      </c>
      <c r="J291" s="756">
        <v>7.91036033630371</v>
      </c>
      <c r="K291" s="756">
        <v>8.0721502304077095</v>
      </c>
      <c r="L291" s="756">
        <v>8.2674913406372106</v>
      </c>
      <c r="M291" s="756">
        <v>8.4630060195922905</v>
      </c>
      <c r="N291" s="756">
        <v>8.6615943908691406</v>
      </c>
      <c r="O291" s="756">
        <v>8.9140930175781303</v>
      </c>
      <c r="P291" s="756">
        <v>9.2212562561035192</v>
      </c>
      <c r="Q291" s="756">
        <v>9.4307956695556605</v>
      </c>
      <c r="R291" s="756">
        <v>9.4883728027343803</v>
      </c>
      <c r="S291" s="756">
        <v>9.2674760818481392</v>
      </c>
      <c r="T291" s="756">
        <v>9.2395153045654297</v>
      </c>
      <c r="U291" s="756">
        <v>9.1623344421386701</v>
      </c>
      <c r="V291" s="756">
        <v>9.3142642974853498</v>
      </c>
      <c r="W291" s="756">
        <v>9.5711297988891602</v>
      </c>
      <c r="X291" s="756">
        <v>9.9057645797729492</v>
      </c>
      <c r="Y291" s="756">
        <v>10.151716232299799</v>
      </c>
      <c r="Z291" s="756">
        <v>10.4206848144531</v>
      </c>
      <c r="AA291" s="300"/>
      <c r="AB291" s="300"/>
      <c r="AC291" s="300"/>
      <c r="AD291" s="300"/>
    </row>
    <row r="292" spans="1:30" x14ac:dyDescent="0.25">
      <c r="A292" s="754" t="s">
        <v>603</v>
      </c>
      <c r="B292" s="756">
        <v>3.6353600025177002</v>
      </c>
      <c r="C292" s="756">
        <v>3.6099998950958301</v>
      </c>
      <c r="D292" s="756">
        <v>4.0558156967163104</v>
      </c>
      <c r="E292" s="756">
        <v>4.0487108230590803</v>
      </c>
      <c r="F292" s="756">
        <v>3.9977276325225799</v>
      </c>
      <c r="G292" s="756">
        <v>4.1121706962585396</v>
      </c>
      <c r="H292" s="756">
        <v>4.1809573173522896</v>
      </c>
      <c r="I292" s="756">
        <v>4.2343683242797896</v>
      </c>
      <c r="J292" s="756">
        <v>4.27162742614746</v>
      </c>
      <c r="K292" s="756">
        <v>4.2985162734985396</v>
      </c>
      <c r="L292" s="756">
        <v>4.3192996978759801</v>
      </c>
      <c r="M292" s="756">
        <v>4.3337044715881303</v>
      </c>
      <c r="N292" s="756">
        <v>4.3530845642089799</v>
      </c>
      <c r="O292" s="756">
        <v>4.3696141242981001</v>
      </c>
      <c r="P292" s="756">
        <v>4.3899216651916504</v>
      </c>
      <c r="Q292" s="756">
        <v>4.4470157623290998</v>
      </c>
      <c r="R292" s="756">
        <v>4.5093812942504901</v>
      </c>
      <c r="S292" s="756">
        <v>4.5352845191955602</v>
      </c>
      <c r="T292" s="756">
        <v>4.5618190765380904</v>
      </c>
      <c r="U292" s="756">
        <v>4.5643453598022496</v>
      </c>
      <c r="V292" s="756">
        <v>4.5493078231811497</v>
      </c>
      <c r="W292" s="756">
        <v>4.5490665435790998</v>
      </c>
      <c r="X292" s="756">
        <v>4.5331215858459499</v>
      </c>
      <c r="Y292" s="756">
        <v>4.4955492019653303</v>
      </c>
      <c r="Z292" s="756">
        <v>4.4319190979003897</v>
      </c>
      <c r="AA292" s="300">
        <v>253.732666015625</v>
      </c>
      <c r="AB292" s="300">
        <v>257.28918457031301</v>
      </c>
      <c r="AC292" s="300">
        <v>259.96432495117199</v>
      </c>
      <c r="AD292" s="300">
        <v>262.21316528320301</v>
      </c>
    </row>
    <row r="293" spans="1:30" x14ac:dyDescent="0.25">
      <c r="A293" s="754" t="s">
        <v>616</v>
      </c>
      <c r="B293" s="756">
        <v>1.7776364088058501</v>
      </c>
      <c r="C293" s="756">
        <v>1.81885313987732</v>
      </c>
      <c r="D293" s="756">
        <v>1.9676311016082799</v>
      </c>
      <c r="E293" s="756">
        <v>2.0067975521087602</v>
      </c>
      <c r="F293" s="756">
        <v>1.88941025733948</v>
      </c>
      <c r="G293" s="756">
        <v>1.9042230844497701</v>
      </c>
      <c r="H293" s="756">
        <v>1.89033174514771</v>
      </c>
      <c r="I293" s="756">
        <v>1.9154095649719201</v>
      </c>
      <c r="J293" s="756">
        <v>1.93832087516785</v>
      </c>
      <c r="K293" s="756">
        <v>1.94072294235229</v>
      </c>
      <c r="L293" s="756">
        <v>1.9500694274902299</v>
      </c>
      <c r="M293" s="756">
        <v>1.9586881399154701</v>
      </c>
      <c r="N293" s="756">
        <v>1.9732190370559699</v>
      </c>
      <c r="O293" s="756">
        <v>1.9783339500427199</v>
      </c>
      <c r="P293" s="756">
        <v>1.98810267448425</v>
      </c>
      <c r="Q293" s="756">
        <v>1.9938982725143399</v>
      </c>
      <c r="R293" s="756">
        <v>2.0064799785614</v>
      </c>
      <c r="S293" s="756">
        <v>2.0119984149932901</v>
      </c>
      <c r="T293" s="756">
        <v>2.0163278579711901</v>
      </c>
      <c r="U293" s="756">
        <v>2.0205180644989</v>
      </c>
      <c r="V293" s="756">
        <v>2.0271856784820601</v>
      </c>
      <c r="W293" s="756">
        <v>2.0382561683654798</v>
      </c>
      <c r="X293" s="756">
        <v>2.0508835315704301</v>
      </c>
      <c r="Y293" s="756">
        <v>2.0641281604766801</v>
      </c>
      <c r="Z293" s="756">
        <v>2.0750961303710902</v>
      </c>
      <c r="AA293" s="300">
        <v>208.50216674804699</v>
      </c>
      <c r="AB293" s="300">
        <v>213.246017456055</v>
      </c>
      <c r="AC293" s="300">
        <v>217.97378540039099</v>
      </c>
      <c r="AD293" s="300">
        <v>222.08200073242199</v>
      </c>
    </row>
    <row r="294" spans="1:30" x14ac:dyDescent="0.25">
      <c r="A294" s="754" t="s">
        <v>605</v>
      </c>
      <c r="B294" s="756">
        <v>0</v>
      </c>
      <c r="C294" s="756">
        <v>0</v>
      </c>
      <c r="D294" s="756">
        <v>0</v>
      </c>
      <c r="E294" s="756">
        <v>0</v>
      </c>
      <c r="F294" s="756">
        <v>0</v>
      </c>
      <c r="G294" s="756">
        <v>1.5133428573608401</v>
      </c>
      <c r="H294" s="756">
        <v>1.3742095232009901</v>
      </c>
      <c r="I294" s="756">
        <v>1.19064140319824</v>
      </c>
      <c r="J294" s="756">
        <v>1.3664953708648699</v>
      </c>
      <c r="K294" s="756">
        <v>1.33487153053284</v>
      </c>
      <c r="L294" s="756">
        <v>1.31654036045074</v>
      </c>
      <c r="M294" s="756">
        <v>1.30223417282104</v>
      </c>
      <c r="N294" s="756">
        <v>1.30838906764984</v>
      </c>
      <c r="O294" s="756">
        <v>1.32146644592285</v>
      </c>
      <c r="P294" s="756">
        <v>1.3489345312118499</v>
      </c>
      <c r="Q294" s="756">
        <v>1.3524934053421001</v>
      </c>
      <c r="R294" s="756">
        <v>1.3570195436477701</v>
      </c>
      <c r="S294" s="756">
        <v>1.3626403808593801</v>
      </c>
      <c r="T294" s="756">
        <v>1.37119424343109</v>
      </c>
      <c r="U294" s="756">
        <v>1.3635557889938399</v>
      </c>
      <c r="V294" s="756">
        <v>1.3662919998168901</v>
      </c>
      <c r="W294" s="756">
        <v>1.37254309654236</v>
      </c>
      <c r="X294" s="756">
        <v>1.37609398365021</v>
      </c>
      <c r="Y294" s="756">
        <v>1.3784751892089799</v>
      </c>
      <c r="Z294" s="756">
        <v>1.3805129528045701</v>
      </c>
      <c r="AA294" s="300">
        <v>212.89649963378901</v>
      </c>
      <c r="AB294" s="300">
        <v>216.30204772949199</v>
      </c>
      <c r="AC294" s="300">
        <v>219.267822265625</v>
      </c>
      <c r="AD294" s="300">
        <v>222.079177856445</v>
      </c>
    </row>
    <row r="295" spans="1:30" x14ac:dyDescent="0.25">
      <c r="A295" s="754" t="s">
        <v>469</v>
      </c>
      <c r="B295" s="756">
        <v>26.672916412353501</v>
      </c>
      <c r="C295" s="756">
        <v>26.680915832519499</v>
      </c>
      <c r="D295" s="756">
        <v>27.799331665039102</v>
      </c>
      <c r="E295" s="756">
        <v>26.6892414093018</v>
      </c>
      <c r="F295" s="756">
        <v>24.2756156921387</v>
      </c>
      <c r="G295" s="756">
        <v>25.0947151184082</v>
      </c>
      <c r="H295" s="756">
        <v>25.0493679046631</v>
      </c>
      <c r="I295" s="756">
        <v>25.093559265136701</v>
      </c>
      <c r="J295" s="756">
        <v>25.339256286621101</v>
      </c>
      <c r="K295" s="756">
        <v>25.454051971435501</v>
      </c>
      <c r="L295" s="756">
        <v>25.7708930969238</v>
      </c>
      <c r="M295" s="756">
        <v>26.1124782562256</v>
      </c>
      <c r="N295" s="756">
        <v>26.474697113037099</v>
      </c>
      <c r="O295" s="756">
        <v>26.7419338226318</v>
      </c>
      <c r="P295" s="756">
        <v>27.1641750335693</v>
      </c>
      <c r="Q295" s="756">
        <v>27.529588699340799</v>
      </c>
      <c r="R295" s="756">
        <v>27.7828693389893</v>
      </c>
      <c r="S295" s="756">
        <v>27.754991531372099</v>
      </c>
      <c r="T295" s="756">
        <v>27.792310714721701</v>
      </c>
      <c r="U295" s="756">
        <v>27.7856330871582</v>
      </c>
      <c r="V295" s="756">
        <v>27.867961883544901</v>
      </c>
      <c r="W295" s="756">
        <v>28.2280673980713</v>
      </c>
      <c r="X295" s="756">
        <v>28.6754856109619</v>
      </c>
      <c r="Y295" s="756">
        <v>29.0858860015869</v>
      </c>
      <c r="Z295" s="756">
        <v>29.4564533233643</v>
      </c>
      <c r="AA295" s="300">
        <v>588.97521972656295</v>
      </c>
      <c r="AB295" s="300">
        <v>607.12139892578102</v>
      </c>
      <c r="AC295" s="300">
        <v>615.45501708984398</v>
      </c>
      <c r="AD295" s="300">
        <v>632.78991699218795</v>
      </c>
    </row>
    <row r="296" spans="1:30" x14ac:dyDescent="0.25">
      <c r="AA296" s="300">
        <v>1264.10656738281</v>
      </c>
      <c r="AB296" s="300">
        <v>1293.95861816406</v>
      </c>
      <c r="AC296" s="300">
        <v>1312.66088867188</v>
      </c>
      <c r="AD296" s="300">
        <v>1339.16430664063</v>
      </c>
    </row>
    <row r="297" spans="1:30" x14ac:dyDescent="0.25">
      <c r="A297" s="754" t="s">
        <v>503</v>
      </c>
      <c r="AA297" s="300">
        <v>0.38684526085853599</v>
      </c>
      <c r="AB297" s="300">
        <v>0.443235874176025</v>
      </c>
      <c r="AC297" s="300">
        <v>0.46923574805259699</v>
      </c>
      <c r="AD297" s="300">
        <v>0.51463860273361195</v>
      </c>
    </row>
    <row r="298" spans="1:30" x14ac:dyDescent="0.25">
      <c r="A298" s="754" t="s">
        <v>714</v>
      </c>
      <c r="AA298" s="300">
        <v>1264.49340820313</v>
      </c>
      <c r="AB298" s="300">
        <v>1294.40185546875</v>
      </c>
      <c r="AC298" s="300">
        <v>1313.13012695313</v>
      </c>
      <c r="AD298" s="300">
        <v>1339.67895507813</v>
      </c>
    </row>
    <row r="299" spans="1:30" x14ac:dyDescent="0.25">
      <c r="A299" s="754" t="s">
        <v>463</v>
      </c>
      <c r="B299" s="756">
        <v>231.10064697265599</v>
      </c>
      <c r="C299" s="756">
        <v>238.40081787109401</v>
      </c>
      <c r="D299" s="756">
        <v>250.00378417968801</v>
      </c>
      <c r="E299" s="756">
        <v>223.81915283203099</v>
      </c>
      <c r="F299" s="756">
        <v>215.29118347168</v>
      </c>
      <c r="G299" s="756">
        <v>224.09677124023401</v>
      </c>
      <c r="H299" s="756">
        <v>227.34310913085901</v>
      </c>
      <c r="I299" s="756">
        <v>227.85260009765599</v>
      </c>
      <c r="J299" s="756">
        <v>231.24415588378901</v>
      </c>
      <c r="K299" s="756">
        <v>234.18721008300801</v>
      </c>
      <c r="L299" s="756">
        <v>238.75100708007801</v>
      </c>
      <c r="M299" s="756">
        <v>243.18489074707</v>
      </c>
      <c r="N299" s="756">
        <v>248.169021606445</v>
      </c>
      <c r="O299" s="756">
        <v>252.72660827636699</v>
      </c>
      <c r="P299" s="756">
        <v>258.44952392578102</v>
      </c>
      <c r="Q299" s="756">
        <v>262.50808715820301</v>
      </c>
      <c r="R299" s="756">
        <v>265.94851684570301</v>
      </c>
      <c r="S299" s="756">
        <v>267.30322265625</v>
      </c>
      <c r="T299" s="756">
        <v>270.58847045898398</v>
      </c>
      <c r="U299" s="756">
        <v>272.04168701171898</v>
      </c>
      <c r="V299" s="756">
        <v>276.25186157226602</v>
      </c>
      <c r="W299" s="756">
        <v>282.20260620117199</v>
      </c>
      <c r="X299" s="756">
        <v>288.93267822265602</v>
      </c>
      <c r="Y299" s="756">
        <v>293.60751342773398</v>
      </c>
      <c r="Z299" s="756">
        <v>298.90402221679699</v>
      </c>
      <c r="AA299" s="300"/>
      <c r="AB299" s="300"/>
      <c r="AC299" s="300"/>
      <c r="AD299" s="300"/>
    </row>
    <row r="300" spans="1:30" x14ac:dyDescent="0.25">
      <c r="A300" s="754" t="s">
        <v>470</v>
      </c>
      <c r="B300" s="756">
        <v>170.28274536132801</v>
      </c>
      <c r="C300" s="756">
        <v>172.89260864257801</v>
      </c>
      <c r="D300" s="756">
        <v>183.352294921875</v>
      </c>
      <c r="E300" s="756">
        <v>163.89425659179699</v>
      </c>
      <c r="F300" s="756">
        <v>157.14476013183599</v>
      </c>
      <c r="G300" s="756">
        <v>164.69047546386699</v>
      </c>
      <c r="H300" s="756">
        <v>166.42567443847699</v>
      </c>
      <c r="I300" s="756">
        <v>169.00093078613301</v>
      </c>
      <c r="J300" s="756">
        <v>173.04789733886699</v>
      </c>
      <c r="K300" s="756">
        <v>176.93461608886699</v>
      </c>
      <c r="L300" s="756">
        <v>182.04042053222699</v>
      </c>
      <c r="M300" s="756">
        <v>187.24485778808599</v>
      </c>
      <c r="N300" s="756">
        <v>192.69107055664099</v>
      </c>
      <c r="O300" s="756">
        <v>197.508544921875</v>
      </c>
      <c r="P300" s="756">
        <v>203.26272583007801</v>
      </c>
      <c r="Q300" s="756">
        <v>208.31881713867199</v>
      </c>
      <c r="R300" s="756">
        <v>212.33370971679699</v>
      </c>
      <c r="S300" s="756">
        <v>214.22947692871099</v>
      </c>
      <c r="T300" s="756">
        <v>217.23475646972699</v>
      </c>
      <c r="U300" s="756">
        <v>219.65505981445301</v>
      </c>
      <c r="V300" s="756">
        <v>223.61666870117199</v>
      </c>
      <c r="W300" s="756">
        <v>229.31947326660199</v>
      </c>
      <c r="X300" s="756">
        <v>235.82908630371099</v>
      </c>
      <c r="Y300" s="756">
        <v>241.79779052734401</v>
      </c>
      <c r="Z300" s="756">
        <v>247.76422119140599</v>
      </c>
      <c r="AA300" s="300"/>
      <c r="AB300" s="300"/>
      <c r="AC300" s="300"/>
      <c r="AD300" s="300"/>
    </row>
    <row r="301" spans="1:30" x14ac:dyDescent="0.25">
      <c r="A301" s="754" t="s">
        <v>505</v>
      </c>
      <c r="B301" s="756">
        <v>216.08058166503901</v>
      </c>
      <c r="C301" s="756">
        <v>226.88609313964801</v>
      </c>
      <c r="D301" s="756">
        <v>248.66896057128901</v>
      </c>
      <c r="E301" s="756">
        <v>181.39601135253901</v>
      </c>
      <c r="F301" s="756">
        <v>151.70443725585901</v>
      </c>
      <c r="G301" s="756">
        <v>172.23597717285199</v>
      </c>
      <c r="H301" s="756">
        <v>186.63681030273401</v>
      </c>
      <c r="I301" s="756">
        <v>200.19924926757801</v>
      </c>
      <c r="J301" s="756">
        <v>207.03741455078099</v>
      </c>
      <c r="K301" s="756">
        <v>213.45352172851599</v>
      </c>
      <c r="L301" s="756">
        <v>218.62767028808599</v>
      </c>
      <c r="M301" s="756">
        <v>224.29528808593801</v>
      </c>
      <c r="N301" s="756">
        <v>229.96401977539099</v>
      </c>
      <c r="O301" s="756">
        <v>233.76069641113301</v>
      </c>
      <c r="P301" s="756">
        <v>239.065841674805</v>
      </c>
      <c r="Q301" s="756">
        <v>241.45851135253901</v>
      </c>
      <c r="R301" s="756">
        <v>242.383544921875</v>
      </c>
      <c r="S301" s="756">
        <v>242.41815185546901</v>
      </c>
      <c r="T301" s="756">
        <v>242.89247131347699</v>
      </c>
      <c r="U301" s="756">
        <v>240.916915893555</v>
      </c>
      <c r="V301" s="756">
        <v>241.41357421875</v>
      </c>
      <c r="W301" s="756">
        <v>242.50785827636699</v>
      </c>
      <c r="X301" s="756">
        <v>244.85752868652301</v>
      </c>
      <c r="Y301" s="756">
        <v>245.86729431152301</v>
      </c>
      <c r="Z301" s="756">
        <v>245.87216186523401</v>
      </c>
      <c r="AA301" s="300"/>
      <c r="AB301" s="300"/>
      <c r="AC301" s="300"/>
      <c r="AD301" s="300"/>
    </row>
    <row r="302" spans="1:30" x14ac:dyDescent="0.25">
      <c r="A302" s="754" t="s">
        <v>477</v>
      </c>
      <c r="B302" s="756">
        <v>564.62982177734398</v>
      </c>
      <c r="C302" s="756">
        <v>596.84759521484398</v>
      </c>
      <c r="D302" s="756">
        <v>693.65460205078102</v>
      </c>
      <c r="E302" s="756">
        <v>393.76574707031301</v>
      </c>
      <c r="F302" s="756">
        <v>430.90808105468801</v>
      </c>
      <c r="G302" s="756">
        <v>516.84307861328102</v>
      </c>
      <c r="H302" s="756">
        <v>568.141357421875</v>
      </c>
      <c r="I302" s="756">
        <v>610.89111328125</v>
      </c>
      <c r="J302" s="756">
        <v>646.41064453125</v>
      </c>
      <c r="K302" s="756">
        <v>676.39013671875</v>
      </c>
      <c r="L302" s="756">
        <v>696.72686767578102</v>
      </c>
      <c r="M302" s="756">
        <v>719.33160400390602</v>
      </c>
      <c r="N302" s="756">
        <v>737.13671875</v>
      </c>
      <c r="O302" s="756">
        <v>750.27301025390602</v>
      </c>
      <c r="P302" s="756">
        <v>759.33123779296898</v>
      </c>
      <c r="Q302" s="756">
        <v>760.33734130859398</v>
      </c>
      <c r="R302" s="756">
        <v>761.04602050781295</v>
      </c>
      <c r="S302" s="756">
        <v>771.55059814453102</v>
      </c>
      <c r="T302" s="756">
        <v>780.57421875</v>
      </c>
      <c r="U302" s="756">
        <v>783.147216796875</v>
      </c>
      <c r="V302" s="756">
        <v>796.70227050781295</v>
      </c>
      <c r="W302" s="756">
        <v>794.56842041015602</v>
      </c>
      <c r="X302" s="756">
        <v>811.39251708984398</v>
      </c>
      <c r="Y302" s="756">
        <v>832.07995605468795</v>
      </c>
      <c r="Z302" s="756">
        <v>835.36431884765602</v>
      </c>
      <c r="AA302" s="300"/>
      <c r="AB302" s="300"/>
      <c r="AC302" s="300"/>
      <c r="AD302" s="300"/>
    </row>
    <row r="303" spans="1:30" x14ac:dyDescent="0.25">
      <c r="A303" s="754" t="s">
        <v>506</v>
      </c>
      <c r="B303" s="756">
        <v>1182.09375</v>
      </c>
      <c r="C303" s="756">
        <v>1235.02709960938</v>
      </c>
      <c r="D303" s="756">
        <v>1375.6796875</v>
      </c>
      <c r="E303" s="756">
        <v>962.87518310546898</v>
      </c>
      <c r="F303" s="756">
        <v>955.04846191406295</v>
      </c>
      <c r="G303" s="756">
        <v>1077.86633300781</v>
      </c>
      <c r="H303" s="756">
        <v>1148.54699707031</v>
      </c>
      <c r="I303" s="756">
        <v>1207.94384765625</v>
      </c>
      <c r="J303" s="756">
        <v>1257.74011230469</v>
      </c>
      <c r="K303" s="756">
        <v>1300.96545410156</v>
      </c>
      <c r="L303" s="756">
        <v>1336.14599609375</v>
      </c>
      <c r="M303" s="756">
        <v>1374.056640625</v>
      </c>
      <c r="N303" s="756">
        <v>1407.96081542969</v>
      </c>
      <c r="O303" s="756">
        <v>1434.26879882813</v>
      </c>
      <c r="P303" s="756">
        <v>1460.109375</v>
      </c>
      <c r="Q303" s="756">
        <v>1472.62280273438</v>
      </c>
      <c r="R303" s="756">
        <v>1481.71179199219</v>
      </c>
      <c r="S303" s="756">
        <v>1495.50146484375</v>
      </c>
      <c r="T303" s="756">
        <v>1511.28991699219</v>
      </c>
      <c r="U303" s="756">
        <v>1515.76086425781</v>
      </c>
      <c r="V303" s="756">
        <v>1537.984375</v>
      </c>
      <c r="W303" s="756">
        <v>1548.59838867188</v>
      </c>
      <c r="X303" s="756">
        <v>1581.01184082031</v>
      </c>
      <c r="Y303" s="756">
        <v>1613.3525390625</v>
      </c>
      <c r="Z303" s="756">
        <v>1627.90478515625</v>
      </c>
      <c r="AA303" s="300"/>
      <c r="AB303" s="300"/>
      <c r="AC303" s="300"/>
      <c r="AD303" s="300"/>
    </row>
    <row r="304" spans="1:30" x14ac:dyDescent="0.25">
      <c r="A304" s="754" t="s">
        <v>618</v>
      </c>
      <c r="B304" s="756">
        <v>3.2131362706422799E-2</v>
      </c>
      <c r="C304" s="756">
        <v>4.0145620703697198E-2</v>
      </c>
      <c r="D304" s="756">
        <v>3.7687420845031697E-2</v>
      </c>
      <c r="E304" s="756">
        <v>2.54867300391197E-2</v>
      </c>
      <c r="F304" s="756">
        <v>5.4010055959224701E-2</v>
      </c>
      <c r="G304" s="756">
        <v>6.77362531423569E-2</v>
      </c>
      <c r="H304" s="756">
        <v>8.3178348839283003E-2</v>
      </c>
      <c r="I304" s="756">
        <v>9.4869345426559407E-2</v>
      </c>
      <c r="J304" s="756">
        <v>0.113030456006527</v>
      </c>
      <c r="K304" s="756">
        <v>1.97330021858215</v>
      </c>
      <c r="L304" s="756">
        <v>4.8567194938659703</v>
      </c>
      <c r="M304" s="756">
        <v>6.7303171157836896</v>
      </c>
      <c r="N304" s="756">
        <v>10.514961242675801</v>
      </c>
      <c r="O304" s="756">
        <v>15.7356252670288</v>
      </c>
      <c r="P304" s="756">
        <v>22.100711822509801</v>
      </c>
      <c r="Q304" s="756">
        <v>25.9892463684082</v>
      </c>
      <c r="R304" s="756">
        <v>35.539012908935497</v>
      </c>
      <c r="S304" s="756">
        <v>35.597633361816399</v>
      </c>
      <c r="T304" s="756">
        <v>34.1677055358887</v>
      </c>
      <c r="U304" s="756">
        <v>35.613494873046903</v>
      </c>
      <c r="V304" s="756">
        <v>37.140151977539098</v>
      </c>
      <c r="W304" s="756">
        <v>45.276290893554702</v>
      </c>
      <c r="X304" s="756">
        <v>47.974498748779297</v>
      </c>
      <c r="Y304" s="756">
        <v>53.190200805664098</v>
      </c>
      <c r="Z304" s="756">
        <v>54.179977416992202</v>
      </c>
      <c r="AA304" s="300"/>
      <c r="AB304" s="300"/>
      <c r="AC304" s="300"/>
      <c r="AD304" s="300"/>
    </row>
    <row r="305" spans="1:30" x14ac:dyDescent="0.25">
      <c r="A305" s="754" t="s">
        <v>508</v>
      </c>
      <c r="B305" s="756">
        <v>1182.12585449219</v>
      </c>
      <c r="C305" s="756">
        <v>1235.06726074219</v>
      </c>
      <c r="D305" s="756">
        <v>1375.71740722656</v>
      </c>
      <c r="E305" s="756">
        <v>962.90069580078102</v>
      </c>
      <c r="F305" s="756">
        <v>955.10247802734398</v>
      </c>
      <c r="G305" s="756">
        <v>1077.93408203125</v>
      </c>
      <c r="H305" s="756">
        <v>1148.63012695313</v>
      </c>
      <c r="I305" s="756">
        <v>1208.03869628906</v>
      </c>
      <c r="J305" s="756">
        <v>1257.85314941406</v>
      </c>
      <c r="K305" s="756">
        <v>1302.93872070313</v>
      </c>
      <c r="L305" s="756">
        <v>1341.00268554688</v>
      </c>
      <c r="M305" s="756">
        <v>1380.78698730469</v>
      </c>
      <c r="N305" s="756">
        <v>1418.47583007813</v>
      </c>
      <c r="O305" s="756">
        <v>1450.00439453125</v>
      </c>
      <c r="P305" s="756">
        <v>1482.21008300781</v>
      </c>
      <c r="Q305" s="756">
        <v>1498.61206054688</v>
      </c>
      <c r="R305" s="756">
        <v>1517.25085449219</v>
      </c>
      <c r="S305" s="756">
        <v>1531.09912109375</v>
      </c>
      <c r="T305" s="756">
        <v>1545.45764160156</v>
      </c>
      <c r="U305" s="756">
        <v>1551.37438964844</v>
      </c>
      <c r="V305" s="756">
        <v>1575.12451171875</v>
      </c>
      <c r="W305" s="756">
        <v>1593.87463378906</v>
      </c>
      <c r="X305" s="756">
        <v>1628.986328125</v>
      </c>
      <c r="Y305" s="756">
        <v>1666.54272460938</v>
      </c>
      <c r="Z305" s="756">
        <v>1682.08471679688</v>
      </c>
      <c r="AA305" s="300"/>
      <c r="AB305" s="300"/>
      <c r="AC305" s="300"/>
      <c r="AD305" s="300"/>
    </row>
    <row r="306" spans="1:30" x14ac:dyDescent="0.25">
      <c r="AA306" s="300"/>
      <c r="AB306" s="300"/>
      <c r="AC306" s="300"/>
      <c r="AD306" s="300"/>
    </row>
    <row r="307" spans="1:30" x14ac:dyDescent="0.25">
      <c r="AA307" s="300"/>
      <c r="AB307" s="300"/>
      <c r="AC307" s="300"/>
      <c r="AD307" s="300"/>
    </row>
    <row r="308" spans="1:30" x14ac:dyDescent="0.25">
      <c r="A308" s="754" t="s">
        <v>715</v>
      </c>
      <c r="AA308" s="300"/>
      <c r="AB308" s="300"/>
      <c r="AC308" s="300"/>
      <c r="AD308" s="300"/>
    </row>
    <row r="309" spans="1:30" x14ac:dyDescent="0.25">
      <c r="A309" s="754" t="s">
        <v>463</v>
      </c>
      <c r="AA309" s="300"/>
      <c r="AB309" s="300"/>
      <c r="AC309" s="300"/>
      <c r="AD309" s="300"/>
    </row>
    <row r="310" spans="1:30" x14ac:dyDescent="0.25">
      <c r="A310" s="754" t="s">
        <v>598</v>
      </c>
      <c r="B310" s="756">
        <v>23.2563285827637</v>
      </c>
      <c r="C310" s="756">
        <v>24.973464965820298</v>
      </c>
      <c r="D310" s="756">
        <v>29.096658706665</v>
      </c>
      <c r="E310" s="756">
        <v>22.194786071777301</v>
      </c>
      <c r="F310" s="756">
        <v>21.477947235107401</v>
      </c>
      <c r="G310" s="756">
        <v>24.1509113311768</v>
      </c>
      <c r="H310" s="756">
        <v>26.557428359985401</v>
      </c>
      <c r="I310" s="756">
        <v>28.936630249023398</v>
      </c>
      <c r="J310" s="756">
        <v>31.2247924804688</v>
      </c>
      <c r="K310" s="756">
        <v>33.758499145507798</v>
      </c>
      <c r="L310" s="756">
        <v>35.743316650390597</v>
      </c>
      <c r="M310" s="756">
        <v>37.599853515625</v>
      </c>
      <c r="N310" s="756">
        <v>39.552177429199197</v>
      </c>
      <c r="O310" s="756">
        <v>40.9905815124512</v>
      </c>
      <c r="P310" s="756">
        <v>42.334590911865199</v>
      </c>
      <c r="Q310" s="756">
        <v>43.7123832702637</v>
      </c>
      <c r="R310" s="756">
        <v>44.985881805419901</v>
      </c>
      <c r="S310" s="756">
        <v>46.523696899414098</v>
      </c>
      <c r="T310" s="756">
        <v>47.765018463134801</v>
      </c>
      <c r="U310" s="756">
        <v>48.143123626708999</v>
      </c>
      <c r="V310" s="756">
        <v>49.548942565917997</v>
      </c>
      <c r="W310" s="756">
        <v>50.986961364746101</v>
      </c>
      <c r="X310" s="756">
        <v>52.580905914306598</v>
      </c>
      <c r="Y310" s="756">
        <v>53.965934753417997</v>
      </c>
      <c r="Z310" s="756">
        <v>55.648300170898402</v>
      </c>
      <c r="AA310" s="300"/>
      <c r="AB310" s="300"/>
      <c r="AC310" s="300"/>
      <c r="AD310" s="300"/>
    </row>
    <row r="311" spans="1:30" x14ac:dyDescent="0.25">
      <c r="A311" s="754" t="s">
        <v>599</v>
      </c>
      <c r="B311" s="756">
        <v>17.979913711547901</v>
      </c>
      <c r="C311" s="756">
        <v>19.664405822753899</v>
      </c>
      <c r="D311" s="756">
        <v>24.466548919677699</v>
      </c>
      <c r="E311" s="756">
        <v>16.188474655151399</v>
      </c>
      <c r="F311" s="756">
        <v>13.8549404144287</v>
      </c>
      <c r="G311" s="756">
        <v>16.4927158355713</v>
      </c>
      <c r="H311" s="756">
        <v>18.5955104827881</v>
      </c>
      <c r="I311" s="756">
        <v>20.348911285400401</v>
      </c>
      <c r="J311" s="756">
        <v>22.1809597015381</v>
      </c>
      <c r="K311" s="756">
        <v>24.3712253570557</v>
      </c>
      <c r="L311" s="756">
        <v>25.9372863769531</v>
      </c>
      <c r="M311" s="756">
        <v>27.5034885406494</v>
      </c>
      <c r="N311" s="756">
        <v>29.0146675109863</v>
      </c>
      <c r="O311" s="756">
        <v>30.168525695800799</v>
      </c>
      <c r="P311" s="756">
        <v>31.2883205413818</v>
      </c>
      <c r="Q311" s="756">
        <v>32.275276184082003</v>
      </c>
      <c r="R311" s="756">
        <v>33.246475219726598</v>
      </c>
      <c r="S311" s="756">
        <v>34.4459838867188</v>
      </c>
      <c r="T311" s="756">
        <v>35.640113830566399</v>
      </c>
      <c r="U311" s="756">
        <v>35.882171630859403</v>
      </c>
      <c r="V311" s="756">
        <v>37.065284729003899</v>
      </c>
      <c r="W311" s="756">
        <v>38.310382843017599</v>
      </c>
      <c r="X311" s="756">
        <v>39.641868591308601</v>
      </c>
      <c r="Y311" s="756">
        <v>40.905982971191399</v>
      </c>
      <c r="Z311" s="756">
        <v>42.365245819091797</v>
      </c>
      <c r="AA311" s="300"/>
      <c r="AB311" s="300"/>
      <c r="AC311" s="300"/>
      <c r="AD311" s="300"/>
    </row>
    <row r="312" spans="1:30" x14ac:dyDescent="0.25">
      <c r="A312" s="754" t="s">
        <v>500</v>
      </c>
      <c r="B312" s="756">
        <v>13.3406887054443</v>
      </c>
      <c r="C312" s="756">
        <v>12.691158294677701</v>
      </c>
      <c r="D312" s="756">
        <v>13.2631158828735</v>
      </c>
      <c r="E312" s="756">
        <v>11.061133384704601</v>
      </c>
      <c r="F312" s="756">
        <v>11.614992141723601</v>
      </c>
      <c r="G312" s="756">
        <v>12.061012268066399</v>
      </c>
      <c r="H312" s="756">
        <v>12.1186227798462</v>
      </c>
      <c r="I312" s="756">
        <v>12.236530303955099</v>
      </c>
      <c r="J312" s="756">
        <v>12.476335525512701</v>
      </c>
      <c r="K312" s="756">
        <v>12.8177757263184</v>
      </c>
      <c r="L312" s="756">
        <v>13.333586692810099</v>
      </c>
      <c r="M312" s="756">
        <v>13.900782585144</v>
      </c>
      <c r="N312" s="756">
        <v>14.492022514343301</v>
      </c>
      <c r="O312" s="756">
        <v>15.1641521453857</v>
      </c>
      <c r="P312" s="756">
        <v>15.945101737976101</v>
      </c>
      <c r="Q312" s="756">
        <v>16.661958694458001</v>
      </c>
      <c r="R312" s="756">
        <v>17.186347961425799</v>
      </c>
      <c r="S312" s="756">
        <v>17.308622360229499</v>
      </c>
      <c r="T312" s="756">
        <v>17.6488857269287</v>
      </c>
      <c r="U312" s="756">
        <v>17.9868679046631</v>
      </c>
      <c r="V312" s="756">
        <v>18.635103225708001</v>
      </c>
      <c r="W312" s="756">
        <v>19.4500408172607</v>
      </c>
      <c r="X312" s="756">
        <v>20.3657627105713</v>
      </c>
      <c r="Y312" s="756">
        <v>21.1996364593506</v>
      </c>
      <c r="Z312" s="756">
        <v>22.095756530761701</v>
      </c>
      <c r="AA312" s="300"/>
      <c r="AB312" s="300"/>
      <c r="AC312" s="300"/>
      <c r="AD312" s="300"/>
    </row>
    <row r="313" spans="1:30" x14ac:dyDescent="0.25">
      <c r="A313" s="754" t="s">
        <v>469</v>
      </c>
      <c r="B313" s="756">
        <v>30.388185501098601</v>
      </c>
      <c r="C313" s="756">
        <v>31.181957244873001</v>
      </c>
      <c r="D313" s="756">
        <v>32.471218109130902</v>
      </c>
      <c r="E313" s="756">
        <v>31.722009658813501</v>
      </c>
      <c r="F313" s="756">
        <v>29.6958332061768</v>
      </c>
      <c r="G313" s="756">
        <v>31.365653991699201</v>
      </c>
      <c r="H313" s="756">
        <v>32.001548767089801</v>
      </c>
      <c r="I313" s="756">
        <v>32.924289703369098</v>
      </c>
      <c r="J313" s="756">
        <v>34.030689239502003</v>
      </c>
      <c r="K313" s="756">
        <v>34.890899658203097</v>
      </c>
      <c r="L313" s="756">
        <v>35.995761871337898</v>
      </c>
      <c r="M313" s="756">
        <v>37.227577209472699</v>
      </c>
      <c r="N313" s="756">
        <v>38.5026245117188</v>
      </c>
      <c r="O313" s="756">
        <v>39.672031402587898</v>
      </c>
      <c r="P313" s="756">
        <v>41.180412292480497</v>
      </c>
      <c r="Q313" s="756">
        <v>42.698352813720703</v>
      </c>
      <c r="R313" s="756">
        <v>44.053905487060497</v>
      </c>
      <c r="S313" s="756">
        <v>45.011627197265597</v>
      </c>
      <c r="T313" s="756">
        <v>46.023651123046903</v>
      </c>
      <c r="U313" s="756">
        <v>46.971866607666001</v>
      </c>
      <c r="V313" s="756">
        <v>48.032154083252003</v>
      </c>
      <c r="W313" s="756">
        <v>49.565544128417997</v>
      </c>
      <c r="X313" s="756">
        <v>51.240451812744098</v>
      </c>
      <c r="Y313" s="756">
        <v>52.949665069580099</v>
      </c>
      <c r="Z313" s="756">
        <v>54.583251953125</v>
      </c>
      <c r="AA313" s="300"/>
      <c r="AB313" s="300"/>
      <c r="AC313" s="300"/>
      <c r="AD313" s="300"/>
    </row>
    <row r="314" spans="1:30" x14ac:dyDescent="0.25">
      <c r="AA314" s="300"/>
      <c r="AB314" s="300"/>
      <c r="AC314" s="300"/>
      <c r="AD314" s="300"/>
    </row>
    <row r="315" spans="1:30" x14ac:dyDescent="0.25">
      <c r="A315" s="754" t="s">
        <v>470</v>
      </c>
      <c r="AA315" s="300"/>
      <c r="AB315" s="300"/>
      <c r="AC315" s="300"/>
      <c r="AD315" s="300"/>
    </row>
    <row r="316" spans="1:30" x14ac:dyDescent="0.25">
      <c r="A316" s="754" t="s">
        <v>598</v>
      </c>
      <c r="B316" s="756">
        <v>20.6414604187012</v>
      </c>
      <c r="C316" s="756">
        <v>23.041419982910199</v>
      </c>
      <c r="D316" s="756">
        <v>24.0578727722168</v>
      </c>
      <c r="E316" s="756">
        <v>21.6475944519043</v>
      </c>
      <c r="F316" s="756">
        <v>18.202018737793001</v>
      </c>
      <c r="G316" s="756">
        <v>20.8180141448975</v>
      </c>
      <c r="H316" s="756">
        <v>23.171899795532202</v>
      </c>
      <c r="I316" s="756">
        <v>25.4778232574463</v>
      </c>
      <c r="J316" s="756">
        <v>27.6801948547363</v>
      </c>
      <c r="K316" s="756">
        <v>30.122516632080099</v>
      </c>
      <c r="L316" s="756">
        <v>32.012001037597699</v>
      </c>
      <c r="M316" s="756">
        <v>33.770454406738303</v>
      </c>
      <c r="N316" s="756">
        <v>35.6212158203125</v>
      </c>
      <c r="O316" s="756">
        <v>36.9546508789063</v>
      </c>
      <c r="P316" s="756">
        <v>38.187240600585902</v>
      </c>
      <c r="Q316" s="756">
        <v>39.449775695800803</v>
      </c>
      <c r="R316" s="756">
        <v>40.605808258056598</v>
      </c>
      <c r="S316" s="756">
        <v>42.0293998718262</v>
      </c>
      <c r="T316" s="756">
        <v>43.160079956054702</v>
      </c>
      <c r="U316" s="756">
        <v>43.432140350341797</v>
      </c>
      <c r="V316" s="756">
        <v>44.7312202453613</v>
      </c>
      <c r="W316" s="756">
        <v>46.061283111572301</v>
      </c>
      <c r="X316" s="756">
        <v>47.542713165283203</v>
      </c>
      <c r="Y316" s="756">
        <v>48.814918518066399</v>
      </c>
      <c r="Z316" s="756">
        <v>50.382663726806598</v>
      </c>
      <c r="AA316" s="300"/>
      <c r="AB316" s="300"/>
      <c r="AC316" s="300"/>
      <c r="AD316" s="300"/>
    </row>
    <row r="317" spans="1:30" x14ac:dyDescent="0.25">
      <c r="A317" s="754" t="s">
        <v>599</v>
      </c>
      <c r="B317" s="756">
        <v>14.625953674316399</v>
      </c>
      <c r="C317" s="756">
        <v>16.054100036621101</v>
      </c>
      <c r="D317" s="756">
        <v>21.4175109863281</v>
      </c>
      <c r="E317" s="756">
        <v>14.1806936264038</v>
      </c>
      <c r="F317" s="756">
        <v>11.1656141281128</v>
      </c>
      <c r="G317" s="756">
        <v>13.940697669982899</v>
      </c>
      <c r="H317" s="756">
        <v>16.055301666259801</v>
      </c>
      <c r="I317" s="756">
        <v>18.2004089355469</v>
      </c>
      <c r="J317" s="756">
        <v>20.072311401367202</v>
      </c>
      <c r="K317" s="756">
        <v>21.922914505004901</v>
      </c>
      <c r="L317" s="756">
        <v>23.436100006103501</v>
      </c>
      <c r="M317" s="756">
        <v>24.993484497070298</v>
      </c>
      <c r="N317" s="756">
        <v>26.4673175811768</v>
      </c>
      <c r="O317" s="756">
        <v>27.614213943481399</v>
      </c>
      <c r="P317" s="756">
        <v>28.7058811187744</v>
      </c>
      <c r="Q317" s="756">
        <v>29.4854850769043</v>
      </c>
      <c r="R317" s="756">
        <v>30.5256862640381</v>
      </c>
      <c r="S317" s="756">
        <v>31.597146987915</v>
      </c>
      <c r="T317" s="756">
        <v>32.548923492431598</v>
      </c>
      <c r="U317" s="756">
        <v>32.997859954833999</v>
      </c>
      <c r="V317" s="756">
        <v>34.165657043457003</v>
      </c>
      <c r="W317" s="756">
        <v>35.000114440917997</v>
      </c>
      <c r="X317" s="756">
        <v>36.3691596984863</v>
      </c>
      <c r="Y317" s="756">
        <v>37.943679809570298</v>
      </c>
      <c r="Z317" s="756">
        <v>39.006439208984403</v>
      </c>
      <c r="AA317" s="300"/>
      <c r="AB317" s="300"/>
      <c r="AC317" s="300"/>
      <c r="AD317" s="300"/>
    </row>
    <row r="318" spans="1:30" x14ac:dyDescent="0.25">
      <c r="A318" s="754" t="s">
        <v>712</v>
      </c>
      <c r="B318" s="756">
        <v>8.64862155914307</v>
      </c>
      <c r="C318" s="756">
        <v>10.3074436187744</v>
      </c>
      <c r="D318" s="756">
        <v>13.7067270278931</v>
      </c>
      <c r="E318" s="756">
        <v>6.9139137268066397</v>
      </c>
      <c r="F318" s="756">
        <v>6.0204734802246103</v>
      </c>
      <c r="G318" s="756">
        <v>9.0269355773925799</v>
      </c>
      <c r="H318" s="756">
        <v>10.767860412597701</v>
      </c>
      <c r="I318" s="756">
        <v>12.611166954040501</v>
      </c>
      <c r="J318" s="756">
        <v>14.3083610534668</v>
      </c>
      <c r="K318" s="756">
        <v>16.269037246704102</v>
      </c>
      <c r="L318" s="756">
        <v>17.569841384887699</v>
      </c>
      <c r="M318" s="756">
        <v>18.511304855346701</v>
      </c>
      <c r="N318" s="756">
        <v>19.7891235351563</v>
      </c>
      <c r="O318" s="756">
        <v>20.573390960693398</v>
      </c>
      <c r="P318" s="756">
        <v>21.404872894287099</v>
      </c>
      <c r="Q318" s="756">
        <v>22.193275451660199</v>
      </c>
      <c r="R318" s="756">
        <v>22.9593410491943</v>
      </c>
      <c r="S318" s="756">
        <v>23.7928276062012</v>
      </c>
      <c r="T318" s="756">
        <v>24.398706436157202</v>
      </c>
      <c r="U318" s="756">
        <v>24.292516708373999</v>
      </c>
      <c r="V318" s="756">
        <v>25.0136394500732</v>
      </c>
      <c r="W318" s="756">
        <v>25.751762390136701</v>
      </c>
      <c r="X318" s="756">
        <v>26.606601715087901</v>
      </c>
      <c r="Y318" s="756">
        <v>27.4516487121582</v>
      </c>
      <c r="Z318" s="756">
        <v>28.286119461059599</v>
      </c>
      <c r="AA318" s="300"/>
      <c r="AB318" s="300"/>
      <c r="AC318" s="300"/>
      <c r="AD318" s="300"/>
    </row>
    <row r="319" spans="1:30" x14ac:dyDescent="0.25">
      <c r="A319" s="754" t="s">
        <v>500</v>
      </c>
      <c r="B319" s="756">
        <v>11.5840444564819</v>
      </c>
      <c r="C319" s="756">
        <v>10.9898433685303</v>
      </c>
      <c r="D319" s="756">
        <v>11.588038444519</v>
      </c>
      <c r="E319" s="756">
        <v>9.1930990219116193</v>
      </c>
      <c r="F319" s="756">
        <v>9.8226709365844709</v>
      </c>
      <c r="G319" s="756">
        <v>10.233100891113301</v>
      </c>
      <c r="H319" s="756">
        <v>10.334647178649901</v>
      </c>
      <c r="I319" s="756">
        <v>10.4663095474243</v>
      </c>
      <c r="J319" s="756">
        <v>10.734943389892599</v>
      </c>
      <c r="K319" s="756">
        <v>11.106437683105501</v>
      </c>
      <c r="L319" s="756">
        <v>11.600093841552701</v>
      </c>
      <c r="M319" s="756">
        <v>12.1229543685913</v>
      </c>
      <c r="N319" s="756">
        <v>12.6781578063965</v>
      </c>
      <c r="O319" s="756">
        <v>13.3144483566284</v>
      </c>
      <c r="P319" s="756">
        <v>14.069993019104</v>
      </c>
      <c r="Q319" s="756">
        <v>14.7329454421997</v>
      </c>
      <c r="R319" s="756">
        <v>15.223674774169901</v>
      </c>
      <c r="S319" s="756">
        <v>15.329276084899901</v>
      </c>
      <c r="T319" s="756">
        <v>15.6546773910522</v>
      </c>
      <c r="U319" s="756">
        <v>15.9318437576294</v>
      </c>
      <c r="V319" s="756">
        <v>16.5416469573975</v>
      </c>
      <c r="W319" s="756">
        <v>17.316057205200199</v>
      </c>
      <c r="X319" s="756">
        <v>18.194717407226602</v>
      </c>
      <c r="Y319" s="756">
        <v>18.967941284179702</v>
      </c>
      <c r="Z319" s="756">
        <v>19.811794281005898</v>
      </c>
      <c r="AA319" s="300"/>
      <c r="AB319" s="300"/>
      <c r="AC319" s="300"/>
      <c r="AD319" s="300"/>
    </row>
    <row r="320" spans="1:30" x14ac:dyDescent="0.25">
      <c r="A320" s="754" t="s">
        <v>469</v>
      </c>
      <c r="B320" s="756">
        <v>27.631908416748001</v>
      </c>
      <c r="C320" s="756">
        <v>28.029735565185501</v>
      </c>
      <c r="D320" s="756">
        <v>29.6960258483887</v>
      </c>
      <c r="E320" s="756">
        <v>28.491619110107401</v>
      </c>
      <c r="F320" s="756">
        <v>25.7724418640137</v>
      </c>
      <c r="G320" s="756">
        <v>26.858903884887699</v>
      </c>
      <c r="H320" s="756">
        <v>27.045906066894499</v>
      </c>
      <c r="I320" s="756">
        <v>27.5620422363281</v>
      </c>
      <c r="J320" s="756">
        <v>28.370775222778299</v>
      </c>
      <c r="K320" s="756">
        <v>29.106733322143601</v>
      </c>
      <c r="L320" s="756">
        <v>30.1617736816406</v>
      </c>
      <c r="M320" s="756">
        <v>31.290737152099599</v>
      </c>
      <c r="N320" s="756">
        <v>32.536418914794901</v>
      </c>
      <c r="O320" s="756">
        <v>33.661582946777301</v>
      </c>
      <c r="P320" s="756">
        <v>35.072307586669901</v>
      </c>
      <c r="Q320" s="756">
        <v>36.4632377624512</v>
      </c>
      <c r="R320" s="756">
        <v>37.713531494140597</v>
      </c>
      <c r="S320" s="756">
        <v>38.535266876220703</v>
      </c>
      <c r="T320" s="756">
        <v>39.429233551025398</v>
      </c>
      <c r="U320" s="756">
        <v>40.172752380371101</v>
      </c>
      <c r="V320" s="756">
        <v>41.0662841796875</v>
      </c>
      <c r="W320" s="756">
        <v>42.386928558349602</v>
      </c>
      <c r="X320" s="756">
        <v>43.920989990234403</v>
      </c>
      <c r="Y320" s="756">
        <v>45.4139213562012</v>
      </c>
      <c r="Z320" s="756">
        <v>46.925571441650398</v>
      </c>
      <c r="AA320" s="300"/>
      <c r="AB320" s="300"/>
      <c r="AC320" s="300"/>
      <c r="AD320" s="300"/>
    </row>
    <row r="321" spans="1:30" x14ac:dyDescent="0.25">
      <c r="AA321" s="300"/>
      <c r="AB321" s="300"/>
      <c r="AC321" s="300"/>
      <c r="AD321" s="300"/>
    </row>
    <row r="322" spans="1:30" x14ac:dyDescent="0.25">
      <c r="A322" s="754" t="s">
        <v>601</v>
      </c>
      <c r="AA322" s="300"/>
      <c r="AB322" s="300"/>
      <c r="AC322" s="300"/>
      <c r="AD322" s="300"/>
    </row>
    <row r="323" spans="1:30" x14ac:dyDescent="0.25">
      <c r="A323" s="754" t="s">
        <v>598</v>
      </c>
      <c r="B323" s="756">
        <v>20.489143371581999</v>
      </c>
      <c r="C323" s="756">
        <v>23.3795166015625</v>
      </c>
      <c r="D323" s="756">
        <v>27.232301712036101</v>
      </c>
      <c r="E323" s="756">
        <v>22.957033157348601</v>
      </c>
      <c r="F323" s="756">
        <v>17.265552520751999</v>
      </c>
      <c r="G323" s="756">
        <v>19.8652458190918</v>
      </c>
      <c r="H323" s="756">
        <v>22.207704544067401</v>
      </c>
      <c r="I323" s="756">
        <v>24.495702743530298</v>
      </c>
      <c r="J323" s="756">
        <v>26.6714878082275</v>
      </c>
      <c r="K323" s="756">
        <v>29.0830192565918</v>
      </c>
      <c r="L323" s="756">
        <v>30.951156616210898</v>
      </c>
      <c r="M323" s="756">
        <v>32.690711975097699</v>
      </c>
      <c r="N323" s="756">
        <v>34.514808654785199</v>
      </c>
      <c r="O323" s="756">
        <v>35.846107482910199</v>
      </c>
      <c r="P323" s="756">
        <v>37.040077209472699</v>
      </c>
      <c r="Q323" s="756">
        <v>38.301750183105497</v>
      </c>
      <c r="R323" s="756">
        <v>39.421558380127003</v>
      </c>
      <c r="S323" s="756">
        <v>40.814861297607401</v>
      </c>
      <c r="T323" s="756">
        <v>41.884078979492202</v>
      </c>
      <c r="U323" s="756">
        <v>42.155609130859403</v>
      </c>
      <c r="V323" s="756">
        <v>43.402267456054702</v>
      </c>
      <c r="W323" s="756">
        <v>44.705905914306598</v>
      </c>
      <c r="X323" s="756">
        <v>46.153343200683601</v>
      </c>
      <c r="Y323" s="756">
        <v>47.236614227294901</v>
      </c>
      <c r="Z323" s="756">
        <v>48.820529937744098</v>
      </c>
      <c r="AA323" s="300"/>
      <c r="AB323" s="300"/>
      <c r="AC323" s="300"/>
      <c r="AD323" s="300"/>
    </row>
    <row r="324" spans="1:30" x14ac:dyDescent="0.25">
      <c r="A324" s="754" t="s">
        <v>599</v>
      </c>
      <c r="B324" s="756">
        <v>15.3226671218872</v>
      </c>
      <c r="C324" s="756">
        <v>16.8219394683838</v>
      </c>
      <c r="D324" s="756">
        <v>22.4200763702393</v>
      </c>
      <c r="E324" s="756">
        <v>14.749831199646</v>
      </c>
      <c r="F324" s="756">
        <v>11.025536537170399</v>
      </c>
      <c r="G324" s="756">
        <v>14.0721025466919</v>
      </c>
      <c r="H324" s="756">
        <v>16.2283020019531</v>
      </c>
      <c r="I324" s="756">
        <v>18.6841716766357</v>
      </c>
      <c r="J324" s="756">
        <v>20.619239807128899</v>
      </c>
      <c r="K324" s="756">
        <v>22.302150726318398</v>
      </c>
      <c r="L324" s="756">
        <v>23.831027984619102</v>
      </c>
      <c r="M324" s="756">
        <v>25.434989929199201</v>
      </c>
      <c r="N324" s="756">
        <v>26.940843582153299</v>
      </c>
      <c r="O324" s="756">
        <v>28.1489963531494</v>
      </c>
      <c r="P324" s="756">
        <v>29.2844352722168</v>
      </c>
      <c r="Q324" s="756">
        <v>29.987220764160199</v>
      </c>
      <c r="R324" s="756">
        <v>31.1475830078125</v>
      </c>
      <c r="S324" s="756">
        <v>32.191192626953097</v>
      </c>
      <c r="T324" s="756">
        <v>33.043167114257798</v>
      </c>
      <c r="U324" s="756">
        <v>33.6753120422363</v>
      </c>
      <c r="V324" s="756">
        <v>34.892765045166001</v>
      </c>
      <c r="W324" s="756">
        <v>35.508182525634801</v>
      </c>
      <c r="X324" s="756">
        <v>36.966400146484403</v>
      </c>
      <c r="Y324" s="756">
        <v>38.821296691894503</v>
      </c>
      <c r="Z324" s="756">
        <v>39.679729461669901</v>
      </c>
      <c r="AA324" s="300"/>
      <c r="AB324" s="300"/>
      <c r="AC324" s="300"/>
      <c r="AD324" s="300"/>
    </row>
    <row r="325" spans="1:30" x14ac:dyDescent="0.25">
      <c r="A325" s="754" t="s">
        <v>600</v>
      </c>
      <c r="B325" s="756">
        <v>8.9709205627441406</v>
      </c>
      <c r="C325" s="756">
        <v>10.5954837799072</v>
      </c>
      <c r="D325" s="756">
        <v>14.049506187439</v>
      </c>
      <c r="E325" s="756">
        <v>7.1343002319335902</v>
      </c>
      <c r="F325" s="756">
        <v>10.215766906738301</v>
      </c>
      <c r="G325" s="756">
        <v>12.8617763519287</v>
      </c>
      <c r="H325" s="756">
        <v>14.814771652221699</v>
      </c>
      <c r="I325" s="756">
        <v>16.696189880371101</v>
      </c>
      <c r="J325" s="756">
        <v>18.396284103393601</v>
      </c>
      <c r="K325" s="756">
        <v>20.378862380981399</v>
      </c>
      <c r="L325" s="756">
        <v>21.7460041046143</v>
      </c>
      <c r="M325" s="756">
        <v>22.969861984252901</v>
      </c>
      <c r="N325" s="756">
        <v>24.3396511077881</v>
      </c>
      <c r="O325" s="756">
        <v>25.3345756530762</v>
      </c>
      <c r="P325" s="756">
        <v>26.3205471038818</v>
      </c>
      <c r="Q325" s="756">
        <v>27.310920715331999</v>
      </c>
      <c r="R325" s="756">
        <v>28.174968719482401</v>
      </c>
      <c r="S325" s="756">
        <v>29.129919052123999</v>
      </c>
      <c r="T325" s="756">
        <v>29.910713195800799</v>
      </c>
      <c r="U325" s="756">
        <v>30.004579544067401</v>
      </c>
      <c r="V325" s="756">
        <v>30.867444992065401</v>
      </c>
      <c r="W325" s="756">
        <v>31.741449356079102</v>
      </c>
      <c r="X325" s="756">
        <v>32.901214599609403</v>
      </c>
      <c r="Y325" s="756">
        <v>33.791465759277301</v>
      </c>
      <c r="Z325" s="756">
        <v>34.9404487609863</v>
      </c>
      <c r="AA325" s="300"/>
      <c r="AB325" s="300"/>
      <c r="AC325" s="300"/>
      <c r="AD325" s="300"/>
    </row>
    <row r="326" spans="1:30" x14ac:dyDescent="0.25">
      <c r="A326" s="754" t="s">
        <v>602</v>
      </c>
      <c r="B326" s="756">
        <v>7.7454247474670401</v>
      </c>
      <c r="C326" s="756">
        <v>7.5152516365051296</v>
      </c>
      <c r="D326" s="756">
        <v>8.9947338104247994</v>
      </c>
      <c r="E326" s="756">
        <v>5.0039734840393102</v>
      </c>
      <c r="F326" s="756">
        <v>5.7063522338867196</v>
      </c>
      <c r="G326" s="756">
        <v>6.1171517372131303</v>
      </c>
      <c r="H326" s="756">
        <v>6.2487673759460396</v>
      </c>
      <c r="I326" s="756">
        <v>6.4428400993347203</v>
      </c>
      <c r="J326" s="756">
        <v>6.7520828247070304</v>
      </c>
      <c r="K326" s="756">
        <v>7.1508984565734899</v>
      </c>
      <c r="L326" s="756">
        <v>7.5258989334106401</v>
      </c>
      <c r="M326" s="756">
        <v>7.9240221977233896</v>
      </c>
      <c r="N326" s="756">
        <v>8.3488731384277308</v>
      </c>
      <c r="O326" s="756">
        <v>8.8619937896728498</v>
      </c>
      <c r="P326" s="756">
        <v>9.4837093353271502</v>
      </c>
      <c r="Q326" s="756">
        <v>9.9987487792968803</v>
      </c>
      <c r="R326" s="756">
        <v>10.352954864501999</v>
      </c>
      <c r="S326" s="756">
        <v>10.3336448669434</v>
      </c>
      <c r="T326" s="756">
        <v>10.549848556518601</v>
      </c>
      <c r="U326" s="756">
        <v>10.6489877700806</v>
      </c>
      <c r="V326" s="756">
        <v>11.076291084289601</v>
      </c>
      <c r="W326" s="756">
        <v>11.6912574768066</v>
      </c>
      <c r="X326" s="756">
        <v>12.4464559555054</v>
      </c>
      <c r="Y326" s="756">
        <v>13.0579080581665</v>
      </c>
      <c r="Z326" s="756">
        <v>13.758059501647899</v>
      </c>
      <c r="AA326" s="300"/>
      <c r="AB326" s="300"/>
      <c r="AC326" s="300"/>
      <c r="AD326" s="300"/>
    </row>
    <row r="327" spans="1:30" x14ac:dyDescent="0.25">
      <c r="A327" s="754" t="s">
        <v>603</v>
      </c>
      <c r="B327" s="756">
        <v>3.53999996185303</v>
      </c>
      <c r="C327" s="756">
        <v>3.6099998950958301</v>
      </c>
      <c r="D327" s="756">
        <v>4.1449666023254403</v>
      </c>
      <c r="E327" s="756">
        <v>4.1784791946411097</v>
      </c>
      <c r="F327" s="756">
        <v>4.1485314369201696</v>
      </c>
      <c r="G327" s="756">
        <v>4.3175525665283203</v>
      </c>
      <c r="H327" s="756">
        <v>4.44484186172485</v>
      </c>
      <c r="I327" s="756">
        <v>4.5821456909179696</v>
      </c>
      <c r="J327" s="756">
        <v>4.7206311225891104</v>
      </c>
      <c r="K327" s="756">
        <v>4.8563599586486799</v>
      </c>
      <c r="L327" s="756">
        <v>4.9913563728332502</v>
      </c>
      <c r="M327" s="756">
        <v>5.1233406066894496</v>
      </c>
      <c r="N327" s="756">
        <v>5.2680139541626003</v>
      </c>
      <c r="O327" s="756">
        <v>5.4137320518493697</v>
      </c>
      <c r="P327" s="756">
        <v>5.5743689537048304</v>
      </c>
      <c r="Q327" s="756">
        <v>5.7906579971313503</v>
      </c>
      <c r="R327" s="756">
        <v>6.0209679603576696</v>
      </c>
      <c r="S327" s="756">
        <v>6.20045709609985</v>
      </c>
      <c r="T327" s="756">
        <v>6.3775997161865199</v>
      </c>
      <c r="U327" s="756">
        <v>6.5161404609680202</v>
      </c>
      <c r="V327" s="756">
        <v>6.6299972534179696</v>
      </c>
      <c r="W327" s="756">
        <v>6.7667918205261204</v>
      </c>
      <c r="X327" s="756">
        <v>6.88553714752197</v>
      </c>
      <c r="Y327" s="756">
        <v>6.9704546928405797</v>
      </c>
      <c r="Z327" s="756">
        <v>7.0137753486633301</v>
      </c>
    </row>
    <row r="328" spans="1:30" x14ac:dyDescent="0.25">
      <c r="A328" s="754" t="s">
        <v>604</v>
      </c>
      <c r="B328" s="756">
        <v>2.3399634361267099</v>
      </c>
      <c r="C328" s="756">
        <v>2.4299483299255402</v>
      </c>
      <c r="D328" s="756">
        <v>2.5979068279266402</v>
      </c>
      <c r="E328" s="756">
        <v>2.52754878997803</v>
      </c>
      <c r="F328" s="756">
        <v>2.4808654785156299</v>
      </c>
      <c r="G328" s="756">
        <v>2.6002757549285902</v>
      </c>
      <c r="H328" s="756">
        <v>2.6509947776794398</v>
      </c>
      <c r="I328" s="756">
        <v>2.73208808898926</v>
      </c>
      <c r="J328" s="756">
        <v>2.8122007846832302</v>
      </c>
      <c r="K328" s="756">
        <v>2.8687095642089799</v>
      </c>
      <c r="L328" s="756">
        <v>2.94158983230591</v>
      </c>
      <c r="M328" s="756">
        <v>3.0178208351135298</v>
      </c>
      <c r="N328" s="756">
        <v>3.1028199195861799</v>
      </c>
      <c r="O328" s="756">
        <v>3.17316722869873</v>
      </c>
      <c r="P328" s="756">
        <v>3.2616541385650599</v>
      </c>
      <c r="Q328" s="756">
        <v>3.3479356765747101</v>
      </c>
      <c r="R328" s="756">
        <v>3.4371068477630602</v>
      </c>
      <c r="S328" s="756">
        <v>3.5193088054657</v>
      </c>
      <c r="T328" s="756">
        <v>3.6053638458252002</v>
      </c>
      <c r="U328" s="756">
        <v>3.6816923618316699</v>
      </c>
      <c r="V328" s="756">
        <v>3.7800858020782502</v>
      </c>
      <c r="W328" s="756">
        <v>3.88063645362854</v>
      </c>
      <c r="X328" s="756">
        <v>3.98858737945557</v>
      </c>
      <c r="Y328" s="756">
        <v>4.1003923416137704</v>
      </c>
      <c r="Z328" s="756">
        <v>4.2166938781738299</v>
      </c>
    </row>
    <row r="329" spans="1:30" x14ac:dyDescent="0.25">
      <c r="A329" s="754" t="s">
        <v>605</v>
      </c>
      <c r="B329" s="756">
        <v>0</v>
      </c>
      <c r="C329" s="756">
        <v>0</v>
      </c>
      <c r="D329" s="756">
        <v>0</v>
      </c>
      <c r="E329" s="756">
        <v>0</v>
      </c>
      <c r="F329" s="756">
        <v>0</v>
      </c>
      <c r="G329" s="756">
        <v>1.5889266729354901</v>
      </c>
      <c r="H329" s="756">
        <v>1.46094393730164</v>
      </c>
      <c r="I329" s="756">
        <v>1.28843116760254</v>
      </c>
      <c r="J329" s="756">
        <v>1.5101318359375</v>
      </c>
      <c r="K329" s="756">
        <v>1.50810551643372</v>
      </c>
      <c r="L329" s="756">
        <v>1.5213859081268299</v>
      </c>
      <c r="M329" s="756">
        <v>1.53951179981232</v>
      </c>
      <c r="N329" s="756">
        <v>1.58338570594788</v>
      </c>
      <c r="O329" s="756">
        <v>1.63723039627075</v>
      </c>
      <c r="P329" s="756">
        <v>1.71289122104645</v>
      </c>
      <c r="Q329" s="756">
        <v>1.76114201545715</v>
      </c>
      <c r="R329" s="756">
        <v>1.8119050264358501</v>
      </c>
      <c r="S329" s="756">
        <v>1.8629466295242301</v>
      </c>
      <c r="T329" s="756">
        <v>1.9169825315475499</v>
      </c>
      <c r="U329" s="756">
        <v>1.9466364383697501</v>
      </c>
      <c r="V329" s="756">
        <v>1.9911848306655899</v>
      </c>
      <c r="W329" s="756">
        <v>2.0416746139526398</v>
      </c>
      <c r="X329" s="756">
        <v>2.09020328521729</v>
      </c>
      <c r="Y329" s="756">
        <v>2.1373581886291499</v>
      </c>
      <c r="Z329" s="756">
        <v>2.1847438812255899</v>
      </c>
    </row>
    <row r="330" spans="1:30" x14ac:dyDescent="0.25">
      <c r="A330" s="754" t="s">
        <v>469</v>
      </c>
      <c r="B330" s="756">
        <v>17.918214797973601</v>
      </c>
      <c r="C330" s="756">
        <v>18.6226921081543</v>
      </c>
      <c r="D330" s="756">
        <v>20.7813816070557</v>
      </c>
      <c r="E330" s="756">
        <v>19.773582458496101</v>
      </c>
      <c r="F330" s="756">
        <v>17.462970733642599</v>
      </c>
      <c r="G330" s="756">
        <v>18.126573562622099</v>
      </c>
      <c r="H330" s="756">
        <v>18.238889694213899</v>
      </c>
      <c r="I330" s="756">
        <v>18.4867153167725</v>
      </c>
      <c r="J330" s="756">
        <v>19.006654739379901</v>
      </c>
      <c r="K330" s="756">
        <v>19.565620422363299</v>
      </c>
      <c r="L330" s="756">
        <v>20.355871200561499</v>
      </c>
      <c r="M330" s="756">
        <v>21.173530578613299</v>
      </c>
      <c r="N330" s="756">
        <v>22.037576675415</v>
      </c>
      <c r="O330" s="756">
        <v>22.867145538330099</v>
      </c>
      <c r="P330" s="756">
        <v>23.876249313354499</v>
      </c>
      <c r="Q330" s="756">
        <v>24.851699829101602</v>
      </c>
      <c r="R330" s="756">
        <v>25.777753829956101</v>
      </c>
      <c r="S330" s="756">
        <v>26.392097473144499</v>
      </c>
      <c r="T330" s="756">
        <v>27.017583847045898</v>
      </c>
      <c r="U330" s="756">
        <v>27.588447570800799</v>
      </c>
      <c r="V330" s="756">
        <v>28.206142425537099</v>
      </c>
      <c r="W330" s="756">
        <v>29.1773777008057</v>
      </c>
      <c r="X330" s="756">
        <v>30.336851119995099</v>
      </c>
      <c r="Y330" s="756">
        <v>31.4674072265625</v>
      </c>
      <c r="Z330" s="756">
        <v>32.538986206054702</v>
      </c>
    </row>
    <row r="332" spans="1:30" x14ac:dyDescent="0.25">
      <c r="A332" s="754" t="s">
        <v>477</v>
      </c>
    </row>
    <row r="333" spans="1:30" x14ac:dyDescent="0.25">
      <c r="A333" s="754" t="s">
        <v>606</v>
      </c>
      <c r="B333" s="756">
        <v>21.711509704589801</v>
      </c>
      <c r="C333" s="756">
        <v>25.0072345733643</v>
      </c>
      <c r="D333" s="756">
        <v>29.391622543335</v>
      </c>
      <c r="E333" s="756">
        <v>22.380046844482401</v>
      </c>
      <c r="F333" s="756">
        <v>21.3089294433594</v>
      </c>
      <c r="G333" s="756">
        <v>23.935417175293001</v>
      </c>
      <c r="H333" s="756">
        <v>26.369024276733398</v>
      </c>
      <c r="I333" s="756">
        <v>28.752412796020501</v>
      </c>
      <c r="J333" s="756">
        <v>31.0282287597656</v>
      </c>
      <c r="K333" s="756">
        <v>33.547065734863303</v>
      </c>
      <c r="L333" s="756">
        <v>35.514869689941399</v>
      </c>
      <c r="M333" s="756">
        <v>37.352748870849602</v>
      </c>
      <c r="N333" s="756">
        <v>39.287044525146499</v>
      </c>
      <c r="O333" s="756">
        <v>40.7039604187012</v>
      </c>
      <c r="P333" s="756">
        <v>42.024444580078097</v>
      </c>
      <c r="Q333" s="756">
        <v>43.379894256591797</v>
      </c>
      <c r="R333" s="756">
        <v>44.630382537841797</v>
      </c>
      <c r="S333" s="756">
        <v>46.145259857177699</v>
      </c>
      <c r="T333" s="756">
        <v>47.363857269287102</v>
      </c>
      <c r="U333" s="756">
        <v>47.7197074890137</v>
      </c>
      <c r="V333" s="756">
        <v>49.102500915527301</v>
      </c>
      <c r="W333" s="756">
        <v>50.517303466796903</v>
      </c>
      <c r="X333" s="756">
        <v>52.086456298828097</v>
      </c>
      <c r="Y333" s="756">
        <v>53.442653656005902</v>
      </c>
      <c r="Z333" s="756">
        <v>55.104091644287102</v>
      </c>
    </row>
    <row r="334" spans="1:30" x14ac:dyDescent="0.25">
      <c r="A334" s="754" t="s">
        <v>607</v>
      </c>
      <c r="B334" s="756">
        <v>24.84494972229</v>
      </c>
      <c r="C334" s="756">
        <v>26.818180084228501</v>
      </c>
      <c r="D334" s="756">
        <v>34.822681427002003</v>
      </c>
      <c r="E334" s="756">
        <v>21.049989700317401</v>
      </c>
      <c r="F334" s="756">
        <v>19.580844879150401</v>
      </c>
      <c r="G334" s="756">
        <v>23.622909545898398</v>
      </c>
      <c r="H334" s="756">
        <v>25.881950378418001</v>
      </c>
      <c r="I334" s="756">
        <v>28.009447097778299</v>
      </c>
      <c r="J334" s="756">
        <v>30.2537937164307</v>
      </c>
      <c r="K334" s="756">
        <v>28.866632461547901</v>
      </c>
      <c r="L334" s="756">
        <v>30.4276523590088</v>
      </c>
      <c r="M334" s="756">
        <v>31.969417572021499</v>
      </c>
      <c r="N334" s="756">
        <v>32.765193939208999</v>
      </c>
      <c r="O334" s="756">
        <v>35.757926940917997</v>
      </c>
      <c r="P334" s="756">
        <v>37.577915191650398</v>
      </c>
      <c r="Q334" s="756">
        <v>38.662086486816399</v>
      </c>
      <c r="R334" s="756">
        <v>39.8419189453125</v>
      </c>
      <c r="S334" s="756">
        <v>41.092353820800803</v>
      </c>
      <c r="T334" s="756">
        <v>42.114028930664098</v>
      </c>
      <c r="U334" s="756">
        <v>42.893341064453097</v>
      </c>
      <c r="V334" s="756">
        <v>44.2104301452637</v>
      </c>
      <c r="W334" s="756">
        <v>44.896373748779297</v>
      </c>
      <c r="X334" s="756">
        <v>46.4299926757813</v>
      </c>
      <c r="Y334" s="756">
        <v>48.419319152832003</v>
      </c>
      <c r="Z334" s="756">
        <v>48.957271575927699</v>
      </c>
    </row>
    <row r="335" spans="1:30" x14ac:dyDescent="0.25">
      <c r="A335" s="754" t="s">
        <v>608</v>
      </c>
      <c r="B335" s="756">
        <v>21.213121414184599</v>
      </c>
      <c r="C335" s="756">
        <v>22.982162475585898</v>
      </c>
      <c r="D335" s="756">
        <v>26.749811172485401</v>
      </c>
      <c r="E335" s="756">
        <v>16.175968170166001</v>
      </c>
      <c r="F335" s="756">
        <v>18.381326675415</v>
      </c>
      <c r="G335" s="756">
        <v>21.693702697753899</v>
      </c>
      <c r="H335" s="756">
        <v>23.709007263183601</v>
      </c>
      <c r="I335" s="756">
        <v>25.449525833129901</v>
      </c>
      <c r="J335" s="756">
        <v>27.424634933471701</v>
      </c>
      <c r="K335" s="756">
        <v>29.529468536376999</v>
      </c>
      <c r="L335" s="756">
        <v>31.27219581604</v>
      </c>
      <c r="M335" s="756">
        <v>33.093906402587898</v>
      </c>
      <c r="N335" s="756">
        <v>34.856166839599602</v>
      </c>
      <c r="O335" s="756">
        <v>36.438858032226598</v>
      </c>
      <c r="P335" s="756">
        <v>38.015861511230497</v>
      </c>
      <c r="Q335" s="756">
        <v>39.139541625976598</v>
      </c>
      <c r="R335" s="756">
        <v>40.478176116943402</v>
      </c>
      <c r="S335" s="756">
        <v>41.691452026367202</v>
      </c>
      <c r="T335" s="756">
        <v>42.679801940917997</v>
      </c>
      <c r="U335" s="756">
        <v>43.464977264404297</v>
      </c>
      <c r="V335" s="756">
        <v>44.780059814453097</v>
      </c>
      <c r="W335" s="756">
        <v>45.673988342285199</v>
      </c>
      <c r="X335" s="756">
        <v>47.254981994628899</v>
      </c>
      <c r="Y335" s="756">
        <v>49.557445526122997</v>
      </c>
      <c r="Z335" s="756">
        <v>49.9830131530762</v>
      </c>
    </row>
    <row r="336" spans="1:30" x14ac:dyDescent="0.25">
      <c r="A336" s="754" t="s">
        <v>609</v>
      </c>
      <c r="B336" s="756">
        <v>14.844763755798301</v>
      </c>
      <c r="C336" s="756">
        <v>16.0964660644531</v>
      </c>
      <c r="D336" s="756">
        <v>22.673322677612301</v>
      </c>
      <c r="E336" s="756">
        <v>10.878761291503899</v>
      </c>
      <c r="F336" s="756">
        <v>10.805939674377401</v>
      </c>
      <c r="G336" s="756">
        <v>13.641165733337401</v>
      </c>
      <c r="H336" s="756">
        <v>15.7883806228638</v>
      </c>
      <c r="I336" s="756">
        <v>17.847295761108398</v>
      </c>
      <c r="J336" s="756">
        <v>19.768560409545898</v>
      </c>
      <c r="K336" s="756">
        <v>21.6021404266357</v>
      </c>
      <c r="L336" s="756">
        <v>23.1407794952393</v>
      </c>
      <c r="M336" s="756">
        <v>24.738756179809599</v>
      </c>
      <c r="N336" s="756">
        <v>26.200944900512699</v>
      </c>
      <c r="O336" s="756">
        <v>27.323936462402301</v>
      </c>
      <c r="P336" s="756">
        <v>28.3911018371582</v>
      </c>
      <c r="Q336" s="756">
        <v>29.343944549560501</v>
      </c>
      <c r="R336" s="756">
        <v>30.208518981933601</v>
      </c>
      <c r="S336" s="756">
        <v>31.274351119995099</v>
      </c>
      <c r="T336" s="756">
        <v>32.279064178466797</v>
      </c>
      <c r="U336" s="756">
        <v>32.661514282226598</v>
      </c>
      <c r="V336" s="756">
        <v>33.853298187255902</v>
      </c>
      <c r="W336" s="756">
        <v>34.868740081787102</v>
      </c>
      <c r="X336" s="756">
        <v>36.320652008056598</v>
      </c>
      <c r="Y336" s="756">
        <v>37.773586273193402</v>
      </c>
      <c r="Z336" s="756">
        <v>39.040420532226598</v>
      </c>
    </row>
    <row r="337" spans="1:70" x14ac:dyDescent="0.25">
      <c r="A337" s="754" t="s">
        <v>713</v>
      </c>
      <c r="B337" s="756">
        <v>19.740650177001999</v>
      </c>
      <c r="C337" s="756">
        <v>20.921422958373999</v>
      </c>
      <c r="D337" s="756">
        <v>27.660943984985401</v>
      </c>
      <c r="E337" s="756">
        <v>15.872093200683601</v>
      </c>
      <c r="F337" s="756">
        <v>15.1842641830444</v>
      </c>
      <c r="G337" s="756">
        <v>17.936090469360401</v>
      </c>
      <c r="H337" s="756">
        <v>20.100133895873999</v>
      </c>
      <c r="I337" s="756">
        <v>22.737785339355501</v>
      </c>
      <c r="J337" s="756">
        <v>24.745433807373001</v>
      </c>
      <c r="K337" s="756">
        <v>26.438911437988299</v>
      </c>
      <c r="L337" s="756">
        <v>28.0228977203369</v>
      </c>
      <c r="M337" s="756">
        <v>29.7338352203369</v>
      </c>
      <c r="N337" s="756">
        <v>31.2589511871338</v>
      </c>
      <c r="O337" s="756">
        <v>32.543869018554702</v>
      </c>
      <c r="P337" s="756">
        <v>33.764415740966797</v>
      </c>
      <c r="Q337" s="756">
        <v>34.490653991699197</v>
      </c>
      <c r="R337" s="756">
        <v>35.692588806152301</v>
      </c>
      <c r="S337" s="756">
        <v>36.884777069091797</v>
      </c>
      <c r="T337" s="756">
        <v>37.7488403320313</v>
      </c>
      <c r="U337" s="756">
        <v>38.541912078857401</v>
      </c>
      <c r="V337" s="756">
        <v>39.811958312988303</v>
      </c>
      <c r="W337" s="756">
        <v>40.433952331542997</v>
      </c>
      <c r="X337" s="756">
        <v>41.980552673339801</v>
      </c>
      <c r="Y337" s="756">
        <v>44.0175971984863</v>
      </c>
      <c r="Z337" s="756">
        <v>44.845256805419901</v>
      </c>
    </row>
    <row r="338" spans="1:70" x14ac:dyDescent="0.25">
      <c r="A338" s="754" t="s">
        <v>600</v>
      </c>
      <c r="B338" s="756">
        <v>7.9912142753601101</v>
      </c>
      <c r="C338" s="756">
        <v>9.4357099533081108</v>
      </c>
      <c r="D338" s="756">
        <v>14.5987691879272</v>
      </c>
      <c r="E338" s="756">
        <v>6.5974926948547399</v>
      </c>
      <c r="F338" s="756">
        <v>6.8336348533630398</v>
      </c>
      <c r="G338" s="756">
        <v>9.1002550125122106</v>
      </c>
      <c r="H338" s="756">
        <v>10.9850196838379</v>
      </c>
      <c r="I338" s="756">
        <v>12.7856092453003</v>
      </c>
      <c r="J338" s="756">
        <v>14.3925485610962</v>
      </c>
      <c r="K338" s="756">
        <v>16.284711837768601</v>
      </c>
      <c r="L338" s="756">
        <v>17.587419509887699</v>
      </c>
      <c r="M338" s="756">
        <v>18.815961837768601</v>
      </c>
      <c r="N338" s="756">
        <v>20.079933166503899</v>
      </c>
      <c r="O338" s="756">
        <v>21.0047607421875</v>
      </c>
      <c r="P338" s="756">
        <v>21.793167114257798</v>
      </c>
      <c r="Q338" s="756">
        <v>22.696048736572301</v>
      </c>
      <c r="R338" s="756">
        <v>23.3086338043213</v>
      </c>
      <c r="S338" s="756">
        <v>24.011238098144499</v>
      </c>
      <c r="T338" s="756">
        <v>24.648492813110401</v>
      </c>
      <c r="U338" s="756">
        <v>24.8559169769287</v>
      </c>
      <c r="V338" s="756">
        <v>25.6537380218506</v>
      </c>
      <c r="W338" s="756">
        <v>26.666080474853501</v>
      </c>
      <c r="X338" s="756">
        <v>27.731492996215799</v>
      </c>
      <c r="Y338" s="756">
        <v>28.609724044799801</v>
      </c>
      <c r="Z338" s="756">
        <v>29.807550430297901</v>
      </c>
    </row>
    <row r="339" spans="1:70" x14ac:dyDescent="0.25">
      <c r="A339" s="754" t="s">
        <v>611</v>
      </c>
      <c r="B339" s="756">
        <v>15.1338348388672</v>
      </c>
      <c r="C339" s="756">
        <v>15.4958410263062</v>
      </c>
      <c r="D339" s="756">
        <v>17.260919570922901</v>
      </c>
      <c r="E339" s="756">
        <v>13.197589874267599</v>
      </c>
      <c r="F339" s="756">
        <v>14.011960029602101</v>
      </c>
      <c r="G339" s="756">
        <v>14.5198259353638</v>
      </c>
      <c r="H339" s="756">
        <v>14.7125358581543</v>
      </c>
      <c r="I339" s="756">
        <v>14.9809007644653</v>
      </c>
      <c r="J339" s="756">
        <v>15.3987216949463</v>
      </c>
      <c r="K339" s="756">
        <v>15.929105758666999</v>
      </c>
      <c r="L339" s="756">
        <v>16.444049835205099</v>
      </c>
      <c r="M339" s="756">
        <v>16.986526489257798</v>
      </c>
      <c r="N339" s="756">
        <v>17.562019348144499</v>
      </c>
      <c r="O339" s="756">
        <v>18.214298248291001</v>
      </c>
      <c r="P339" s="756">
        <v>18.978889465331999</v>
      </c>
      <c r="Q339" s="756">
        <v>19.653842926025401</v>
      </c>
      <c r="R339" s="756">
        <v>20.151586532592798</v>
      </c>
      <c r="S339" s="756">
        <v>20.264110565185501</v>
      </c>
      <c r="T339" s="756">
        <v>20.6345119476318</v>
      </c>
      <c r="U339" s="756">
        <v>20.930568695068398</v>
      </c>
      <c r="V339" s="756">
        <v>21.5493049621582</v>
      </c>
      <c r="W339" s="756">
        <v>22.330928802490199</v>
      </c>
      <c r="X339" s="756">
        <v>23.217420578002901</v>
      </c>
      <c r="Y339" s="756">
        <v>23.984209060668899</v>
      </c>
      <c r="Z339" s="756">
        <v>24.842088699340799</v>
      </c>
    </row>
    <row r="340" spans="1:70" x14ac:dyDescent="0.25">
      <c r="A340" s="754" t="s">
        <v>469</v>
      </c>
      <c r="B340" s="756">
        <v>29.552911758422901</v>
      </c>
      <c r="C340" s="756">
        <v>30.777971267700199</v>
      </c>
      <c r="D340" s="756">
        <v>34.475650787353501</v>
      </c>
      <c r="E340" s="756">
        <v>32.511272430419901</v>
      </c>
      <c r="F340" s="756">
        <v>28.3578701019287</v>
      </c>
      <c r="G340" s="756">
        <v>29.9883632659912</v>
      </c>
      <c r="H340" s="756">
        <v>30.793474197387699</v>
      </c>
      <c r="I340" s="756">
        <v>31.290824890136701</v>
      </c>
      <c r="J340" s="756">
        <v>31.788017272949201</v>
      </c>
      <c r="K340" s="756">
        <v>32.228786468505902</v>
      </c>
      <c r="L340" s="756">
        <v>33.101249694824197</v>
      </c>
      <c r="M340" s="756">
        <v>33.873565673828097</v>
      </c>
      <c r="N340" s="756">
        <v>34.876777648925803</v>
      </c>
      <c r="O340" s="756">
        <v>35.790927886962898</v>
      </c>
      <c r="P340" s="756">
        <v>37.005527496337898</v>
      </c>
      <c r="Q340" s="756">
        <v>38.374465942382798</v>
      </c>
      <c r="R340" s="756">
        <v>39.741268157958999</v>
      </c>
      <c r="S340" s="756">
        <v>40.743644714355497</v>
      </c>
      <c r="T340" s="756">
        <v>41.832027435302699</v>
      </c>
      <c r="U340" s="756">
        <v>42.8788452148438</v>
      </c>
      <c r="V340" s="756">
        <v>44.165149688720703</v>
      </c>
      <c r="W340" s="756">
        <v>45.822151184082003</v>
      </c>
      <c r="X340" s="756">
        <v>47.770866394042997</v>
      </c>
      <c r="Y340" s="756">
        <v>49.4786567687988</v>
      </c>
      <c r="Z340" s="756">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754" t="s">
        <v>612</v>
      </c>
    </row>
    <row r="343" spans="1:70" x14ac:dyDescent="0.25">
      <c r="A343" s="754" t="s">
        <v>599</v>
      </c>
      <c r="B343" s="756">
        <v>13.411901473999</v>
      </c>
      <c r="C343" s="756">
        <v>14.7725219726563</v>
      </c>
      <c r="D343" s="756">
        <v>19.598173141479499</v>
      </c>
      <c r="E343" s="756">
        <v>12.9002075195313</v>
      </c>
      <c r="F343" s="756">
        <v>10.160784721374499</v>
      </c>
      <c r="G343" s="756">
        <v>12.683879852294901</v>
      </c>
      <c r="H343" s="756">
        <v>14.742367744445801</v>
      </c>
      <c r="I343" s="756">
        <v>16.466316223144499</v>
      </c>
      <c r="J343" s="756">
        <v>18.200975418090799</v>
      </c>
      <c r="K343" s="756">
        <v>20.294946670532202</v>
      </c>
      <c r="L343" s="756">
        <v>21.762416839599599</v>
      </c>
      <c r="M343" s="756">
        <v>23.219928741455099</v>
      </c>
      <c r="N343" s="756">
        <v>24.625257492065401</v>
      </c>
      <c r="O343" s="756">
        <v>25.658937454223601</v>
      </c>
      <c r="P343" s="756">
        <v>26.641567230224599</v>
      </c>
      <c r="Q343" s="756">
        <v>27.554689407348601</v>
      </c>
      <c r="R343" s="756">
        <v>28.433355331420898</v>
      </c>
      <c r="S343" s="756">
        <v>29.525194168090799</v>
      </c>
      <c r="T343" s="756">
        <v>30.595668792724599</v>
      </c>
      <c r="U343" s="756">
        <v>30.812200546264599</v>
      </c>
      <c r="V343" s="756">
        <v>31.8765468597412</v>
      </c>
      <c r="W343" s="756">
        <v>33.023826599121101</v>
      </c>
      <c r="X343" s="756">
        <v>34.249851226806598</v>
      </c>
      <c r="Y343" s="756">
        <v>35.370849609375</v>
      </c>
      <c r="Z343" s="756">
        <v>36.733474731445298</v>
      </c>
    </row>
    <row r="344" spans="1:70" x14ac:dyDescent="0.25">
      <c r="A344" s="754" t="s">
        <v>600</v>
      </c>
      <c r="B344" s="756">
        <v>8.1584053039550799</v>
      </c>
      <c r="C344" s="756">
        <v>8.5664386749267596</v>
      </c>
      <c r="D344" s="756">
        <v>14.623919486999499</v>
      </c>
      <c r="E344" s="756">
        <v>6.72200632095337</v>
      </c>
      <c r="F344" s="756">
        <v>6.9281921386718803</v>
      </c>
      <c r="G344" s="756">
        <v>9.7774429321289098</v>
      </c>
      <c r="H344" s="756">
        <v>11.688641548156699</v>
      </c>
      <c r="I344" s="756">
        <v>13.5591955184937</v>
      </c>
      <c r="J344" s="756">
        <v>15.198254585266101</v>
      </c>
      <c r="K344" s="756">
        <v>17.122402191162099</v>
      </c>
      <c r="L344" s="756">
        <v>18.4469089508057</v>
      </c>
      <c r="M344" s="756">
        <v>19.645553588867202</v>
      </c>
      <c r="N344" s="756">
        <v>20.905046463012699</v>
      </c>
      <c r="O344" s="756">
        <v>21.461814880371101</v>
      </c>
      <c r="P344" s="756">
        <v>22.275539398193398</v>
      </c>
      <c r="Q344" s="756">
        <v>23.178005218505898</v>
      </c>
      <c r="R344" s="756">
        <v>23.921798706054702</v>
      </c>
      <c r="S344" s="756">
        <v>24.712652206420898</v>
      </c>
      <c r="T344" s="756">
        <v>25.390251159668001</v>
      </c>
      <c r="U344" s="756">
        <v>25.605690002441399</v>
      </c>
      <c r="V344" s="756">
        <v>26.419223785400401</v>
      </c>
      <c r="W344" s="756">
        <v>27.371679306030298</v>
      </c>
      <c r="X344" s="756">
        <v>28.437421798706101</v>
      </c>
      <c r="Y344" s="756">
        <v>29.318086624145501</v>
      </c>
      <c r="Z344" s="756">
        <v>30.4597358703613</v>
      </c>
    </row>
    <row r="345" spans="1:70" x14ac:dyDescent="0.25">
      <c r="A345" s="754" t="s">
        <v>500</v>
      </c>
      <c r="B345" s="756">
        <v>6.8695855140686</v>
      </c>
      <c r="C345" s="756">
        <v>7.0191597938537598</v>
      </c>
      <c r="D345" s="756">
        <v>9.0666198730468803</v>
      </c>
      <c r="E345" s="756">
        <v>4.70163822174072</v>
      </c>
      <c r="F345" s="756">
        <v>5.3228030204772896</v>
      </c>
      <c r="G345" s="756">
        <v>5.7259230613708496</v>
      </c>
      <c r="H345" s="756">
        <v>5.8670849800109899</v>
      </c>
      <c r="I345" s="756">
        <v>5.9947657585143999</v>
      </c>
      <c r="J345" s="756">
        <v>6.2809138298034703</v>
      </c>
      <c r="K345" s="756">
        <v>6.6566915512084996</v>
      </c>
      <c r="L345" s="756">
        <v>7.0282440185546902</v>
      </c>
      <c r="M345" s="756">
        <v>7.4117355346679696</v>
      </c>
      <c r="N345" s="756">
        <v>7.8389544486999503</v>
      </c>
      <c r="O345" s="756">
        <v>8.3448457717895508</v>
      </c>
      <c r="P345" s="756">
        <v>8.9240303039550799</v>
      </c>
      <c r="Q345" s="756">
        <v>9.4456386566162092</v>
      </c>
      <c r="R345" s="756">
        <v>9.7849264144897496</v>
      </c>
      <c r="S345" s="756">
        <v>9.7760477066040004</v>
      </c>
      <c r="T345" s="756">
        <v>10.055270195007299</v>
      </c>
      <c r="U345" s="756">
        <v>10.193024635314901</v>
      </c>
      <c r="V345" s="756">
        <v>10.610521316528301</v>
      </c>
      <c r="W345" s="756">
        <v>11.20911693573</v>
      </c>
      <c r="X345" s="756">
        <v>11.9389839172363</v>
      </c>
      <c r="Y345" s="756">
        <v>12.519255638122599</v>
      </c>
      <c r="Z345" s="756">
        <v>13.197782516479499</v>
      </c>
    </row>
    <row r="346" spans="1:70" x14ac:dyDescent="0.25">
      <c r="A346" s="754" t="s">
        <v>613</v>
      </c>
      <c r="B346" s="756">
        <v>1.6900001764297501</v>
      </c>
      <c r="C346" s="756">
        <v>1.7800002098083501</v>
      </c>
      <c r="D346" s="756">
        <v>1.97352075576782</v>
      </c>
      <c r="E346" s="756">
        <v>2.0458421707153298</v>
      </c>
      <c r="F346" s="756">
        <v>1.9325078725814799</v>
      </c>
      <c r="G346" s="756">
        <v>1.9669165611267101</v>
      </c>
      <c r="H346" s="756">
        <v>1.97483730316162</v>
      </c>
      <c r="I346" s="756">
        <v>2.0363006591796902</v>
      </c>
      <c r="J346" s="756">
        <v>2.1044862270355198</v>
      </c>
      <c r="K346" s="756">
        <v>2.15470170974731</v>
      </c>
      <c r="L346" s="756">
        <v>2.2153303623199498</v>
      </c>
      <c r="M346" s="756">
        <v>2.2768745422363299</v>
      </c>
      <c r="N346" s="756">
        <v>2.3487181663513201</v>
      </c>
      <c r="O346" s="756">
        <v>2.4114518165588401</v>
      </c>
      <c r="P346" s="756">
        <v>2.4841165542602499</v>
      </c>
      <c r="Q346" s="756">
        <v>2.5551335811614999</v>
      </c>
      <c r="R346" s="756">
        <v>2.63751268386841</v>
      </c>
      <c r="S346" s="756">
        <v>2.7085535526275599</v>
      </c>
      <c r="T346" s="756">
        <v>2.7758009433746298</v>
      </c>
      <c r="U346" s="756">
        <v>2.84079241752625</v>
      </c>
      <c r="V346" s="756">
        <v>2.9094073772430402</v>
      </c>
      <c r="W346" s="756">
        <v>2.9860992431640598</v>
      </c>
      <c r="X346" s="756">
        <v>3.0685904026031499</v>
      </c>
      <c r="Y346" s="756">
        <v>3.1531631946563698</v>
      </c>
      <c r="Z346" s="756">
        <v>3.23557353019714</v>
      </c>
    </row>
    <row r="348" spans="1:70" x14ac:dyDescent="0.25">
      <c r="A348" s="754" t="s">
        <v>614</v>
      </c>
    </row>
    <row r="349" spans="1:70" x14ac:dyDescent="0.25">
      <c r="A349" s="754" t="s">
        <v>598</v>
      </c>
      <c r="B349" s="756">
        <v>15.246436119079601</v>
      </c>
      <c r="C349" s="756">
        <v>18.5313529968262</v>
      </c>
      <c r="D349" s="756">
        <v>20.134397506713899</v>
      </c>
      <c r="E349" s="756">
        <v>16.9350070953369</v>
      </c>
      <c r="F349" s="756">
        <v>16.912326812744102</v>
      </c>
      <c r="G349" s="756">
        <v>19.346534729003899</v>
      </c>
      <c r="H349" s="756">
        <v>21.4945392608643</v>
      </c>
      <c r="I349" s="756">
        <v>23.604782104492202</v>
      </c>
      <c r="J349" s="756">
        <v>25.696203231811499</v>
      </c>
      <c r="K349" s="756">
        <v>28.031579971313501</v>
      </c>
      <c r="L349" s="756">
        <v>29.828712463378899</v>
      </c>
      <c r="M349" s="756">
        <v>31.479301452636701</v>
      </c>
      <c r="N349" s="756">
        <v>33.231895446777301</v>
      </c>
      <c r="O349" s="756">
        <v>34.5145874023438</v>
      </c>
      <c r="P349" s="756">
        <v>35.698520660400398</v>
      </c>
      <c r="Q349" s="756">
        <v>36.883983612060497</v>
      </c>
      <c r="R349" s="756">
        <v>37.996242523193402</v>
      </c>
      <c r="S349" s="756">
        <v>39.337680816650398</v>
      </c>
      <c r="T349" s="756">
        <v>40.431327819824197</v>
      </c>
      <c r="U349" s="756">
        <v>40.7233276367188</v>
      </c>
      <c r="V349" s="756">
        <v>41.9925727844238</v>
      </c>
      <c r="W349" s="756">
        <v>43.322719573974602</v>
      </c>
      <c r="X349" s="756">
        <v>44.788909912109403</v>
      </c>
      <c r="Y349" s="756">
        <v>45.941520690917997</v>
      </c>
      <c r="Z349" s="756">
        <v>47.553462982177699</v>
      </c>
    </row>
    <row r="350" spans="1:70" x14ac:dyDescent="0.25">
      <c r="A350" s="754" t="s">
        <v>607</v>
      </c>
      <c r="B350" s="756">
        <v>24.84494972229</v>
      </c>
      <c r="C350" s="756">
        <v>26.818180084228501</v>
      </c>
      <c r="D350" s="756">
        <v>34.822681427002003</v>
      </c>
      <c r="E350" s="756">
        <v>21.049989700317401</v>
      </c>
      <c r="F350" s="756">
        <v>19.580844879150401</v>
      </c>
      <c r="G350" s="756">
        <v>23.622909545898398</v>
      </c>
      <c r="H350" s="756">
        <v>25.881950378418001</v>
      </c>
      <c r="I350" s="756">
        <v>28.009447097778299</v>
      </c>
      <c r="J350" s="756">
        <v>30.2537937164307</v>
      </c>
      <c r="K350" s="756">
        <v>28.866632461547901</v>
      </c>
      <c r="L350" s="756">
        <v>30.4276523590088</v>
      </c>
      <c r="M350" s="756">
        <v>31.969417572021499</v>
      </c>
      <c r="N350" s="756">
        <v>32.765193939208999</v>
      </c>
      <c r="O350" s="756">
        <v>35.757926940917997</v>
      </c>
      <c r="P350" s="756">
        <v>37.577915191650398</v>
      </c>
      <c r="Q350" s="756">
        <v>38.662086486816399</v>
      </c>
      <c r="R350" s="756">
        <v>39.8419189453125</v>
      </c>
      <c r="S350" s="756">
        <v>41.092353820800803</v>
      </c>
      <c r="T350" s="756">
        <v>42.114028930664098</v>
      </c>
      <c r="U350" s="756">
        <v>42.893341064453097</v>
      </c>
      <c r="V350" s="756">
        <v>44.2104301452637</v>
      </c>
      <c r="W350" s="756">
        <v>44.896373748779297</v>
      </c>
      <c r="X350" s="756">
        <v>46.4299926757813</v>
      </c>
      <c r="Y350" s="756">
        <v>48.419319152832003</v>
      </c>
      <c r="Z350" s="756">
        <v>48.957271575927699</v>
      </c>
    </row>
    <row r="351" spans="1:70" x14ac:dyDescent="0.25">
      <c r="A351" s="754" t="s">
        <v>608</v>
      </c>
      <c r="B351" s="756">
        <v>21.081119537353501</v>
      </c>
      <c r="C351" s="756">
        <v>22.8191947937012</v>
      </c>
      <c r="D351" s="756">
        <v>26.582485198974599</v>
      </c>
      <c r="E351" s="756">
        <v>16.308473587036101</v>
      </c>
      <c r="F351" s="756">
        <v>18.3791694641113</v>
      </c>
      <c r="G351" s="756">
        <v>21.690732955932599</v>
      </c>
      <c r="H351" s="756">
        <v>23.705785751342798</v>
      </c>
      <c r="I351" s="756">
        <v>25.446578979492202</v>
      </c>
      <c r="J351" s="756">
        <v>27.421388626098601</v>
      </c>
      <c r="K351" s="756">
        <v>29.526109695434599</v>
      </c>
      <c r="L351" s="756">
        <v>31.268815994262699</v>
      </c>
      <c r="M351" s="756">
        <v>33.090030670166001</v>
      </c>
      <c r="N351" s="756">
        <v>34.852634429931598</v>
      </c>
      <c r="O351" s="756">
        <v>36.4355278015137</v>
      </c>
      <c r="P351" s="756">
        <v>38.011890411377003</v>
      </c>
      <c r="Q351" s="756">
        <v>39.135532379150398</v>
      </c>
      <c r="R351" s="756">
        <v>40.475978851318402</v>
      </c>
      <c r="S351" s="756">
        <v>41.687484741210902</v>
      </c>
      <c r="T351" s="756">
        <v>42.675270080566399</v>
      </c>
      <c r="U351" s="756">
        <v>43.460239410400398</v>
      </c>
      <c r="V351" s="756">
        <v>44.775581359863303</v>
      </c>
      <c r="W351" s="756">
        <v>45.668975830078097</v>
      </c>
      <c r="X351" s="756">
        <v>47.250167846679702</v>
      </c>
      <c r="Y351" s="756">
        <v>49.551605224609403</v>
      </c>
      <c r="Z351" s="756">
        <v>49.978668212890597</v>
      </c>
    </row>
    <row r="352" spans="1:70" x14ac:dyDescent="0.25">
      <c r="A352" s="754" t="s">
        <v>615</v>
      </c>
      <c r="B352" s="756">
        <v>14.844763755798301</v>
      </c>
      <c r="C352" s="756">
        <v>16.0964660644531</v>
      </c>
      <c r="D352" s="756">
        <v>22.673322677612301</v>
      </c>
      <c r="E352" s="756">
        <v>10.878761291503899</v>
      </c>
      <c r="F352" s="756">
        <v>10.805939674377401</v>
      </c>
      <c r="G352" s="756">
        <v>13.641165733337401</v>
      </c>
      <c r="H352" s="756">
        <v>15.7883806228638</v>
      </c>
      <c r="I352" s="756">
        <v>17.847295761108398</v>
      </c>
      <c r="J352" s="756">
        <v>19.768560409545898</v>
      </c>
      <c r="K352" s="756">
        <v>21.6021404266357</v>
      </c>
      <c r="L352" s="756">
        <v>23.1407794952393</v>
      </c>
      <c r="M352" s="756">
        <v>24.738756179809599</v>
      </c>
      <c r="N352" s="756">
        <v>26.200944900512699</v>
      </c>
      <c r="O352" s="756">
        <v>27.323936462402301</v>
      </c>
      <c r="P352" s="756">
        <v>28.3911018371582</v>
      </c>
      <c r="Q352" s="756">
        <v>29.343944549560501</v>
      </c>
      <c r="R352" s="756">
        <v>30.208518981933601</v>
      </c>
      <c r="S352" s="756">
        <v>31.274351119995099</v>
      </c>
      <c r="T352" s="756">
        <v>32.279064178466797</v>
      </c>
      <c r="U352" s="756">
        <v>32.661514282226598</v>
      </c>
      <c r="V352" s="756">
        <v>33.853298187255902</v>
      </c>
      <c r="W352" s="756">
        <v>34.868740081787102</v>
      </c>
      <c r="X352" s="756">
        <v>36.320652008056598</v>
      </c>
      <c r="Y352" s="756">
        <v>37.773586273193402</v>
      </c>
      <c r="Z352" s="756">
        <v>39.040420532226598</v>
      </c>
    </row>
    <row r="353" spans="1:70" x14ac:dyDescent="0.25">
      <c r="A353" s="754" t="s">
        <v>599</v>
      </c>
      <c r="B353" s="756">
        <v>18.668458938598601</v>
      </c>
      <c r="C353" s="756">
        <v>19.9431552886963</v>
      </c>
      <c r="D353" s="756">
        <v>26.286823272705099</v>
      </c>
      <c r="E353" s="756">
        <v>15.636975288391101</v>
      </c>
      <c r="F353" s="756">
        <v>14.1092176437378</v>
      </c>
      <c r="G353" s="756">
        <v>16.902593612670898</v>
      </c>
      <c r="H353" s="756">
        <v>19.1516017913818</v>
      </c>
      <c r="I353" s="756">
        <v>21.744958877563501</v>
      </c>
      <c r="J353" s="756">
        <v>23.745824813842798</v>
      </c>
      <c r="K353" s="756">
        <v>25.478622436523398</v>
      </c>
      <c r="L353" s="756">
        <v>27.0623779296875</v>
      </c>
      <c r="M353" s="756">
        <v>28.722316741943398</v>
      </c>
      <c r="N353" s="756">
        <v>30.288469314575199</v>
      </c>
      <c r="O353" s="756">
        <v>31.560461044311499</v>
      </c>
      <c r="P353" s="756">
        <v>32.757129669189503</v>
      </c>
      <c r="Q353" s="756">
        <v>33.523193359375</v>
      </c>
      <c r="R353" s="756">
        <v>34.769081115722699</v>
      </c>
      <c r="S353" s="756">
        <v>35.882114410400398</v>
      </c>
      <c r="T353" s="756">
        <v>36.791599273681598</v>
      </c>
      <c r="U353" s="756">
        <v>37.5217895507813</v>
      </c>
      <c r="V353" s="756">
        <v>38.800697326660199</v>
      </c>
      <c r="W353" s="756">
        <v>39.467311859130902</v>
      </c>
      <c r="X353" s="756">
        <v>40.997920989990199</v>
      </c>
      <c r="Y353" s="756">
        <v>42.937191009521499</v>
      </c>
      <c r="Z353" s="756">
        <v>43.857540130615199</v>
      </c>
    </row>
    <row r="354" spans="1:70" x14ac:dyDescent="0.25">
      <c r="A354" s="754" t="s">
        <v>600</v>
      </c>
      <c r="B354" s="756">
        <v>8.2036781311035192</v>
      </c>
      <c r="C354" s="756">
        <v>9.3672227859497106</v>
      </c>
      <c r="D354" s="756">
        <v>14.4897508621216</v>
      </c>
      <c r="E354" s="756">
        <v>6.7128052711486799</v>
      </c>
      <c r="F354" s="756">
        <v>7.1757683753967303</v>
      </c>
      <c r="G354" s="756">
        <v>9.6609458923339808</v>
      </c>
      <c r="H354" s="756">
        <v>11.544206619262701</v>
      </c>
      <c r="I354" s="756">
        <v>13.370221138000501</v>
      </c>
      <c r="J354" s="756">
        <v>14.996021270751999</v>
      </c>
      <c r="K354" s="756">
        <v>16.898206710815401</v>
      </c>
      <c r="L354" s="756">
        <v>18.207862854003899</v>
      </c>
      <c r="M354" s="756">
        <v>19.411674499511701</v>
      </c>
      <c r="N354" s="756">
        <v>20.6822299957275</v>
      </c>
      <c r="O354" s="756">
        <v>21.516969680786101</v>
      </c>
      <c r="P354" s="756">
        <v>22.335527420043899</v>
      </c>
      <c r="Q354" s="756">
        <v>23.2407321929932</v>
      </c>
      <c r="R354" s="756">
        <v>23.916133880615199</v>
      </c>
      <c r="S354" s="756">
        <v>24.6660556793213</v>
      </c>
      <c r="T354" s="756">
        <v>25.322589874267599</v>
      </c>
      <c r="U354" s="756">
        <v>25.500698089599599</v>
      </c>
      <c r="V354" s="756">
        <v>26.3019409179688</v>
      </c>
      <c r="W354" s="756">
        <v>27.270561218261701</v>
      </c>
      <c r="X354" s="756">
        <v>28.332614898681602</v>
      </c>
      <c r="Y354" s="756">
        <v>29.2080383300781</v>
      </c>
      <c r="Z354" s="756">
        <v>30.365930557251001</v>
      </c>
    </row>
    <row r="355" spans="1:70" x14ac:dyDescent="0.25">
      <c r="A355" s="754" t="s">
        <v>500</v>
      </c>
      <c r="B355" s="756">
        <v>9.2523355484008807</v>
      </c>
      <c r="C355" s="756">
        <v>9.0060253143310494</v>
      </c>
      <c r="D355" s="756">
        <v>10.405486106872599</v>
      </c>
      <c r="E355" s="756">
        <v>6.98002004623413</v>
      </c>
      <c r="F355" s="756">
        <v>7.7092094421386701</v>
      </c>
      <c r="G355" s="756">
        <v>8.12390232086182</v>
      </c>
      <c r="H355" s="756">
        <v>8.2825136184692401</v>
      </c>
      <c r="I355" s="756">
        <v>8.4401350021362305</v>
      </c>
      <c r="J355" s="756">
        <v>8.7418422698974592</v>
      </c>
      <c r="K355" s="756">
        <v>9.1197204589843803</v>
      </c>
      <c r="L355" s="756">
        <v>9.5538625717163104</v>
      </c>
      <c r="M355" s="756">
        <v>10.0050344467163</v>
      </c>
      <c r="N355" s="756">
        <v>10.4820852279663</v>
      </c>
      <c r="O355" s="756">
        <v>11.0441122055054</v>
      </c>
      <c r="P355" s="756">
        <v>11.7092485427856</v>
      </c>
      <c r="Q355" s="756">
        <v>12.280260086059601</v>
      </c>
      <c r="R355" s="756">
        <v>12.668963432311999</v>
      </c>
      <c r="S355" s="756">
        <v>12.670117378234901</v>
      </c>
      <c r="T355" s="756">
        <v>12.917200088501</v>
      </c>
      <c r="U355" s="756">
        <v>13.0803108215332</v>
      </c>
      <c r="V355" s="756">
        <v>13.574273109436</v>
      </c>
      <c r="W355" s="756">
        <v>14.23717212677</v>
      </c>
      <c r="X355" s="756">
        <v>15.0462560653687</v>
      </c>
      <c r="Y355" s="756">
        <v>15.740474700927701</v>
      </c>
      <c r="Z355" s="756">
        <v>16.4913539886475</v>
      </c>
    </row>
    <row r="356" spans="1:70" ht="13.8" thickBot="1" x14ac:dyDescent="0.3">
      <c r="A356" s="754" t="s">
        <v>603</v>
      </c>
      <c r="B356" s="756">
        <v>3.53999996185303</v>
      </c>
      <c r="C356" s="756">
        <v>3.6099998950958301</v>
      </c>
      <c r="D356" s="756">
        <v>4.1449666023254403</v>
      </c>
      <c r="E356" s="756">
        <v>4.1784791946411097</v>
      </c>
      <c r="F356" s="756">
        <v>4.1485314369201696</v>
      </c>
      <c r="G356" s="756">
        <v>4.3175525665283203</v>
      </c>
      <c r="H356" s="756">
        <v>4.44484186172485</v>
      </c>
      <c r="I356" s="756">
        <v>4.5821456909179696</v>
      </c>
      <c r="J356" s="756">
        <v>4.7206311225891104</v>
      </c>
      <c r="K356" s="756">
        <v>4.8563599586486799</v>
      </c>
      <c r="L356" s="756">
        <v>4.9913563728332502</v>
      </c>
      <c r="M356" s="756">
        <v>5.1233406066894496</v>
      </c>
      <c r="N356" s="756">
        <v>5.2680139541626003</v>
      </c>
      <c r="O356" s="756">
        <v>5.4137320518493697</v>
      </c>
      <c r="P356" s="756">
        <v>5.5743689537048304</v>
      </c>
      <c r="Q356" s="756">
        <v>5.7906579971313503</v>
      </c>
      <c r="R356" s="756">
        <v>6.0209679603576696</v>
      </c>
      <c r="S356" s="756">
        <v>6.20045709609985</v>
      </c>
      <c r="T356" s="756">
        <v>6.3775997161865199</v>
      </c>
      <c r="U356" s="756">
        <v>6.5161404609680202</v>
      </c>
      <c r="V356" s="756">
        <v>6.6299972534179696</v>
      </c>
      <c r="W356" s="756">
        <v>6.7667918205261204</v>
      </c>
      <c r="X356" s="756">
        <v>6.88553714752197</v>
      </c>
      <c r="Y356" s="756">
        <v>6.9704546928405797</v>
      </c>
      <c r="Z356" s="756">
        <v>7.0137753486633301</v>
      </c>
    </row>
    <row r="357" spans="1:70" ht="13.8" thickBot="1" x14ac:dyDescent="0.3">
      <c r="A357" s="754" t="s">
        <v>616</v>
      </c>
      <c r="B357" s="756">
        <v>1.73100674152374</v>
      </c>
      <c r="C357" s="756">
        <v>1.81885313987732</v>
      </c>
      <c r="D357" s="756">
        <v>2.01088166236877</v>
      </c>
      <c r="E357" s="756">
        <v>2.0711190700531001</v>
      </c>
      <c r="F357" s="756">
        <v>1.96068322658539</v>
      </c>
      <c r="G357" s="756">
        <v>1.99932932853699</v>
      </c>
      <c r="H357" s="756">
        <v>2.0096416473388699</v>
      </c>
      <c r="I357" s="756">
        <v>2.07272601127625</v>
      </c>
      <c r="J357" s="756">
        <v>2.1420636177063002</v>
      </c>
      <c r="K357" s="756">
        <v>2.1925818920135498</v>
      </c>
      <c r="L357" s="756">
        <v>2.2534883022308301</v>
      </c>
      <c r="M357" s="756">
        <v>2.3155770301818799</v>
      </c>
      <c r="N357" s="756">
        <v>2.38794946670532</v>
      </c>
      <c r="O357" s="756">
        <v>2.4510562419891402</v>
      </c>
      <c r="P357" s="756">
        <v>2.52451372146606</v>
      </c>
      <c r="Q357" s="756">
        <v>2.5963439941406299</v>
      </c>
      <c r="R357" s="756">
        <v>2.6790707111358598</v>
      </c>
      <c r="S357" s="756">
        <v>2.7507226467132599</v>
      </c>
      <c r="T357" s="756">
        <v>2.8189043998718302</v>
      </c>
      <c r="U357" s="756">
        <v>2.8845274448394802</v>
      </c>
      <c r="V357" s="756">
        <v>2.9543473720550502</v>
      </c>
      <c r="W357" s="756">
        <v>3.0319309234619101</v>
      </c>
      <c r="X357" s="756">
        <v>3.1151678562164302</v>
      </c>
      <c r="Y357" s="756">
        <v>3.20047926902771</v>
      </c>
      <c r="Z357" s="756">
        <v>3.2839629650115998</v>
      </c>
      <c r="AA357" s="277">
        <f>Z527+($AI$357-$Y$527)/10</f>
        <v>8.0623037763536161</v>
      </c>
      <c r="AB357" s="277">
        <f t="shared" ref="AB357:AH357" si="21">AA357+($AI$357-$Y$527)/10</f>
        <v>8.1146083992868938</v>
      </c>
      <c r="AC357" s="277">
        <f t="shared" si="21"/>
        <v>8.1669130222201716</v>
      </c>
      <c r="AD357" s="277">
        <f t="shared" si="21"/>
        <v>8.2192176451534493</v>
      </c>
      <c r="AE357" s="277">
        <f t="shared" si="21"/>
        <v>8.2715222680867271</v>
      </c>
      <c r="AF357" s="277">
        <f t="shared" si="21"/>
        <v>8.3238268910200048</v>
      </c>
      <c r="AG357" s="277">
        <f t="shared" si="21"/>
        <v>8.3761315139532826</v>
      </c>
      <c r="AH357" s="277">
        <f t="shared" si="21"/>
        <v>8.4284361368865603</v>
      </c>
      <c r="AI357" s="278">
        <f>T527*$E$742</f>
        <v>8.4807407598198452</v>
      </c>
      <c r="AJ357" s="277">
        <f>AI357+($AX$357-$AI$357)/15</f>
        <v>8.5767365137369804</v>
      </c>
      <c r="AK357" s="277">
        <f t="shared" ref="AK357:AW357" si="22">AJ357+($AX$357-$AI$357)/15</f>
        <v>8.6727322676541156</v>
      </c>
      <c r="AL357" s="277">
        <f t="shared" si="22"/>
        <v>8.7687280215712509</v>
      </c>
      <c r="AM357" s="277">
        <f t="shared" si="22"/>
        <v>8.8647237754883861</v>
      </c>
      <c r="AN357" s="277">
        <f t="shared" si="22"/>
        <v>8.9607195294055213</v>
      </c>
      <c r="AO357" s="277">
        <f t="shared" si="22"/>
        <v>9.0567152833226565</v>
      </c>
      <c r="AP357" s="277">
        <f t="shared" si="22"/>
        <v>9.1527110372397917</v>
      </c>
      <c r="AQ357" s="277">
        <f t="shared" si="22"/>
        <v>9.248706791156927</v>
      </c>
      <c r="AR357" s="277">
        <f t="shared" si="22"/>
        <v>9.3447025450740622</v>
      </c>
      <c r="AS357" s="277">
        <f t="shared" si="22"/>
        <v>9.4406982989911974</v>
      </c>
      <c r="AT357" s="277">
        <f t="shared" si="22"/>
        <v>9.5366940529083326</v>
      </c>
      <c r="AU357" s="277">
        <f t="shared" si="22"/>
        <v>9.6326898068254678</v>
      </c>
      <c r="AV357" s="277">
        <f t="shared" si="22"/>
        <v>9.728685560742603</v>
      </c>
      <c r="AW357" s="277">
        <f t="shared" si="22"/>
        <v>9.8246813146597383</v>
      </c>
      <c r="AX357" s="278">
        <f>AI357*$B$742</f>
        <v>9.9206770685768717</v>
      </c>
      <c r="AY357" s="277">
        <f>AX357+($BM$357-$AX$357)/15</f>
        <v>10.018909165246043</v>
      </c>
      <c r="AZ357" s="277">
        <f t="shared" ref="AZ357:BL357" si="23">AY357+($BM$357-$AX$357)/15</f>
        <v>10.117141261915215</v>
      </c>
      <c r="BA357" s="277">
        <f t="shared" si="23"/>
        <v>10.215373358584387</v>
      </c>
      <c r="BB357" s="277">
        <f t="shared" si="23"/>
        <v>10.313605455253558</v>
      </c>
      <c r="BC357" s="277">
        <f t="shared" si="23"/>
        <v>10.41183755192273</v>
      </c>
      <c r="BD357" s="277">
        <f t="shared" si="23"/>
        <v>10.510069648591902</v>
      </c>
      <c r="BE357" s="277">
        <f t="shared" si="23"/>
        <v>10.608301745261073</v>
      </c>
      <c r="BF357" s="277">
        <f t="shared" si="23"/>
        <v>10.706533841930245</v>
      </c>
      <c r="BG357" s="277">
        <f t="shared" si="23"/>
        <v>10.804765938599417</v>
      </c>
      <c r="BH357" s="277">
        <f t="shared" si="23"/>
        <v>10.902998035268588</v>
      </c>
      <c r="BI357" s="277">
        <f t="shared" si="23"/>
        <v>11.00123013193776</v>
      </c>
      <c r="BJ357" s="277">
        <f t="shared" si="23"/>
        <v>11.099462228606932</v>
      </c>
      <c r="BK357" s="277">
        <f t="shared" si="23"/>
        <v>11.197694325276103</v>
      </c>
      <c r="BL357" s="277">
        <f t="shared" si="23"/>
        <v>11.295926421945275</v>
      </c>
      <c r="BM357" s="278">
        <f>AX357*$C$742</f>
        <v>11.394158518614441</v>
      </c>
      <c r="BN357" s="277">
        <f>BM357+($BR$357-$BM$357)/5</f>
        <v>11.506980665059427</v>
      </c>
      <c r="BO357" s="277">
        <f>BN357+($BR$357-$BM$357)/5</f>
        <v>11.619802811504412</v>
      </c>
      <c r="BP357" s="277">
        <f>BO357+($BR$357-$BM$357)/5</f>
        <v>11.732624957949398</v>
      </c>
      <c r="BQ357" s="277">
        <f>BP357+($BR$357-$BM$357)/5</f>
        <v>11.845447104394383</v>
      </c>
      <c r="BR357" s="278">
        <f>BM357*$D$742</f>
        <v>11.95826925083937</v>
      </c>
    </row>
    <row r="358" spans="1:70" ht="13.8" thickBot="1" x14ac:dyDescent="0.3">
      <c r="A358" s="754" t="s">
        <v>605</v>
      </c>
      <c r="B358" s="756">
        <v>0</v>
      </c>
      <c r="C358" s="756">
        <v>0</v>
      </c>
      <c r="D358" s="756">
        <v>0</v>
      </c>
      <c r="E358" s="756">
        <v>0</v>
      </c>
      <c r="F358" s="756">
        <v>0</v>
      </c>
      <c r="G358" s="756">
        <v>1.5889266729354901</v>
      </c>
      <c r="H358" s="756">
        <v>1.46094393730164</v>
      </c>
      <c r="I358" s="756">
        <v>1.28843116760254</v>
      </c>
      <c r="J358" s="756">
        <v>1.5101318359375</v>
      </c>
      <c r="K358" s="756">
        <v>1.50810551643372</v>
      </c>
      <c r="L358" s="756">
        <v>1.5213859081268299</v>
      </c>
      <c r="M358" s="756">
        <v>1.53951179981232</v>
      </c>
      <c r="N358" s="756">
        <v>1.58338570594788</v>
      </c>
      <c r="O358" s="756">
        <v>1.63723039627075</v>
      </c>
      <c r="P358" s="756">
        <v>1.71289122104645</v>
      </c>
      <c r="Q358" s="756">
        <v>1.76114201545715</v>
      </c>
      <c r="R358" s="756">
        <v>1.8119050264358501</v>
      </c>
      <c r="S358" s="756">
        <v>1.8629466295242301</v>
      </c>
      <c r="T358" s="756">
        <v>1.9169825315475499</v>
      </c>
      <c r="U358" s="756">
        <v>1.9466364383697501</v>
      </c>
      <c r="V358" s="756">
        <v>1.9911848306655899</v>
      </c>
      <c r="W358" s="756">
        <v>2.0416746139526398</v>
      </c>
      <c r="X358" s="756">
        <v>2.09020328521729</v>
      </c>
      <c r="Y358" s="756">
        <v>2.1373581886291499</v>
      </c>
      <c r="Z358" s="756">
        <v>2.1847438812255899</v>
      </c>
      <c r="AA358" s="279">
        <f>Z528+($AI$358-$Y$528)/10</f>
        <v>22.224617194901626</v>
      </c>
      <c r="AB358" s="279">
        <f t="shared" ref="AB358:AH358" si="24">AA358+($AI$358-$Y$528)/10</f>
        <v>22.135413455621489</v>
      </c>
      <c r="AC358" s="279">
        <f t="shared" si="24"/>
        <v>22.046209716341352</v>
      </c>
      <c r="AD358" s="279">
        <f t="shared" si="24"/>
        <v>21.957005977061215</v>
      </c>
      <c r="AE358" s="279">
        <f t="shared" si="24"/>
        <v>21.867802237781078</v>
      </c>
      <c r="AF358" s="279">
        <f t="shared" si="24"/>
        <v>21.778598498500941</v>
      </c>
      <c r="AG358" s="279">
        <f t="shared" si="24"/>
        <v>21.689394759220804</v>
      </c>
      <c r="AH358" s="279">
        <f t="shared" si="24"/>
        <v>21.600191019940667</v>
      </c>
      <c r="AI358" s="280">
        <f>T528*$E$745</f>
        <v>21.510987280660522</v>
      </c>
      <c r="AJ358" s="279">
        <f>AI358+($AX$358-$AI$358)/15</f>
        <v>21.502530865644818</v>
      </c>
      <c r="AK358" s="279">
        <f t="shared" ref="AK358:AW358" si="25">AJ358+($AX$358-$AI$358)/15</f>
        <v>21.494074450629114</v>
      </c>
      <c r="AL358" s="279">
        <f t="shared" si="25"/>
        <v>21.48561803561341</v>
      </c>
      <c r="AM358" s="279">
        <f t="shared" si="25"/>
        <v>21.477161620597705</v>
      </c>
      <c r="AN358" s="279">
        <f t="shared" si="25"/>
        <v>21.468705205582001</v>
      </c>
      <c r="AO358" s="279">
        <f t="shared" si="25"/>
        <v>21.460248790566297</v>
      </c>
      <c r="AP358" s="279">
        <f t="shared" si="25"/>
        <v>21.451792375550593</v>
      </c>
      <c r="AQ358" s="279">
        <f t="shared" si="25"/>
        <v>21.443335960534888</v>
      </c>
      <c r="AR358" s="279">
        <f t="shared" si="25"/>
        <v>21.434879545519184</v>
      </c>
      <c r="AS358" s="279">
        <f t="shared" si="25"/>
        <v>21.42642313050348</v>
      </c>
      <c r="AT358" s="279">
        <f t="shared" si="25"/>
        <v>21.417966715487776</v>
      </c>
      <c r="AU358" s="279">
        <f t="shared" si="25"/>
        <v>21.409510300472071</v>
      </c>
      <c r="AV358" s="279">
        <f t="shared" si="25"/>
        <v>21.401053885456367</v>
      </c>
      <c r="AW358" s="279">
        <f t="shared" si="25"/>
        <v>21.392597470440663</v>
      </c>
      <c r="AX358" s="280">
        <f>AI358*$B$745</f>
        <v>21.384141055424955</v>
      </c>
      <c r="AY358" s="279">
        <f>AX358+($BM$358-$AX$358)/15</f>
        <v>21.397725276976207</v>
      </c>
      <c r="AZ358" s="279">
        <f t="shared" ref="AZ358:BL358" si="26">AY358+($BM$358-$AX$358)/15</f>
        <v>21.411309498527459</v>
      </c>
      <c r="BA358" s="279">
        <f t="shared" si="26"/>
        <v>21.42489372007871</v>
      </c>
      <c r="BB358" s="279">
        <f t="shared" si="26"/>
        <v>21.438477941629962</v>
      </c>
      <c r="BC358" s="279">
        <f t="shared" si="26"/>
        <v>21.452062163181214</v>
      </c>
      <c r="BD358" s="279">
        <f t="shared" si="26"/>
        <v>21.465646384732466</v>
      </c>
      <c r="BE358" s="279">
        <f t="shared" si="26"/>
        <v>21.479230606283718</v>
      </c>
      <c r="BF358" s="279">
        <f t="shared" si="26"/>
        <v>21.49281482783497</v>
      </c>
      <c r="BG358" s="279">
        <f t="shared" si="26"/>
        <v>21.506399049386221</v>
      </c>
      <c r="BH358" s="279">
        <f t="shared" si="26"/>
        <v>21.519983270937473</v>
      </c>
      <c r="BI358" s="279">
        <f t="shared" si="26"/>
        <v>21.533567492488725</v>
      </c>
      <c r="BJ358" s="279">
        <f t="shared" si="26"/>
        <v>21.547151714039977</v>
      </c>
      <c r="BK358" s="279">
        <f t="shared" si="26"/>
        <v>21.560735935591229</v>
      </c>
      <c r="BL358" s="279">
        <f t="shared" si="26"/>
        <v>21.574320157142481</v>
      </c>
      <c r="BM358" s="280">
        <f>AX358*$C$745</f>
        <v>21.587904378693722</v>
      </c>
      <c r="BN358" s="279">
        <f>BM358+($BR$358-$BM$358)/5</f>
        <v>21.601618040381013</v>
      </c>
      <c r="BO358" s="279">
        <f>BN358+($BR$358-$BM$358)/5</f>
        <v>21.615331702068303</v>
      </c>
      <c r="BP358" s="279">
        <f>BO358+($BR$358-$BM$358)/5</f>
        <v>21.629045363755594</v>
      </c>
      <c r="BQ358" s="279">
        <f>BP358+($BR$358-$BM$358)/5</f>
        <v>21.642759025442885</v>
      </c>
      <c r="BR358" s="280">
        <f>BM358*$D$745</f>
        <v>21.656472687130176</v>
      </c>
    </row>
    <row r="359" spans="1:70" x14ac:dyDescent="0.25">
      <c r="A359" s="754" t="s">
        <v>469</v>
      </c>
      <c r="B359" s="756">
        <v>25.973251342773398</v>
      </c>
      <c r="C359" s="756">
        <v>26.680915832519499</v>
      </c>
      <c r="D359" s="756">
        <v>28.4103908538818</v>
      </c>
      <c r="E359" s="756">
        <v>27.544679641723601</v>
      </c>
      <c r="F359" s="756">
        <v>25.191349029541001</v>
      </c>
      <c r="G359" s="756">
        <v>26.348068237304702</v>
      </c>
      <c r="H359" s="756">
        <v>26.6303806304932</v>
      </c>
      <c r="I359" s="756">
        <v>27.154542922973601</v>
      </c>
      <c r="J359" s="756">
        <v>28.002742767333999</v>
      </c>
      <c r="K359" s="756">
        <v>28.757371902465799</v>
      </c>
      <c r="L359" s="756">
        <v>29.780685424804702</v>
      </c>
      <c r="M359" s="756">
        <v>30.870384216308601</v>
      </c>
      <c r="N359" s="756">
        <v>32.039138793945298</v>
      </c>
      <c r="O359" s="756">
        <v>33.131908416747997</v>
      </c>
      <c r="P359" s="756">
        <v>34.493354797363303</v>
      </c>
      <c r="Q359" s="756">
        <v>35.847507476806598</v>
      </c>
      <c r="R359" s="756">
        <v>37.095943450927699</v>
      </c>
      <c r="S359" s="756">
        <v>37.945499420166001</v>
      </c>
      <c r="T359" s="756">
        <v>38.854724884033203</v>
      </c>
      <c r="U359" s="756">
        <v>39.667263031005902</v>
      </c>
      <c r="V359" s="756">
        <v>40.613765716552699</v>
      </c>
      <c r="W359" s="756">
        <v>41.989593505859403</v>
      </c>
      <c r="X359" s="756">
        <v>43.556324005127003</v>
      </c>
      <c r="Y359" s="756">
        <v>45.098350524902301</v>
      </c>
      <c r="Z359" s="756">
        <v>46.616588592529297</v>
      </c>
    </row>
    <row r="361" spans="1:70" x14ac:dyDescent="0.25">
      <c r="A361" s="754" t="s">
        <v>503</v>
      </c>
    </row>
    <row r="362" spans="1:70" x14ac:dyDescent="0.25">
      <c r="A362" s="754" t="s">
        <v>716</v>
      </c>
    </row>
    <row r="363" spans="1:70" x14ac:dyDescent="0.25">
      <c r="A363" s="754" t="s">
        <v>463</v>
      </c>
      <c r="B363" s="756">
        <v>225.03859096661196</v>
      </c>
      <c r="C363" s="756">
        <v>238.40081787109398</v>
      </c>
      <c r="D363" s="756">
        <v>255.49913625772319</v>
      </c>
      <c r="E363" s="756">
        <v>230.9929746666815</v>
      </c>
      <c r="F363" s="756">
        <v>223.41247611699868</v>
      </c>
      <c r="G363" s="756">
        <v>235.2892736225177</v>
      </c>
      <c r="H363" s="756">
        <v>241.6920712265439</v>
      </c>
      <c r="I363" s="756">
        <v>246.56659612211084</v>
      </c>
      <c r="J363" s="756">
        <v>255.55094332875294</v>
      </c>
      <c r="K363" s="756">
        <v>264.57905396662414</v>
      </c>
      <c r="L363" s="756">
        <v>275.89920726734971</v>
      </c>
      <c r="M363" s="756">
        <v>287.49516661999758</v>
      </c>
      <c r="N363" s="756">
        <v>300.32909110683801</v>
      </c>
      <c r="O363" s="756">
        <v>313.11554742582229</v>
      </c>
      <c r="P363" s="756">
        <v>328.18192619930682</v>
      </c>
      <c r="Q363" s="756">
        <v>341.8235015289352</v>
      </c>
      <c r="R363" s="756">
        <v>355.09694320426638</v>
      </c>
      <c r="S363" s="756">
        <v>365.44612056098629</v>
      </c>
      <c r="T363" s="756">
        <v>378.29315112389759</v>
      </c>
      <c r="U363" s="756">
        <v>388.37155634393389</v>
      </c>
      <c r="V363" s="756">
        <v>402.59953615177363</v>
      </c>
      <c r="W363" s="756">
        <v>419.77981120164446</v>
      </c>
      <c r="X363" s="756">
        <v>438.87123825530841</v>
      </c>
      <c r="Y363" s="756">
        <v>455.24534715742953</v>
      </c>
      <c r="Z363" s="756">
        <v>473.03338245571979</v>
      </c>
    </row>
    <row r="364" spans="1:70" x14ac:dyDescent="0.25">
      <c r="A364" s="754" t="s">
        <v>470</v>
      </c>
      <c r="B364" s="756">
        <v>165.81601818957134</v>
      </c>
      <c r="C364" s="756">
        <v>172.89260864257801</v>
      </c>
      <c r="D364" s="756">
        <v>187.38257557629601</v>
      </c>
      <c r="E364" s="756">
        <v>169.14737359110225</v>
      </c>
      <c r="F364" s="756">
        <v>163.07263216137929</v>
      </c>
      <c r="G364" s="756">
        <v>172.91593328178766</v>
      </c>
      <c r="H364" s="756">
        <v>176.9297785804325</v>
      </c>
      <c r="I364" s="756">
        <v>182.88131988639063</v>
      </c>
      <c r="J364" s="756">
        <v>191.23749630338142</v>
      </c>
      <c r="K364" s="756">
        <v>199.89645601118545</v>
      </c>
      <c r="L364" s="756">
        <v>210.36479941888081</v>
      </c>
      <c r="M364" s="756">
        <v>221.36240217535854</v>
      </c>
      <c r="N364" s="756">
        <v>233.19080564556924</v>
      </c>
      <c r="O364" s="756">
        <v>244.70314616363081</v>
      </c>
      <c r="P364" s="756">
        <v>258.1051490216438</v>
      </c>
      <c r="Q364" s="756">
        <v>271.26123343313407</v>
      </c>
      <c r="R364" s="756">
        <v>283.50995205362011</v>
      </c>
      <c r="S364" s="756">
        <v>292.88584879534454</v>
      </c>
      <c r="T364" s="756">
        <v>303.70259464185926</v>
      </c>
      <c r="U364" s="756">
        <v>313.58347456242666</v>
      </c>
      <c r="V364" s="756">
        <v>325.89089746765683</v>
      </c>
      <c r="W364" s="756">
        <v>341.11550736031069</v>
      </c>
      <c r="X364" s="756">
        <v>358.21009848865214</v>
      </c>
      <c r="Y364" s="756">
        <v>374.9131546581271</v>
      </c>
      <c r="Z364" s="756">
        <v>392.1016075075479</v>
      </c>
    </row>
    <row r="365" spans="1:70" ht="13.8" thickBot="1" x14ac:dyDescent="0.3">
      <c r="A365" s="754" t="s">
        <v>505</v>
      </c>
      <c r="B365" s="756">
        <v>210.41252056252281</v>
      </c>
      <c r="C365" s="756">
        <v>226.88609313964801</v>
      </c>
      <c r="D365" s="756">
        <v>254.13497179068762</v>
      </c>
      <c r="E365" s="756">
        <v>187.2100922767749</v>
      </c>
      <c r="F365" s="756">
        <v>157.4270874391178</v>
      </c>
      <c r="G365" s="756">
        <v>180.83829470805441</v>
      </c>
      <c r="H365" s="756">
        <v>198.41655822177904</v>
      </c>
      <c r="I365" s="756">
        <v>216.64201952030527</v>
      </c>
      <c r="J365" s="756">
        <v>228.79975664936245</v>
      </c>
      <c r="K365" s="756">
        <v>241.15463361452254</v>
      </c>
      <c r="L365" s="756">
        <v>252.64480203410886</v>
      </c>
      <c r="M365" s="756">
        <v>265.1637238738445</v>
      </c>
      <c r="N365" s="756">
        <v>278.29776899368039</v>
      </c>
      <c r="O365" s="756">
        <v>289.61773721654419</v>
      </c>
      <c r="P365" s="756">
        <v>303.56832242347855</v>
      </c>
      <c r="Q365" s="756">
        <v>314.41390898844122</v>
      </c>
      <c r="R365" s="756">
        <v>323.63277263436424</v>
      </c>
      <c r="S365" s="756">
        <v>331.42426143912343</v>
      </c>
      <c r="T365" s="756">
        <v>339.57307272400601</v>
      </c>
      <c r="U365" s="756">
        <v>343.93727888891527</v>
      </c>
      <c r="V365" s="756">
        <v>351.82746805051073</v>
      </c>
      <c r="W365" s="756">
        <v>360.73339056833169</v>
      </c>
      <c r="X365" s="756">
        <v>371.92375563686846</v>
      </c>
      <c r="Y365" s="756">
        <v>381.22301587849751</v>
      </c>
      <c r="Z365" s="756">
        <v>389.10731115707301</v>
      </c>
    </row>
    <row r="366" spans="1:70" ht="13.8" thickBot="1" x14ac:dyDescent="0.3">
      <c r="A366" s="754" t="s">
        <v>477</v>
      </c>
      <c r="B366" s="756">
        <v>549.81888270324475</v>
      </c>
      <c r="C366" s="756">
        <v>596.84759521484398</v>
      </c>
      <c r="D366" s="756">
        <v>708.90187629235277</v>
      </c>
      <c r="E366" s="756">
        <v>406.38667462869051</v>
      </c>
      <c r="F366" s="756">
        <v>447.16295305198071</v>
      </c>
      <c r="G366" s="756">
        <v>542.65678113398656</v>
      </c>
      <c r="H366" s="756">
        <v>604.00010341071868</v>
      </c>
      <c r="I366" s="756">
        <v>661.06483901631009</v>
      </c>
      <c r="J366" s="756">
        <v>714.35686387994281</v>
      </c>
      <c r="K366" s="756">
        <v>764.16924059162022</v>
      </c>
      <c r="L366" s="756">
        <v>805.13331786340132</v>
      </c>
      <c r="M366" s="756">
        <v>850.39970498506295</v>
      </c>
      <c r="N366" s="756">
        <v>892.06783074940802</v>
      </c>
      <c r="O366" s="756">
        <v>929.55049698437085</v>
      </c>
      <c r="P366" s="756">
        <v>964.20679928883487</v>
      </c>
      <c r="Q366" s="756">
        <v>990.06920191633094</v>
      </c>
      <c r="R366" s="756">
        <v>1016.1557534719609</v>
      </c>
      <c r="S366" s="756">
        <v>1054.8326731961108</v>
      </c>
      <c r="T366" s="756">
        <v>1091.2729592511287</v>
      </c>
      <c r="U366" s="756">
        <v>1118.0349113947391</v>
      </c>
      <c r="V366" s="756">
        <v>1161.085260138974</v>
      </c>
      <c r="W366" s="756">
        <v>1181.9301954596156</v>
      </c>
      <c r="X366" s="756">
        <v>1232.4560893451367</v>
      </c>
      <c r="Y366" s="756">
        <v>1290.1595195386233</v>
      </c>
      <c r="Z366" s="756">
        <v>1322.0136898683704</v>
      </c>
      <c r="AA366" s="277">
        <f>Z536+($AI$366-$Y$536)/10</f>
        <v>5.5334229650972304</v>
      </c>
      <c r="AB366" s="277">
        <f t="shared" ref="AB366:AH366" si="27">AA366+($AI$366-$Y$536)/10</f>
        <v>5.5639341150042458</v>
      </c>
      <c r="AC366" s="277">
        <f t="shared" si="27"/>
        <v>5.5944452649112613</v>
      </c>
      <c r="AD366" s="277">
        <f t="shared" si="27"/>
        <v>5.6249564148182767</v>
      </c>
      <c r="AE366" s="277">
        <f t="shared" si="27"/>
        <v>5.6554675647252921</v>
      </c>
      <c r="AF366" s="277">
        <f t="shared" si="27"/>
        <v>5.6859787146323075</v>
      </c>
      <c r="AG366" s="277">
        <f t="shared" si="27"/>
        <v>5.716489864539323</v>
      </c>
      <c r="AH366" s="277">
        <f t="shared" si="27"/>
        <v>5.7470010144463384</v>
      </c>
      <c r="AI366" s="278">
        <f>T536*$E$742</f>
        <v>5.7775121643533494</v>
      </c>
      <c r="AJ366" s="277">
        <f>AI366+($AX$366-$AI$366)/15</f>
        <v>5.8429093568498098</v>
      </c>
      <c r="AK366" s="277">
        <f t="shared" ref="AK366:AW366" si="28">AJ366+($AX$366-$AI$366)/15</f>
        <v>5.9083065493462703</v>
      </c>
      <c r="AL366" s="277">
        <f t="shared" si="28"/>
        <v>5.9737037418427308</v>
      </c>
      <c r="AM366" s="277">
        <f t="shared" si="28"/>
        <v>6.0391009343391913</v>
      </c>
      <c r="AN366" s="277">
        <f t="shared" si="28"/>
        <v>6.1044981268356517</v>
      </c>
      <c r="AO366" s="277">
        <f t="shared" si="28"/>
        <v>6.1698953193321122</v>
      </c>
      <c r="AP366" s="277">
        <f t="shared" si="28"/>
        <v>6.2352925118285727</v>
      </c>
      <c r="AQ366" s="277">
        <f t="shared" si="28"/>
        <v>6.3006897043250332</v>
      </c>
      <c r="AR366" s="277">
        <f t="shared" si="28"/>
        <v>6.3660868968214936</v>
      </c>
      <c r="AS366" s="277">
        <f t="shared" si="28"/>
        <v>6.4314840893179541</v>
      </c>
      <c r="AT366" s="277">
        <f t="shared" si="28"/>
        <v>6.4968812818144146</v>
      </c>
      <c r="AU366" s="277">
        <f t="shared" si="28"/>
        <v>6.5622784743108751</v>
      </c>
      <c r="AV366" s="277">
        <f t="shared" si="28"/>
        <v>6.6276756668073356</v>
      </c>
      <c r="AW366" s="277">
        <f t="shared" si="28"/>
        <v>6.693072859303796</v>
      </c>
      <c r="AX366" s="278">
        <f>AI366*$B$742</f>
        <v>6.7584700518002592</v>
      </c>
      <c r="AY366" s="277">
        <f>AX366+($BM$366-$AX$366)/15</f>
        <v>6.8253907547799981</v>
      </c>
      <c r="AZ366" s="277">
        <f t="shared" ref="AZ366:BL366" si="29">AY366+($BM$366-$AX$366)/15</f>
        <v>6.8923114577597371</v>
      </c>
      <c r="BA366" s="277">
        <f t="shared" si="29"/>
        <v>6.959232160739476</v>
      </c>
      <c r="BB366" s="277">
        <f t="shared" si="29"/>
        <v>7.026152863719215</v>
      </c>
      <c r="BC366" s="277">
        <f t="shared" si="29"/>
        <v>7.0930735666989539</v>
      </c>
      <c r="BD366" s="277">
        <f t="shared" si="29"/>
        <v>7.1599942696786929</v>
      </c>
      <c r="BE366" s="277">
        <f t="shared" si="29"/>
        <v>7.2269149726584319</v>
      </c>
      <c r="BF366" s="277">
        <f t="shared" si="29"/>
        <v>7.2938356756381708</v>
      </c>
      <c r="BG366" s="277">
        <f t="shared" si="29"/>
        <v>7.3607563786179098</v>
      </c>
      <c r="BH366" s="277">
        <f t="shared" si="29"/>
        <v>7.4276770815976487</v>
      </c>
      <c r="BI366" s="277">
        <f t="shared" si="29"/>
        <v>7.4945977845773877</v>
      </c>
      <c r="BJ366" s="277">
        <f t="shared" si="29"/>
        <v>7.5615184875571266</v>
      </c>
      <c r="BK366" s="277">
        <f t="shared" si="29"/>
        <v>7.6284391905368656</v>
      </c>
      <c r="BL366" s="277">
        <f t="shared" si="29"/>
        <v>7.6953598935166045</v>
      </c>
      <c r="BM366" s="278">
        <f>AX366*$C$742</f>
        <v>7.7622805964963462</v>
      </c>
      <c r="BN366" s="277">
        <f>BM366+($BR$366-$BM$366)/5</f>
        <v>7.8391407838260445</v>
      </c>
      <c r="BO366" s="277">
        <f>BN366+($BR$366-$BM$366)/5</f>
        <v>7.9160009711557429</v>
      </c>
      <c r="BP366" s="277">
        <f>BO366+($BR$366-$BM$366)/5</f>
        <v>7.9928611584854412</v>
      </c>
      <c r="BQ366" s="277">
        <f>BP366+($BR$366-$BM$366)/5</f>
        <v>8.0697213458151396</v>
      </c>
      <c r="BR366" s="278">
        <f>BM366*$D$742</f>
        <v>8.1465815331448379</v>
      </c>
    </row>
    <row r="367" spans="1:70" x14ac:dyDescent="0.25">
      <c r="A367" s="754" t="s">
        <v>506</v>
      </c>
      <c r="B367" s="756">
        <v>1151.0859678463546</v>
      </c>
      <c r="C367" s="756">
        <v>1235.02709960938</v>
      </c>
      <c r="D367" s="756">
        <v>1405.9186066996403</v>
      </c>
      <c r="E367" s="756">
        <v>993.73713091111074</v>
      </c>
      <c r="F367" s="756">
        <v>991.07514876947641</v>
      </c>
      <c r="G367" s="756">
        <v>1131.7003147881212</v>
      </c>
      <c r="H367" s="756">
        <v>1221.038560105055</v>
      </c>
      <c r="I367" s="756">
        <v>1307.1547250090439</v>
      </c>
      <c r="J367" s="756">
        <v>1389.9450601614428</v>
      </c>
      <c r="K367" s="756">
        <v>1469.7993497059265</v>
      </c>
      <c r="L367" s="756">
        <v>1544.0421618496678</v>
      </c>
      <c r="M367" s="756">
        <v>1624.4209976542634</v>
      </c>
      <c r="N367" s="756">
        <v>1703.8854780296228</v>
      </c>
      <c r="O367" s="756">
        <v>1776.9868521708881</v>
      </c>
      <c r="P367" s="756">
        <v>1854.0622550605767</v>
      </c>
      <c r="Q367" s="756">
        <v>1917.5679054742993</v>
      </c>
      <c r="R367" s="756">
        <v>1978.3954213642144</v>
      </c>
      <c r="S367" s="756">
        <v>2044.5889248527621</v>
      </c>
      <c r="T367" s="756">
        <v>2112.8417777408945</v>
      </c>
      <c r="U367" s="756">
        <v>2163.9271994062915</v>
      </c>
      <c r="V367" s="756">
        <v>2241.4031618089139</v>
      </c>
      <c r="W367" s="756">
        <v>2303.558949985179</v>
      </c>
      <c r="X367" s="756">
        <v>2401.4612280803153</v>
      </c>
      <c r="Y367" s="756">
        <v>2501.5410135735665</v>
      </c>
      <c r="Z367" s="756">
        <v>2576.2560875804752</v>
      </c>
    </row>
    <row r="368" spans="1:70" ht="13.8" thickBot="1" x14ac:dyDescent="0.3">
      <c r="A368" s="754" t="s">
        <v>618</v>
      </c>
      <c r="B368" s="756">
        <v>3.1288517293273019E-2</v>
      </c>
      <c r="C368" s="756">
        <v>4.0145620703697205E-2</v>
      </c>
      <c r="D368" s="756">
        <v>3.8515830891447944E-2</v>
      </c>
      <c r="E368" s="756">
        <v>2.6303627333810531E-2</v>
      </c>
      <c r="F368" s="756">
        <v>5.6047443014104255E-2</v>
      </c>
      <c r="G368" s="756">
        <v>7.1119337023784479E-2</v>
      </c>
      <c r="H368" s="756">
        <v>8.8428224145552056E-2</v>
      </c>
      <c r="I368" s="756">
        <v>0.10266115711707489</v>
      </c>
      <c r="J368" s="756">
        <v>0.12491143634290662</v>
      </c>
      <c r="K368" s="756">
        <v>2.2293869286864165</v>
      </c>
      <c r="L368" s="756">
        <v>5.6123954184121017</v>
      </c>
      <c r="M368" s="756">
        <v>7.9566359351664051</v>
      </c>
      <c r="N368" s="756">
        <v>12.724991751969894</v>
      </c>
      <c r="O368" s="756">
        <v>19.495647700796784</v>
      </c>
      <c r="P368" s="756">
        <v>28.06371652814466</v>
      </c>
      <c r="Q368" s="756">
        <v>33.841758141316177</v>
      </c>
      <c r="R368" s="756">
        <v>47.452021910622882</v>
      </c>
      <c r="S368" s="756">
        <v>48.667640008057987</v>
      </c>
      <c r="T368" s="756">
        <v>47.767774332439714</v>
      </c>
      <c r="U368" s="756">
        <v>50.842459413568172</v>
      </c>
      <c r="V368" s="756">
        <v>54.12672288853372</v>
      </c>
      <c r="W368" s="756">
        <v>67.349033728123644</v>
      </c>
      <c r="X368" s="756">
        <v>72.870357898145016</v>
      </c>
      <c r="Y368" s="756">
        <v>82.472655922369356</v>
      </c>
      <c r="Z368" s="756">
        <v>85.74303480046683</v>
      </c>
    </row>
    <row r="369" spans="1:70" ht="13.8" thickBot="1" x14ac:dyDescent="0.3">
      <c r="A369" s="754" t="s">
        <v>508</v>
      </c>
      <c r="B369" s="756">
        <v>1151.1172301979784</v>
      </c>
      <c r="C369" s="756">
        <v>1235.06726074219</v>
      </c>
      <c r="D369" s="756">
        <v>1405.957155546361</v>
      </c>
      <c r="E369" s="756">
        <v>993.76346133595302</v>
      </c>
      <c r="F369" s="756">
        <v>991.13120249830877</v>
      </c>
      <c r="G369" s="756">
        <v>1131.7714475332546</v>
      </c>
      <c r="H369" s="756">
        <v>1221.1269368042056</v>
      </c>
      <c r="I369" s="756">
        <v>1307.2573637523753</v>
      </c>
      <c r="J369" s="756">
        <v>1390.0699789505047</v>
      </c>
      <c r="K369" s="756">
        <v>1472.0286986549243</v>
      </c>
      <c r="L369" s="756">
        <v>1549.6545225531884</v>
      </c>
      <c r="M369" s="756">
        <v>1632.3776685401217</v>
      </c>
      <c r="N369" s="756">
        <v>1716.6105344121597</v>
      </c>
      <c r="O369" s="756">
        <v>1796.4824632434897</v>
      </c>
      <c r="P369" s="756">
        <v>1882.1259667447755</v>
      </c>
      <c r="Q369" s="756">
        <v>1951.4096785174786</v>
      </c>
      <c r="R369" s="756">
        <v>2025.8475094892897</v>
      </c>
      <c r="S369" s="756">
        <v>2093.2565961526161</v>
      </c>
      <c r="T369" s="756">
        <v>2160.609578738799</v>
      </c>
      <c r="U369" s="756">
        <v>2214.7697023873047</v>
      </c>
      <c r="V369" s="756">
        <v>2295.5298624598372</v>
      </c>
      <c r="W369" s="756">
        <v>2370.9079156203875</v>
      </c>
      <c r="X369" s="756">
        <v>2474.3315685955818</v>
      </c>
      <c r="Y369" s="756">
        <v>2584.0136458368329</v>
      </c>
      <c r="Z369" s="756">
        <v>2661.9990499371279</v>
      </c>
      <c r="AA369" s="279">
        <f>Z539+($AI$369-$Y$539)/10</f>
        <v>15.611683809514826</v>
      </c>
      <c r="AB369" s="279">
        <f t="shared" ref="AB369:AH369" si="30">AA369+($AI$369-$Y$539)/10</f>
        <v>15.541748469704389</v>
      </c>
      <c r="AC369" s="279">
        <f t="shared" si="30"/>
        <v>15.471813129893953</v>
      </c>
      <c r="AD369" s="279">
        <f t="shared" si="30"/>
        <v>15.401877790083516</v>
      </c>
      <c r="AE369" s="279">
        <f t="shared" si="30"/>
        <v>15.331942450273079</v>
      </c>
      <c r="AF369" s="279">
        <f t="shared" si="30"/>
        <v>15.262007110462642</v>
      </c>
      <c r="AG369" s="279">
        <f t="shared" si="30"/>
        <v>15.192071770652205</v>
      </c>
      <c r="AH369" s="279">
        <f t="shared" si="30"/>
        <v>15.122136430841769</v>
      </c>
      <c r="AI369" s="280">
        <f>T539*$E$745</f>
        <v>15.052201091031337</v>
      </c>
      <c r="AJ369" s="279">
        <f>AI369+($AX$369-$AI$369)/15</f>
        <v>15.046283758755285</v>
      </c>
      <c r="AK369" s="279">
        <f t="shared" ref="AK369:AW369" si="31">AJ369+($AX$369-$AI$369)/15</f>
        <v>15.040366426479233</v>
      </c>
      <c r="AL369" s="279">
        <f t="shared" si="31"/>
        <v>15.034449094203181</v>
      </c>
      <c r="AM369" s="279">
        <f t="shared" si="31"/>
        <v>15.028531761927129</v>
      </c>
      <c r="AN369" s="279">
        <f t="shared" si="31"/>
        <v>15.022614429651076</v>
      </c>
      <c r="AO369" s="279">
        <f t="shared" si="31"/>
        <v>15.016697097375024</v>
      </c>
      <c r="AP369" s="279">
        <f t="shared" si="31"/>
        <v>15.010779765098972</v>
      </c>
      <c r="AQ369" s="279">
        <f t="shared" si="31"/>
        <v>15.00486243282292</v>
      </c>
      <c r="AR369" s="279">
        <f t="shared" si="31"/>
        <v>14.998945100546868</v>
      </c>
      <c r="AS369" s="279">
        <f t="shared" si="31"/>
        <v>14.993027768270816</v>
      </c>
      <c r="AT369" s="279">
        <f t="shared" si="31"/>
        <v>14.987110435994763</v>
      </c>
      <c r="AU369" s="279">
        <f t="shared" si="31"/>
        <v>14.981193103718711</v>
      </c>
      <c r="AV369" s="279">
        <f t="shared" si="31"/>
        <v>14.975275771442659</v>
      </c>
      <c r="AW369" s="279">
        <f t="shared" si="31"/>
        <v>14.969358439166607</v>
      </c>
      <c r="AX369" s="280">
        <f>AI369*$B$745</f>
        <v>14.963441106890555</v>
      </c>
      <c r="AY369" s="279">
        <f>AX369+($BM$369-$AX$369)/15</f>
        <v>14.972946595029557</v>
      </c>
      <c r="AZ369" s="279">
        <f t="shared" ref="AZ369:BL369" si="32">AY369+($BM$369-$AX$369)/15</f>
        <v>14.982452083168559</v>
      </c>
      <c r="BA369" s="279">
        <f t="shared" si="32"/>
        <v>14.991957571307561</v>
      </c>
      <c r="BB369" s="279">
        <f t="shared" si="32"/>
        <v>15.001463059446563</v>
      </c>
      <c r="BC369" s="279">
        <f t="shared" si="32"/>
        <v>15.010968547585565</v>
      </c>
      <c r="BD369" s="279">
        <f t="shared" si="32"/>
        <v>15.020474035724567</v>
      </c>
      <c r="BE369" s="279">
        <f t="shared" si="32"/>
        <v>15.029979523863569</v>
      </c>
      <c r="BF369" s="279">
        <f t="shared" si="32"/>
        <v>15.03948501200257</v>
      </c>
      <c r="BG369" s="279">
        <f t="shared" si="32"/>
        <v>15.048990500141572</v>
      </c>
      <c r="BH369" s="279">
        <f t="shared" si="32"/>
        <v>15.058495988280574</v>
      </c>
      <c r="BI369" s="279">
        <f t="shared" si="32"/>
        <v>15.068001476419576</v>
      </c>
      <c r="BJ369" s="279">
        <f t="shared" si="32"/>
        <v>15.077506964558578</v>
      </c>
      <c r="BK369" s="279">
        <f t="shared" si="32"/>
        <v>15.08701245269758</v>
      </c>
      <c r="BL369" s="279">
        <f t="shared" si="32"/>
        <v>15.096517940836582</v>
      </c>
      <c r="BM369" s="280">
        <f>AX369*$C$745</f>
        <v>15.106023428975591</v>
      </c>
      <c r="BN369" s="279">
        <f>BM369+($BR$369-$BM$369)/5</f>
        <v>15.115619492174282</v>
      </c>
      <c r="BO369" s="279">
        <f>BN369+($BR$369-$BM$369)/5</f>
        <v>15.125215555372973</v>
      </c>
      <c r="BP369" s="279">
        <f>BO369+($BR$369-$BM$369)/5</f>
        <v>15.134811618571664</v>
      </c>
      <c r="BQ369" s="279">
        <f>BP369+($BR$369-$BM$369)/5</f>
        <v>15.144407681770355</v>
      </c>
      <c r="BR369" s="280">
        <f>BM369*$D$745</f>
        <v>15.154003744969049</v>
      </c>
    </row>
    <row r="373" spans="1:70" ht="13.8" thickBot="1" x14ac:dyDescent="0.3">
      <c r="A373" s="754" t="s">
        <v>619</v>
      </c>
    </row>
    <row r="374" spans="1:70" ht="13.8" thickBot="1" x14ac:dyDescent="0.3">
      <c r="A374" s="754" t="s">
        <v>620</v>
      </c>
      <c r="AA374" s="281">
        <f>Z544+($AI$374-$Y$544)/10</f>
        <v>11.584123362673006</v>
      </c>
      <c r="AB374" s="281">
        <f t="shared" ref="AB374:AH374" si="33">AA374+($AI$374-$Y$544)/10</f>
        <v>11.952852829654059</v>
      </c>
      <c r="AC374" s="281">
        <f t="shared" si="33"/>
        <v>12.321582296635112</v>
      </c>
      <c r="AD374" s="281">
        <f t="shared" si="33"/>
        <v>12.690311763616165</v>
      </c>
      <c r="AE374" s="281">
        <f t="shared" si="33"/>
        <v>13.059041230597218</v>
      </c>
      <c r="AF374" s="281">
        <f t="shared" si="33"/>
        <v>13.427770697578271</v>
      </c>
      <c r="AG374" s="281">
        <f t="shared" si="33"/>
        <v>13.796500164559324</v>
      </c>
      <c r="AH374" s="281">
        <f t="shared" si="33"/>
        <v>14.165229631540377</v>
      </c>
      <c r="AI374" s="282">
        <f>T544*$E$744</f>
        <v>14.533959098521429</v>
      </c>
      <c r="AJ374" s="281">
        <f>AI374+($AX$374-$AI$374)/15</f>
        <v>14.687791105011014</v>
      </c>
      <c r="AK374" s="281">
        <f t="shared" ref="AK374:AW374" si="34">AJ374+($AX$374-$AI$374)/15</f>
        <v>14.841623111500599</v>
      </c>
      <c r="AL374" s="281">
        <f t="shared" si="34"/>
        <v>14.995455117990184</v>
      </c>
      <c r="AM374" s="281">
        <f t="shared" si="34"/>
        <v>15.14928712447977</v>
      </c>
      <c r="AN374" s="281">
        <f t="shared" si="34"/>
        <v>15.303119130969355</v>
      </c>
      <c r="AO374" s="281">
        <f t="shared" si="34"/>
        <v>15.45695113745894</v>
      </c>
      <c r="AP374" s="281">
        <f t="shared" si="34"/>
        <v>15.610783143948526</v>
      </c>
      <c r="AQ374" s="281">
        <f t="shared" si="34"/>
        <v>15.764615150438111</v>
      </c>
      <c r="AR374" s="281">
        <f t="shared" si="34"/>
        <v>15.918447156927696</v>
      </c>
      <c r="AS374" s="281">
        <f t="shared" si="34"/>
        <v>16.072279163417281</v>
      </c>
      <c r="AT374" s="281">
        <f t="shared" si="34"/>
        <v>16.226111169906865</v>
      </c>
      <c r="AU374" s="281">
        <f t="shared" si="34"/>
        <v>16.379943176396448</v>
      </c>
      <c r="AV374" s="281">
        <f t="shared" si="34"/>
        <v>16.533775182886032</v>
      </c>
      <c r="AW374" s="281">
        <f t="shared" si="34"/>
        <v>16.687607189375615</v>
      </c>
      <c r="AX374" s="282">
        <f>AI374*$B$744</f>
        <v>16.841439195865195</v>
      </c>
      <c r="AY374" s="281">
        <f>AX374+($BM$374-$AX$374)/15</f>
        <v>16.937333989857837</v>
      </c>
      <c r="AZ374" s="281">
        <f t="shared" ref="AZ374:BL374" si="35">AY374+($BM$374-$AX$374)/15</f>
        <v>17.033228783850479</v>
      </c>
      <c r="BA374" s="281">
        <f t="shared" si="35"/>
        <v>17.129123577843121</v>
      </c>
      <c r="BB374" s="281">
        <f t="shared" si="35"/>
        <v>17.225018371835763</v>
      </c>
      <c r="BC374" s="281">
        <f t="shared" si="35"/>
        <v>17.320913165828404</v>
      </c>
      <c r="BD374" s="281">
        <f t="shared" si="35"/>
        <v>17.416807959821046</v>
      </c>
      <c r="BE374" s="281">
        <f t="shared" si="35"/>
        <v>17.512702753813688</v>
      </c>
      <c r="BF374" s="281">
        <f t="shared" si="35"/>
        <v>17.60859754780633</v>
      </c>
      <c r="BG374" s="281">
        <f t="shared" si="35"/>
        <v>17.704492341798971</v>
      </c>
      <c r="BH374" s="281">
        <f t="shared" si="35"/>
        <v>17.800387135791613</v>
      </c>
      <c r="BI374" s="281">
        <f t="shared" si="35"/>
        <v>17.896281929784255</v>
      </c>
      <c r="BJ374" s="281">
        <f t="shared" si="35"/>
        <v>17.992176723776897</v>
      </c>
      <c r="BK374" s="281">
        <f t="shared" si="35"/>
        <v>18.088071517769539</v>
      </c>
      <c r="BL374" s="281">
        <f t="shared" si="35"/>
        <v>18.18396631176218</v>
      </c>
      <c r="BM374" s="282">
        <f>AX374*$C$744</f>
        <v>18.27986110575484</v>
      </c>
      <c r="BN374" s="281">
        <f>BM374+($BR$374-$BM$374)/5</f>
        <v>18.383946243287554</v>
      </c>
      <c r="BO374" s="281">
        <f>BN374+($BR$374-$BM$374)/5</f>
        <v>18.488031380820267</v>
      </c>
      <c r="BP374" s="281">
        <f>BO374+($BR$374-$BM$374)/5</f>
        <v>18.592116518352981</v>
      </c>
      <c r="BQ374" s="281">
        <f>BP374+($BR$374-$BM$374)/5</f>
        <v>18.696201655885694</v>
      </c>
      <c r="BR374" s="282">
        <f>BM374*$D$744</f>
        <v>18.800286793418415</v>
      </c>
    </row>
    <row r="375" spans="1:70" ht="13.8" thickBot="1" x14ac:dyDescent="0.3">
      <c r="A375" s="754" t="s">
        <v>621</v>
      </c>
    </row>
    <row r="376" spans="1:70" ht="13.8" thickBot="1" x14ac:dyDescent="0.3">
      <c r="A376" s="754" t="s">
        <v>717</v>
      </c>
      <c r="AA376" s="281">
        <f>Z546+($AI$376-$Y$546)/10</f>
        <v>13.665763245709009</v>
      </c>
      <c r="AB376" s="281">
        <f t="shared" ref="AB376:AH376" si="36">AA376+($AI$376-$Y$546)/10</f>
        <v>14.091688195895063</v>
      </c>
      <c r="AC376" s="281">
        <f t="shared" si="36"/>
        <v>14.517613146081118</v>
      </c>
      <c r="AD376" s="281">
        <f t="shared" si="36"/>
        <v>14.943538096267172</v>
      </c>
      <c r="AE376" s="281">
        <f t="shared" si="36"/>
        <v>15.369463046453227</v>
      </c>
      <c r="AF376" s="281">
        <f t="shared" si="36"/>
        <v>15.795387996639281</v>
      </c>
      <c r="AG376" s="281">
        <f t="shared" si="36"/>
        <v>16.221312946825336</v>
      </c>
      <c r="AH376" s="281">
        <f t="shared" si="36"/>
        <v>16.64723789701139</v>
      </c>
      <c r="AI376" s="282">
        <f>T546*$E$744</f>
        <v>17.073162847197445</v>
      </c>
      <c r="AJ376" s="281">
        <f>AI376+($AX$376-$AI$376)/15</f>
        <v>17.253870586919582</v>
      </c>
      <c r="AK376" s="281">
        <f t="shared" ref="AK376:AW376" si="37">AJ376+($AX$376-$AI$376)/15</f>
        <v>17.43457832664172</v>
      </c>
      <c r="AL376" s="281">
        <f t="shared" si="37"/>
        <v>17.615286066363858</v>
      </c>
      <c r="AM376" s="281">
        <f t="shared" si="37"/>
        <v>17.795993806085995</v>
      </c>
      <c r="AN376" s="281">
        <f t="shared" si="37"/>
        <v>17.976701545808133</v>
      </c>
      <c r="AO376" s="281">
        <f t="shared" si="37"/>
        <v>18.157409285530271</v>
      </c>
      <c r="AP376" s="281">
        <f t="shared" si="37"/>
        <v>18.338117025252409</v>
      </c>
      <c r="AQ376" s="281">
        <f t="shared" si="37"/>
        <v>18.518824764974546</v>
      </c>
      <c r="AR376" s="281">
        <f t="shared" si="37"/>
        <v>18.699532504696684</v>
      </c>
      <c r="AS376" s="281">
        <f t="shared" si="37"/>
        <v>18.880240244418822</v>
      </c>
      <c r="AT376" s="281">
        <f t="shared" si="37"/>
        <v>19.060947984140959</v>
      </c>
      <c r="AU376" s="281">
        <f t="shared" si="37"/>
        <v>19.241655723863097</v>
      </c>
      <c r="AV376" s="281">
        <f t="shared" si="37"/>
        <v>19.422363463585235</v>
      </c>
      <c r="AW376" s="281">
        <f t="shared" si="37"/>
        <v>19.603071203307373</v>
      </c>
      <c r="AX376" s="282">
        <f>AI376*$B$744</f>
        <v>19.783778943029514</v>
      </c>
      <c r="AY376" s="281">
        <f>AX376+($BM$376-$AX$376)/15</f>
        <v>19.896427356509733</v>
      </c>
      <c r="AZ376" s="281">
        <f t="shared" ref="AZ376:BL376" si="38">AY376+($BM$376-$AX$376)/15</f>
        <v>20.009075769989952</v>
      </c>
      <c r="BA376" s="281">
        <f t="shared" si="38"/>
        <v>20.121724183470171</v>
      </c>
      <c r="BB376" s="281">
        <f t="shared" si="38"/>
        <v>20.23437259695039</v>
      </c>
      <c r="BC376" s="281">
        <f t="shared" si="38"/>
        <v>20.347021010430609</v>
      </c>
      <c r="BD376" s="281">
        <f t="shared" si="38"/>
        <v>20.459669423910828</v>
      </c>
      <c r="BE376" s="281">
        <f t="shared" si="38"/>
        <v>20.572317837391047</v>
      </c>
      <c r="BF376" s="281">
        <f t="shared" si="38"/>
        <v>20.684966250871266</v>
      </c>
      <c r="BG376" s="281">
        <f t="shared" si="38"/>
        <v>20.797614664351485</v>
      </c>
      <c r="BH376" s="281">
        <f t="shared" si="38"/>
        <v>20.910263077831704</v>
      </c>
      <c r="BI376" s="281">
        <f t="shared" si="38"/>
        <v>21.022911491311923</v>
      </c>
      <c r="BJ376" s="281">
        <f t="shared" si="38"/>
        <v>21.135559904792142</v>
      </c>
      <c r="BK376" s="281">
        <f t="shared" si="38"/>
        <v>21.248208318272361</v>
      </c>
      <c r="BL376" s="281">
        <f t="shared" si="38"/>
        <v>21.36085673175258</v>
      </c>
      <c r="BM376" s="282">
        <f>AX376*$C$744</f>
        <v>21.47350514523281</v>
      </c>
      <c r="BN376" s="281">
        <f>BM376+($BR$376-$BM$376)/5</f>
        <v>21.595774823509927</v>
      </c>
      <c r="BO376" s="281">
        <f>BN376+($BR$376-$BM$376)/5</f>
        <v>21.718044501787045</v>
      </c>
      <c r="BP376" s="281">
        <f>BO376+($BR$376-$BM$376)/5</f>
        <v>21.840314180064162</v>
      </c>
      <c r="BQ376" s="281">
        <f>BP376+($BR$376-$BM$376)/5</f>
        <v>21.962583858341279</v>
      </c>
      <c r="BR376" s="282">
        <f>BM376*$D$744</f>
        <v>22.084853536618393</v>
      </c>
    </row>
    <row r="377" spans="1:70" x14ac:dyDescent="0.25">
      <c r="A377" s="754" t="s">
        <v>718</v>
      </c>
    </row>
    <row r="378" spans="1:70" x14ac:dyDescent="0.25">
      <c r="A378" s="754" t="s">
        <v>638</v>
      </c>
    </row>
    <row r="379" spans="1:70" ht="13.8" thickBot="1" x14ac:dyDescent="0.3">
      <c r="A379" s="754" t="s">
        <v>639</v>
      </c>
    </row>
    <row r="380" spans="1:70" ht="13.8" thickBot="1" x14ac:dyDescent="0.3">
      <c r="A380" s="754" t="s">
        <v>640</v>
      </c>
      <c r="AA380" s="283">
        <f>Z550+($AI$380-$Y$550)/10</f>
        <v>17.944433063730909</v>
      </c>
      <c r="AB380" s="283">
        <f t="shared" ref="AB380:AH380" si="39">AA380+($AI$380-$Y$550)/10</f>
        <v>17.852387205459664</v>
      </c>
      <c r="AC380" s="283">
        <f t="shared" si="39"/>
        <v>17.760341347188419</v>
      </c>
      <c r="AD380" s="283">
        <f t="shared" si="39"/>
        <v>17.668295488917174</v>
      </c>
      <c r="AE380" s="283">
        <f t="shared" si="39"/>
        <v>17.576249630645929</v>
      </c>
      <c r="AF380" s="283">
        <f t="shared" si="39"/>
        <v>17.484203772374684</v>
      </c>
      <c r="AG380" s="283">
        <f t="shared" si="39"/>
        <v>17.392157914103439</v>
      </c>
      <c r="AH380" s="283">
        <f t="shared" si="39"/>
        <v>17.300112055832194</v>
      </c>
      <c r="AI380" s="284">
        <f>T550*$E$747</f>
        <v>17.208066197560942</v>
      </c>
      <c r="AJ380" s="283">
        <f>AI380+($AX$380-$AI$380)/15</f>
        <v>17.219509839491277</v>
      </c>
      <c r="AK380" s="283">
        <f t="shared" ref="AK380:AW380" si="40">AJ380+($AX$380-$AI$380)/15</f>
        <v>17.230953481421611</v>
      </c>
      <c r="AL380" s="283">
        <f t="shared" si="40"/>
        <v>17.242397123351946</v>
      </c>
      <c r="AM380" s="283">
        <f t="shared" si="40"/>
        <v>17.253840765282281</v>
      </c>
      <c r="AN380" s="283">
        <f t="shared" si="40"/>
        <v>17.265284407212615</v>
      </c>
      <c r="AO380" s="283">
        <f t="shared" si="40"/>
        <v>17.27672804914295</v>
      </c>
      <c r="AP380" s="283">
        <f t="shared" si="40"/>
        <v>17.288171691073284</v>
      </c>
      <c r="AQ380" s="283">
        <f t="shared" si="40"/>
        <v>17.299615333003619</v>
      </c>
      <c r="AR380" s="283">
        <f t="shared" si="40"/>
        <v>17.311058974933953</v>
      </c>
      <c r="AS380" s="283">
        <f t="shared" si="40"/>
        <v>17.322502616864288</v>
      </c>
      <c r="AT380" s="283">
        <f t="shared" si="40"/>
        <v>17.333946258794622</v>
      </c>
      <c r="AU380" s="283">
        <f t="shared" si="40"/>
        <v>17.345389900724957</v>
      </c>
      <c r="AV380" s="283">
        <f t="shared" si="40"/>
        <v>17.356833542655291</v>
      </c>
      <c r="AW380" s="283">
        <f t="shared" si="40"/>
        <v>17.368277184585626</v>
      </c>
      <c r="AX380" s="284">
        <f>AI380*$B$747</f>
        <v>17.379720826515971</v>
      </c>
      <c r="AY380" s="283">
        <f>AX380+($BM$380-$AX$380)/15</f>
        <v>17.385626979648983</v>
      </c>
      <c r="AZ380" s="283">
        <f t="shared" ref="AZ380:BL380" si="41">AY380+($BM$380-$AX$380)/15</f>
        <v>17.391533132781994</v>
      </c>
      <c r="BA380" s="283">
        <f t="shared" si="41"/>
        <v>17.397439285915006</v>
      </c>
      <c r="BB380" s="283">
        <f t="shared" si="41"/>
        <v>17.403345439048017</v>
      </c>
      <c r="BC380" s="283">
        <f t="shared" si="41"/>
        <v>17.409251592181029</v>
      </c>
      <c r="BD380" s="283">
        <f t="shared" si="41"/>
        <v>17.41515774531404</v>
      </c>
      <c r="BE380" s="283">
        <f t="shared" si="41"/>
        <v>17.421063898447052</v>
      </c>
      <c r="BF380" s="283">
        <f t="shared" si="41"/>
        <v>17.426970051580064</v>
      </c>
      <c r="BG380" s="283">
        <f t="shared" si="41"/>
        <v>17.432876204713075</v>
      </c>
      <c r="BH380" s="283">
        <f t="shared" si="41"/>
        <v>17.438782357846087</v>
      </c>
      <c r="BI380" s="283">
        <f t="shared" si="41"/>
        <v>17.444688510979098</v>
      </c>
      <c r="BJ380" s="283">
        <f t="shared" si="41"/>
        <v>17.45059466411211</v>
      </c>
      <c r="BK380" s="283">
        <f t="shared" si="41"/>
        <v>17.456500817245121</v>
      </c>
      <c r="BL380" s="283">
        <f t="shared" si="41"/>
        <v>17.462406970378133</v>
      </c>
      <c r="BM380" s="284">
        <f>AX380*$C$747</f>
        <v>17.468313123511169</v>
      </c>
      <c r="BN380" s="283">
        <f>BM380+($BR$380-$BM$380)/5</f>
        <v>17.474249382977746</v>
      </c>
      <c r="BO380" s="283">
        <f>BN380+($BR$380-$BM$380)/5</f>
        <v>17.480185642444322</v>
      </c>
      <c r="BP380" s="283">
        <f>BO380+($BR$380-$BM$380)/5</f>
        <v>17.486121901910899</v>
      </c>
      <c r="BQ380" s="283">
        <f>BP380+($BR$380-$BM$380)/5</f>
        <v>17.492058161377475</v>
      </c>
      <c r="BR380" s="284">
        <f>BM380*$D$747</f>
        <v>17.497994420844059</v>
      </c>
    </row>
    <row r="381" spans="1:70" x14ac:dyDescent="0.25">
      <c r="A381" s="754" t="s">
        <v>641</v>
      </c>
    </row>
    <row r="382" spans="1:70" x14ac:dyDescent="0.25">
      <c r="A382" s="754" t="s">
        <v>642</v>
      </c>
    </row>
    <row r="383" spans="1:70" x14ac:dyDescent="0.25">
      <c r="A383" s="754" t="s">
        <v>643</v>
      </c>
    </row>
    <row r="384" spans="1:70" x14ac:dyDescent="0.25">
      <c r="A384" s="754" t="s">
        <v>535</v>
      </c>
    </row>
    <row r="385" spans="1:70" x14ac:dyDescent="0.25">
      <c r="A385" s="754" t="s">
        <v>719</v>
      </c>
    </row>
    <row r="386" spans="1:70" x14ac:dyDescent="0.25">
      <c r="A386" s="754" t="s">
        <v>720</v>
      </c>
    </row>
    <row r="387" spans="1:70" x14ac:dyDescent="0.25">
      <c r="A387" s="754" t="s">
        <v>721</v>
      </c>
    </row>
    <row r="388" spans="1:70" x14ac:dyDescent="0.25">
      <c r="A388" s="754" t="s">
        <v>722</v>
      </c>
    </row>
    <row r="389" spans="1:70" x14ac:dyDescent="0.25">
      <c r="A389" s="754" t="s">
        <v>723</v>
      </c>
    </row>
    <row r="390" spans="1:70" x14ac:dyDescent="0.25">
      <c r="A390" s="754" t="s">
        <v>724</v>
      </c>
    </row>
    <row r="391" spans="1:70" ht="13.8" thickBot="1" x14ac:dyDescent="0.3">
      <c r="A391" s="754" t="s">
        <v>725</v>
      </c>
    </row>
    <row r="392" spans="1:70" ht="13.8" thickBot="1" x14ac:dyDescent="0.3">
      <c r="A392" s="754" t="s">
        <v>726</v>
      </c>
      <c r="AA392" s="277">
        <f>Z562+($AI$392-$Y$562)/10</f>
        <v>5.5024940130181221</v>
      </c>
      <c r="AB392" s="277">
        <f t="shared" ref="AB392:AH392" si="42">AA392+($AI$392-$Y$562)/10</f>
        <v>5.5327298577229831</v>
      </c>
      <c r="AC392" s="277">
        <f t="shared" si="42"/>
        <v>5.5629657024278441</v>
      </c>
      <c r="AD392" s="277">
        <f t="shared" si="42"/>
        <v>5.593201547132705</v>
      </c>
      <c r="AE392" s="277">
        <f t="shared" si="42"/>
        <v>5.623437391837566</v>
      </c>
      <c r="AF392" s="277">
        <f t="shared" si="42"/>
        <v>5.6536732365424269</v>
      </c>
      <c r="AG392" s="277">
        <f t="shared" si="42"/>
        <v>5.6839090812472879</v>
      </c>
      <c r="AH392" s="277">
        <f t="shared" si="42"/>
        <v>5.7141449259521488</v>
      </c>
      <c r="AI392" s="278">
        <f>T562*$E$742</f>
        <v>5.7443807706570116</v>
      </c>
      <c r="AJ392" s="277">
        <f>AI392+($AX$392-$AI$392)/15</f>
        <v>5.809402940121136</v>
      </c>
      <c r="AK392" s="277">
        <f t="shared" ref="AK392:AW392" si="43">AJ392+($AX$392-$AI$392)/15</f>
        <v>5.8744251095852604</v>
      </c>
      <c r="AL392" s="277">
        <f t="shared" si="43"/>
        <v>5.9394472790493849</v>
      </c>
      <c r="AM392" s="277">
        <f t="shared" si="43"/>
        <v>6.0044694485135093</v>
      </c>
      <c r="AN392" s="277">
        <f t="shared" si="43"/>
        <v>6.0694916179776337</v>
      </c>
      <c r="AO392" s="277">
        <f t="shared" si="43"/>
        <v>6.1345137874417581</v>
      </c>
      <c r="AP392" s="277">
        <f t="shared" si="43"/>
        <v>6.1995359569058825</v>
      </c>
      <c r="AQ392" s="277">
        <f t="shared" si="43"/>
        <v>6.264558126370007</v>
      </c>
      <c r="AR392" s="277">
        <f t="shared" si="43"/>
        <v>6.3295802958341314</v>
      </c>
      <c r="AS392" s="277">
        <f t="shared" si="43"/>
        <v>6.3946024652982558</v>
      </c>
      <c r="AT392" s="277">
        <f t="shared" si="43"/>
        <v>6.4596246347623802</v>
      </c>
      <c r="AU392" s="277">
        <f t="shared" si="43"/>
        <v>6.5246468042265047</v>
      </c>
      <c r="AV392" s="277">
        <f t="shared" si="43"/>
        <v>6.5896689736906291</v>
      </c>
      <c r="AW392" s="277">
        <f t="shared" si="43"/>
        <v>6.6546911431547535</v>
      </c>
      <c r="AX392" s="278">
        <f>AI392*$B$742</f>
        <v>6.7197133126188779</v>
      </c>
      <c r="AY392" s="277">
        <f>AX392+($BM$392-$AX$392)/15</f>
        <v>6.7862502559294402</v>
      </c>
      <c r="AZ392" s="277">
        <f t="shared" ref="AZ392:BL392" si="44">AY392+($BM$392-$AX$392)/15</f>
        <v>6.8527871992400025</v>
      </c>
      <c r="BA392" s="277">
        <f t="shared" si="44"/>
        <v>6.9193241425505647</v>
      </c>
      <c r="BB392" s="277">
        <f t="shared" si="44"/>
        <v>6.985861085861127</v>
      </c>
      <c r="BC392" s="277">
        <f t="shared" si="44"/>
        <v>7.0523980291716892</v>
      </c>
      <c r="BD392" s="277">
        <f t="shared" si="44"/>
        <v>7.1189349724822515</v>
      </c>
      <c r="BE392" s="277">
        <f t="shared" si="44"/>
        <v>7.1854719157928137</v>
      </c>
      <c r="BF392" s="277">
        <f t="shared" si="44"/>
        <v>7.252008859103376</v>
      </c>
      <c r="BG392" s="277">
        <f t="shared" si="44"/>
        <v>7.3185458024139383</v>
      </c>
      <c r="BH392" s="277">
        <f t="shared" si="44"/>
        <v>7.3850827457245005</v>
      </c>
      <c r="BI392" s="277">
        <f t="shared" si="44"/>
        <v>7.4516196890350628</v>
      </c>
      <c r="BJ392" s="277">
        <f t="shared" si="44"/>
        <v>7.518156632345625</v>
      </c>
      <c r="BK392" s="277">
        <f t="shared" si="44"/>
        <v>7.5846935756561873</v>
      </c>
      <c r="BL392" s="277">
        <f t="shared" si="44"/>
        <v>7.6512305189667495</v>
      </c>
      <c r="BM392" s="278">
        <f>AX392*$C$742</f>
        <v>7.7177674622773127</v>
      </c>
      <c r="BN392" s="277">
        <f>BM392+($BR$392-$BM$392)/5</f>
        <v>7.7941868915344088</v>
      </c>
      <c r="BO392" s="277">
        <f>BN392+($BR$392-$BM$392)/5</f>
        <v>7.8706063207915049</v>
      </c>
      <c r="BP392" s="277">
        <f>BO392+($BR$392-$BM$392)/5</f>
        <v>7.947025750048601</v>
      </c>
      <c r="BQ392" s="277">
        <f>BP392+($BR$392-$BM$392)/5</f>
        <v>8.023445179305698</v>
      </c>
      <c r="BR392" s="278">
        <f>BM392*$D$742</f>
        <v>8.099864608562795</v>
      </c>
    </row>
    <row r="393" spans="1:70" ht="13.8" thickBot="1" x14ac:dyDescent="0.3">
      <c r="A393" s="754" t="s">
        <v>727</v>
      </c>
      <c r="AA393" s="285">
        <f>Z563+($AI$393-$Y$563)/10</f>
        <v>1.3116492415795387</v>
      </c>
      <c r="AB393" s="285">
        <f t="shared" ref="AB393:AH393" si="45">AA393+($AI$393-$Y$563)/10</f>
        <v>1.314474997718583</v>
      </c>
      <c r="AC393" s="285">
        <f t="shared" si="45"/>
        <v>1.3173007538576273</v>
      </c>
      <c r="AD393" s="285">
        <f t="shared" si="45"/>
        <v>1.3201265099966717</v>
      </c>
      <c r="AE393" s="285">
        <f t="shared" si="45"/>
        <v>1.322952266135716</v>
      </c>
      <c r="AF393" s="285">
        <f t="shared" si="45"/>
        <v>1.3257780222747604</v>
      </c>
      <c r="AG393" s="285">
        <f t="shared" si="45"/>
        <v>1.3286037784138047</v>
      </c>
      <c r="AH393" s="285">
        <f t="shared" si="45"/>
        <v>1.3314295345528491</v>
      </c>
      <c r="AI393" s="286">
        <f>T563*$E$740</f>
        <v>1.3342552906918941</v>
      </c>
      <c r="AJ393" s="285">
        <f>AI393+($AX$393-$AI$393)/15</f>
        <v>1.3381671025139799</v>
      </c>
      <c r="AK393" s="285">
        <f t="shared" ref="AK393:AW393" si="46">AJ393+($AX$393-$AI$393)/15</f>
        <v>1.3420789143360656</v>
      </c>
      <c r="AL393" s="285">
        <f t="shared" si="46"/>
        <v>1.3459907261581514</v>
      </c>
      <c r="AM393" s="285">
        <f t="shared" si="46"/>
        <v>1.3499025379802372</v>
      </c>
      <c r="AN393" s="285">
        <f t="shared" si="46"/>
        <v>1.353814349802323</v>
      </c>
      <c r="AO393" s="285">
        <f t="shared" si="46"/>
        <v>1.3577261616244087</v>
      </c>
      <c r="AP393" s="285">
        <f t="shared" si="46"/>
        <v>1.3616379734464945</v>
      </c>
      <c r="AQ393" s="285">
        <f t="shared" si="46"/>
        <v>1.3655497852685803</v>
      </c>
      <c r="AR393" s="285">
        <f t="shared" si="46"/>
        <v>1.3694615970906661</v>
      </c>
      <c r="AS393" s="285">
        <f t="shared" si="46"/>
        <v>1.3733734089127518</v>
      </c>
      <c r="AT393" s="285">
        <f t="shared" si="46"/>
        <v>1.3772852207348376</v>
      </c>
      <c r="AU393" s="285">
        <f t="shared" si="46"/>
        <v>1.3811970325569234</v>
      </c>
      <c r="AV393" s="285">
        <f t="shared" si="46"/>
        <v>1.3851088443790092</v>
      </c>
      <c r="AW393" s="285">
        <f t="shared" si="46"/>
        <v>1.3890206562010949</v>
      </c>
      <c r="AX393" s="286">
        <f>AI393*$B$740</f>
        <v>1.3929324680231794</v>
      </c>
      <c r="AY393" s="285">
        <f>AX393+($BM$393-$AX$393)/15</f>
        <v>1.3955742685410359</v>
      </c>
      <c r="AZ393" s="285">
        <f t="shared" ref="AZ393:BL393" si="47">AY393+($BM$393-$AX$393)/15</f>
        <v>1.3982160690588925</v>
      </c>
      <c r="BA393" s="285">
        <f t="shared" si="47"/>
        <v>1.4008578695767491</v>
      </c>
      <c r="BB393" s="285">
        <f t="shared" si="47"/>
        <v>1.4034996700946056</v>
      </c>
      <c r="BC393" s="285">
        <f t="shared" si="47"/>
        <v>1.4061414706124622</v>
      </c>
      <c r="BD393" s="285">
        <f t="shared" si="47"/>
        <v>1.4087832711303188</v>
      </c>
      <c r="BE393" s="285">
        <f t="shared" si="47"/>
        <v>1.4114250716481753</v>
      </c>
      <c r="BF393" s="285">
        <f t="shared" si="47"/>
        <v>1.4140668721660319</v>
      </c>
      <c r="BG393" s="285">
        <f t="shared" si="47"/>
        <v>1.4167086726838884</v>
      </c>
      <c r="BH393" s="285">
        <f t="shared" si="47"/>
        <v>1.419350473201745</v>
      </c>
      <c r="BI393" s="285">
        <f t="shared" si="47"/>
        <v>1.4219922737196016</v>
      </c>
      <c r="BJ393" s="285">
        <f t="shared" si="47"/>
        <v>1.4246340742374581</v>
      </c>
      <c r="BK393" s="285">
        <f t="shared" si="47"/>
        <v>1.4272758747553147</v>
      </c>
      <c r="BL393" s="285">
        <f t="shared" si="47"/>
        <v>1.4299176752731713</v>
      </c>
      <c r="BM393" s="286">
        <f>AX393*$C$740</f>
        <v>1.4325594757910274</v>
      </c>
      <c r="BN393" s="285">
        <f>BM393+($BR$393-$BM$393)/5</f>
        <v>1.4352764318903966</v>
      </c>
      <c r="BO393" s="285">
        <f>BN393+($BR$393-$BM$393)/5</f>
        <v>1.4379933879897657</v>
      </c>
      <c r="BP393" s="285">
        <f>BO393+($BR$393-$BM$393)/5</f>
        <v>1.4407103440891349</v>
      </c>
      <c r="BQ393" s="285">
        <f>BP393+($BR$393-$BM$393)/5</f>
        <v>1.4434273001885041</v>
      </c>
      <c r="BR393" s="286">
        <f>BM393*$D$740</f>
        <v>1.4461442562878735</v>
      </c>
    </row>
    <row r="394" spans="1:70" x14ac:dyDescent="0.25">
      <c r="A394" s="754" t="s">
        <v>728</v>
      </c>
    </row>
    <row r="395" spans="1:70" x14ac:dyDescent="0.25">
      <c r="A395" s="754" t="s">
        <v>729</v>
      </c>
    </row>
    <row r="396" spans="1:70" x14ac:dyDescent="0.25">
      <c r="A396" s="754" t="s">
        <v>730</v>
      </c>
    </row>
    <row r="397" spans="1:70" x14ac:dyDescent="0.25">
      <c r="A397" s="754" t="s">
        <v>731</v>
      </c>
    </row>
    <row r="403" spans="1:26" x14ac:dyDescent="0.25">
      <c r="A403" s="300" t="s">
        <v>850</v>
      </c>
      <c r="B403" s="300"/>
      <c r="C403" s="300"/>
      <c r="D403" s="300"/>
      <c r="E403" s="300"/>
      <c r="F403" s="300"/>
      <c r="G403" s="300"/>
      <c r="H403" s="300"/>
      <c r="I403" s="300"/>
      <c r="J403" s="300"/>
      <c r="K403" s="300"/>
      <c r="L403" s="300"/>
      <c r="M403" s="300"/>
      <c r="N403" s="300"/>
      <c r="O403" s="300"/>
      <c r="P403" s="300"/>
      <c r="Q403" s="300"/>
      <c r="R403" s="300"/>
      <c r="S403" s="300"/>
      <c r="T403" s="300"/>
      <c r="U403" s="300"/>
      <c r="V403" s="300"/>
      <c r="W403" s="300"/>
      <c r="X403" s="300"/>
      <c r="Y403" s="300"/>
      <c r="Z403" s="300"/>
    </row>
    <row r="404" spans="1:26" x14ac:dyDescent="0.25">
      <c r="A404" s="300" t="s">
        <v>590</v>
      </c>
      <c r="B404" s="300"/>
      <c r="C404" s="300"/>
      <c r="D404" s="300"/>
      <c r="E404" s="300"/>
      <c r="F404" s="300"/>
      <c r="G404" s="300"/>
      <c r="H404" s="300"/>
      <c r="I404" s="300"/>
      <c r="J404" s="300"/>
      <c r="K404" s="300"/>
      <c r="L404" s="300"/>
      <c r="M404" s="300"/>
      <c r="N404" s="300"/>
      <c r="O404" s="300"/>
      <c r="P404" s="300"/>
      <c r="Q404" s="300"/>
      <c r="R404" s="300"/>
      <c r="S404" s="300"/>
      <c r="T404" s="300"/>
      <c r="U404" s="300"/>
      <c r="V404" s="300"/>
      <c r="W404" s="300"/>
      <c r="X404" s="300"/>
      <c r="Y404" s="300"/>
      <c r="Z404" s="300"/>
    </row>
    <row r="405" spans="1:26" x14ac:dyDescent="0.25">
      <c r="A405" s="300" t="s">
        <v>591</v>
      </c>
      <c r="B405" s="300"/>
      <c r="C405" s="300"/>
      <c r="D405" s="300"/>
      <c r="E405" s="300"/>
      <c r="F405" s="300"/>
      <c r="G405" s="300"/>
      <c r="H405" s="300"/>
      <c r="I405" s="300"/>
      <c r="J405" s="300"/>
      <c r="K405" s="300"/>
      <c r="L405" s="300"/>
      <c r="M405" s="300"/>
      <c r="N405" s="300"/>
      <c r="O405" s="300"/>
      <c r="P405" s="300"/>
      <c r="Q405" s="300"/>
      <c r="R405" s="300"/>
      <c r="S405" s="300"/>
      <c r="T405" s="300"/>
      <c r="U405" s="300"/>
      <c r="V405" s="300"/>
      <c r="W405" s="300"/>
      <c r="X405" s="300"/>
      <c r="Y405" s="300"/>
      <c r="Z405" s="300"/>
    </row>
    <row r="406" spans="1:26" x14ac:dyDescent="0.25">
      <c r="A406" s="300"/>
      <c r="B406" s="300"/>
      <c r="C406" s="300"/>
      <c r="D406" s="300"/>
      <c r="E406" s="300"/>
      <c r="F406" s="300"/>
      <c r="G406" s="300"/>
      <c r="H406" s="300"/>
      <c r="I406" s="300"/>
      <c r="J406" s="300"/>
      <c r="K406" s="300"/>
      <c r="L406" s="300"/>
      <c r="M406" s="300"/>
      <c r="N406" s="300"/>
      <c r="O406" s="300"/>
      <c r="P406" s="300"/>
      <c r="Q406" s="300"/>
      <c r="R406" s="300"/>
      <c r="S406" s="300"/>
      <c r="T406" s="300"/>
      <c r="U406" s="300"/>
      <c r="V406" s="300"/>
      <c r="W406" s="300"/>
      <c r="X406" s="300"/>
      <c r="Y406" s="300"/>
      <c r="Z406" s="300"/>
    </row>
    <row r="407" spans="1:26" x14ac:dyDescent="0.25">
      <c r="A407" s="300" t="s">
        <v>437</v>
      </c>
      <c r="B407" s="300"/>
      <c r="C407" s="300"/>
      <c r="D407" s="300"/>
      <c r="E407" s="300"/>
      <c r="F407" s="300"/>
      <c r="G407" s="300"/>
      <c r="H407" s="300"/>
      <c r="I407" s="300"/>
      <c r="J407" s="300"/>
      <c r="K407" s="300"/>
      <c r="L407" s="300"/>
      <c r="M407" s="300"/>
      <c r="N407" s="300"/>
      <c r="O407" s="300"/>
      <c r="P407" s="300"/>
      <c r="Q407" s="300"/>
      <c r="R407" s="300"/>
      <c r="S407" s="300"/>
      <c r="T407" s="300"/>
      <c r="U407" s="300"/>
      <c r="V407" s="300"/>
      <c r="W407" s="300"/>
      <c r="X407" s="300"/>
      <c r="Y407" s="300"/>
      <c r="Z407" s="300"/>
    </row>
    <row r="408" spans="1:26" x14ac:dyDescent="0.25">
      <c r="A408" s="300" t="s">
        <v>592</v>
      </c>
      <c r="B408" s="300"/>
      <c r="C408" s="300"/>
      <c r="D408" s="300"/>
      <c r="E408" s="300"/>
      <c r="F408" s="300"/>
      <c r="G408" s="300"/>
      <c r="H408" s="300"/>
      <c r="I408" s="300"/>
      <c r="J408" s="300"/>
      <c r="K408" s="300"/>
      <c r="L408" s="300"/>
      <c r="M408" s="300"/>
      <c r="N408" s="300"/>
      <c r="O408" s="300"/>
      <c r="P408" s="300"/>
      <c r="Q408" s="300"/>
      <c r="R408" s="300"/>
      <c r="S408" s="300"/>
      <c r="T408" s="300"/>
      <c r="U408" s="300"/>
      <c r="V408" s="300"/>
      <c r="W408" s="300"/>
      <c r="X408" s="300"/>
      <c r="Y408" s="300"/>
      <c r="Z408" s="300"/>
    </row>
    <row r="409" spans="1:26" x14ac:dyDescent="0.25">
      <c r="A409" s="300"/>
      <c r="B409" s="300"/>
      <c r="C409" s="300"/>
      <c r="D409" s="300"/>
      <c r="E409" s="300"/>
      <c r="F409" s="300"/>
      <c r="G409" s="300"/>
      <c r="H409" s="300"/>
      <c r="I409" s="300"/>
      <c r="J409" s="300"/>
      <c r="K409" s="300"/>
      <c r="L409" s="300"/>
      <c r="M409" s="300"/>
      <c r="N409" s="300"/>
      <c r="O409" s="300"/>
      <c r="P409" s="300"/>
      <c r="Q409" s="300"/>
      <c r="R409" s="300"/>
      <c r="S409" s="300"/>
      <c r="T409" s="300"/>
      <c r="U409" s="300"/>
      <c r="V409" s="300"/>
      <c r="W409" s="300"/>
      <c r="X409" s="300"/>
      <c r="Y409" s="300"/>
      <c r="Z409" s="300"/>
    </row>
    <row r="410" spans="1:26" x14ac:dyDescent="0.25">
      <c r="A410" s="300"/>
      <c r="B410" s="300"/>
      <c r="C410" s="300"/>
      <c r="D410" s="300"/>
      <c r="E410" s="300"/>
      <c r="F410" s="300"/>
      <c r="G410" s="300"/>
      <c r="H410" s="300"/>
      <c r="I410" s="300"/>
      <c r="J410" s="300"/>
      <c r="K410" s="300"/>
      <c r="L410" s="300"/>
      <c r="M410" s="300"/>
      <c r="N410" s="300"/>
      <c r="O410" s="300"/>
      <c r="P410" s="300"/>
      <c r="Q410" s="300"/>
      <c r="R410" s="300"/>
      <c r="S410" s="300"/>
      <c r="T410" s="300"/>
      <c r="U410" s="300"/>
      <c r="V410" s="300"/>
      <c r="W410" s="300"/>
      <c r="X410" s="300"/>
      <c r="Y410" s="300"/>
      <c r="Z410" s="300"/>
    </row>
    <row r="411" spans="1:26" x14ac:dyDescent="0.25">
      <c r="A411" s="300"/>
      <c r="B411" s="300"/>
      <c r="C411" s="300"/>
      <c r="D411" s="300"/>
      <c r="E411" s="300"/>
      <c r="F411" s="300"/>
      <c r="G411" s="300"/>
      <c r="H411" s="300"/>
      <c r="I411" s="300"/>
      <c r="J411" s="300"/>
      <c r="K411" s="300"/>
      <c r="L411" s="300"/>
      <c r="M411" s="300"/>
      <c r="N411" s="300"/>
      <c r="O411" s="300"/>
      <c r="P411" s="300"/>
      <c r="Q411" s="300"/>
      <c r="R411" s="300"/>
      <c r="S411" s="300"/>
      <c r="T411" s="300"/>
      <c r="U411" s="300"/>
      <c r="V411" s="300"/>
      <c r="W411" s="300"/>
      <c r="X411" s="300"/>
      <c r="Y411" s="300"/>
      <c r="Z411" s="300"/>
    </row>
    <row r="412" spans="1:26" x14ac:dyDescent="0.25">
      <c r="A412" s="300"/>
      <c r="B412" s="300"/>
      <c r="C412" s="300"/>
      <c r="D412" s="300" t="s">
        <v>441</v>
      </c>
      <c r="E412" s="300" t="s">
        <v>442</v>
      </c>
      <c r="F412" s="300" t="s">
        <v>443</v>
      </c>
      <c r="G412" s="300" t="s">
        <v>444</v>
      </c>
      <c r="H412" s="300" t="s">
        <v>445</v>
      </c>
      <c r="I412" s="300" t="s">
        <v>446</v>
      </c>
      <c r="J412" s="300" t="s">
        <v>447</v>
      </c>
      <c r="K412" s="300" t="s">
        <v>448</v>
      </c>
      <c r="L412" s="300" t="s">
        <v>449</v>
      </c>
      <c r="M412" s="300" t="s">
        <v>450</v>
      </c>
      <c r="N412" s="300" t="s">
        <v>451</v>
      </c>
      <c r="O412" s="300" t="s">
        <v>452</v>
      </c>
      <c r="P412" s="300" t="s">
        <v>453</v>
      </c>
      <c r="Q412" s="300" t="s">
        <v>454</v>
      </c>
      <c r="R412" s="300" t="s">
        <v>455</v>
      </c>
      <c r="S412" s="300" t="s">
        <v>456</v>
      </c>
      <c r="T412" s="300" t="s">
        <v>457</v>
      </c>
      <c r="U412" s="300" t="s">
        <v>458</v>
      </c>
      <c r="V412" s="300" t="s">
        <v>459</v>
      </c>
      <c r="W412" s="300" t="s">
        <v>460</v>
      </c>
      <c r="X412" s="300" t="s">
        <v>461</v>
      </c>
      <c r="Y412" s="300" t="s">
        <v>462</v>
      </c>
      <c r="Z412" s="300" t="s">
        <v>593</v>
      </c>
    </row>
    <row r="413" spans="1:26" x14ac:dyDescent="0.25">
      <c r="A413" s="300"/>
      <c r="B413" s="300"/>
      <c r="C413" s="300"/>
      <c r="D413" s="300"/>
      <c r="E413" s="300"/>
      <c r="F413" s="300"/>
      <c r="G413" s="300"/>
      <c r="H413" s="300"/>
      <c r="I413" s="300"/>
      <c r="J413" s="300"/>
      <c r="K413" s="300"/>
      <c r="L413" s="300"/>
      <c r="M413" s="300"/>
      <c r="N413" s="300"/>
      <c r="O413" s="300"/>
      <c r="P413" s="300"/>
      <c r="Q413" s="300"/>
      <c r="R413" s="300"/>
      <c r="S413" s="300"/>
      <c r="T413" s="300"/>
      <c r="U413" s="300"/>
      <c r="V413" s="300"/>
      <c r="W413" s="300"/>
      <c r="X413" s="300"/>
      <c r="Y413" s="300"/>
      <c r="Z413" s="300"/>
    </row>
    <row r="414" spans="1:26" x14ac:dyDescent="0.25">
      <c r="A414" s="300"/>
      <c r="B414" s="300"/>
      <c r="C414" s="300"/>
      <c r="D414" s="300"/>
      <c r="E414" s="300"/>
      <c r="F414" s="300"/>
      <c r="G414" s="300"/>
      <c r="H414" s="300"/>
      <c r="I414" s="300"/>
      <c r="J414" s="300"/>
      <c r="K414" s="300"/>
      <c r="L414" s="300"/>
      <c r="M414" s="300"/>
      <c r="N414" s="300"/>
      <c r="O414" s="300"/>
      <c r="P414" s="300"/>
      <c r="Q414" s="300"/>
      <c r="R414" s="300"/>
      <c r="S414" s="300"/>
      <c r="T414" s="300"/>
      <c r="U414" s="300"/>
      <c r="V414" s="300"/>
      <c r="W414" s="300"/>
      <c r="X414" s="300"/>
      <c r="Y414" s="300"/>
      <c r="Z414" s="300"/>
    </row>
    <row r="415" spans="1:26" x14ac:dyDescent="0.25">
      <c r="A415" s="300" t="s">
        <v>463</v>
      </c>
      <c r="B415" s="300"/>
      <c r="C415" s="300"/>
      <c r="D415" s="300"/>
      <c r="E415" s="300"/>
      <c r="F415" s="300"/>
      <c r="G415" s="300"/>
      <c r="H415" s="300"/>
      <c r="I415" s="300"/>
      <c r="J415" s="300"/>
      <c r="K415" s="300"/>
      <c r="L415" s="300"/>
      <c r="M415" s="300"/>
      <c r="N415" s="300"/>
      <c r="O415" s="300"/>
      <c r="P415" s="300"/>
      <c r="Q415" s="300"/>
      <c r="R415" s="300"/>
      <c r="S415" s="300"/>
      <c r="T415" s="300"/>
      <c r="U415" s="300"/>
      <c r="V415" s="300"/>
      <c r="W415" s="300"/>
      <c r="X415" s="300"/>
      <c r="Y415" s="300"/>
      <c r="Z415" s="300"/>
    </row>
    <row r="416" spans="1:26" x14ac:dyDescent="0.25">
      <c r="A416" s="300" t="s">
        <v>598</v>
      </c>
      <c r="B416" s="300"/>
      <c r="C416" s="300"/>
      <c r="D416" s="300">
        <v>18.210411071777301</v>
      </c>
      <c r="E416" s="300">
        <v>19.293371200561499</v>
      </c>
      <c r="F416" s="300">
        <v>21.158409118652301</v>
      </c>
      <c r="G416" s="300">
        <v>24.5404376983643</v>
      </c>
      <c r="H416" s="300">
        <v>24.494813919067401</v>
      </c>
      <c r="I416" s="300">
        <v>23.9600429534912</v>
      </c>
      <c r="J416" s="300">
        <v>23.672391891479499</v>
      </c>
      <c r="K416" s="300">
        <v>23.2634162902832</v>
      </c>
      <c r="L416" s="300">
        <v>23.106723785400401</v>
      </c>
      <c r="M416" s="300">
        <v>22.905719757080099</v>
      </c>
      <c r="N416" s="300">
        <v>22.942964553833001</v>
      </c>
      <c r="O416" s="300">
        <v>22.881586074829102</v>
      </c>
      <c r="P416" s="300">
        <v>22.979688644409201</v>
      </c>
      <c r="Q416" s="300">
        <v>23.190465927123999</v>
      </c>
      <c r="R416" s="300">
        <v>23.129106521606399</v>
      </c>
      <c r="S416" s="300">
        <v>23.088548660278299</v>
      </c>
      <c r="T416" s="300">
        <v>23.183416366577099</v>
      </c>
      <c r="U416" s="300">
        <v>23.1546516418457</v>
      </c>
      <c r="V416" s="300">
        <v>23.285535812377901</v>
      </c>
      <c r="W416" s="300">
        <v>23.420475006103501</v>
      </c>
      <c r="X416" s="300">
        <v>23.540468215942401</v>
      </c>
      <c r="Y416" s="300">
        <v>23.532218933105501</v>
      </c>
      <c r="Z416" s="300">
        <v>23.562456130981399</v>
      </c>
    </row>
    <row r="417" spans="1:26" x14ac:dyDescent="0.25">
      <c r="A417" s="300" t="s">
        <v>599</v>
      </c>
      <c r="B417" s="300"/>
      <c r="C417" s="300"/>
      <c r="D417" s="300">
        <v>12.893347740173301</v>
      </c>
      <c r="E417" s="300">
        <v>14.727064132690399</v>
      </c>
      <c r="F417" s="300">
        <v>16.906724929809599</v>
      </c>
      <c r="G417" s="300">
        <v>17.4485054016113</v>
      </c>
      <c r="H417" s="300">
        <v>16.910488128662099</v>
      </c>
      <c r="I417" s="300">
        <v>15.8367977142334</v>
      </c>
      <c r="J417" s="300">
        <v>14.87486743927</v>
      </c>
      <c r="K417" s="300">
        <v>14.031831741333001</v>
      </c>
      <c r="L417" s="300">
        <v>13.359474182128899</v>
      </c>
      <c r="M417" s="300">
        <v>12.596385955810501</v>
      </c>
      <c r="N417" s="300">
        <v>12.5241403579712</v>
      </c>
      <c r="O417" s="300">
        <v>12.595507621765099</v>
      </c>
      <c r="P417" s="300">
        <v>12.630928039550801</v>
      </c>
      <c r="Q417" s="300">
        <v>12.738121032714799</v>
      </c>
      <c r="R417" s="300">
        <v>12.8303670883179</v>
      </c>
      <c r="S417" s="300">
        <v>13.052293777465801</v>
      </c>
      <c r="T417" s="300">
        <v>13.1472158432007</v>
      </c>
      <c r="U417" s="300">
        <v>13.2630777359009</v>
      </c>
      <c r="V417" s="300">
        <v>13.422198295593301</v>
      </c>
      <c r="W417" s="300">
        <v>13.360619544982899</v>
      </c>
      <c r="X417" s="300">
        <v>13.513841629028301</v>
      </c>
      <c r="Y417" s="300">
        <v>13.560380935668899</v>
      </c>
      <c r="Z417" s="300">
        <v>13.627392768859901</v>
      </c>
    </row>
    <row r="418" spans="1:26" x14ac:dyDescent="0.25">
      <c r="A418" s="300" t="s">
        <v>500</v>
      </c>
      <c r="B418" s="300"/>
      <c r="C418" s="300"/>
      <c r="D418" s="300">
        <v>10.721179008483899</v>
      </c>
      <c r="E418" s="300">
        <v>12.4281768798828</v>
      </c>
      <c r="F418" s="300">
        <v>13.040691375732401</v>
      </c>
      <c r="G418" s="300">
        <v>11.8341617584229</v>
      </c>
      <c r="H418" s="300">
        <v>11.7410221099854</v>
      </c>
      <c r="I418" s="300">
        <v>11.2507781982422</v>
      </c>
      <c r="J418" s="300">
        <v>10.9759874343872</v>
      </c>
      <c r="K418" s="300">
        <v>10.5919141769409</v>
      </c>
      <c r="L418" s="300">
        <v>10.441241264343301</v>
      </c>
      <c r="M418" s="300">
        <v>10.249824523925801</v>
      </c>
      <c r="N418" s="300">
        <v>10.2927255630493</v>
      </c>
      <c r="O418" s="300">
        <v>10.2421607971191</v>
      </c>
      <c r="P418" s="300">
        <v>10.3305416107178</v>
      </c>
      <c r="Q418" s="300">
        <v>10.557685852050801</v>
      </c>
      <c r="R418" s="300">
        <v>10.4870929718018</v>
      </c>
      <c r="S418" s="300">
        <v>10.439262390136699</v>
      </c>
      <c r="T418" s="300">
        <v>10.539955139160201</v>
      </c>
      <c r="U418" s="300">
        <v>10.5361185073853</v>
      </c>
      <c r="V418" s="300">
        <v>10.6743927001953</v>
      </c>
      <c r="W418" s="300">
        <v>10.830116271972701</v>
      </c>
      <c r="X418" s="300">
        <v>10.948052406311</v>
      </c>
      <c r="Y418" s="300">
        <v>10.9735927581787</v>
      </c>
      <c r="Z418" s="300">
        <v>11.0174913406372</v>
      </c>
    </row>
    <row r="419" spans="1:26" x14ac:dyDescent="0.25">
      <c r="A419" s="300" t="s">
        <v>469</v>
      </c>
      <c r="B419" s="300"/>
      <c r="C419" s="300"/>
      <c r="D419" s="300">
        <v>27.0989685058594</v>
      </c>
      <c r="E419" s="300">
        <v>27.587884902954102</v>
      </c>
      <c r="F419" s="300">
        <v>27.636594772338899</v>
      </c>
      <c r="G419" s="300">
        <v>27.492031097412099</v>
      </c>
      <c r="H419" s="300">
        <v>27.368114471435501</v>
      </c>
      <c r="I419" s="300">
        <v>27.154861450195298</v>
      </c>
      <c r="J419" s="300">
        <v>26.912786483764599</v>
      </c>
      <c r="K419" s="300">
        <v>26.5094184875488</v>
      </c>
      <c r="L419" s="300">
        <v>26.281187057495099</v>
      </c>
      <c r="M419" s="300">
        <v>26.172458648681602</v>
      </c>
      <c r="N419" s="300">
        <v>26.036540985107401</v>
      </c>
      <c r="O419" s="300">
        <v>25.993564605712901</v>
      </c>
      <c r="P419" s="300">
        <v>26.085290908813501</v>
      </c>
      <c r="Q419" s="300">
        <v>26.304872512817401</v>
      </c>
      <c r="R419" s="300">
        <v>26.445003509521499</v>
      </c>
      <c r="S419" s="300">
        <v>26.355556488037099</v>
      </c>
      <c r="T419" s="300">
        <v>26.368726730346701</v>
      </c>
      <c r="U419" s="300">
        <v>26.419284820556602</v>
      </c>
      <c r="V419" s="300">
        <v>26.420993804931602</v>
      </c>
      <c r="W419" s="300">
        <v>26.4647102355957</v>
      </c>
      <c r="X419" s="300">
        <v>26.5621242523193</v>
      </c>
      <c r="Y419" s="300">
        <v>26.608213424682599</v>
      </c>
      <c r="Z419" s="300">
        <v>26.564920425415</v>
      </c>
    </row>
    <row r="420" spans="1:26" x14ac:dyDescent="0.25">
      <c r="A420" s="300" t="s">
        <v>470</v>
      </c>
      <c r="B420" s="300"/>
      <c r="C420" s="300"/>
      <c r="D420" s="300"/>
      <c r="E420" s="300"/>
      <c r="F420" s="300"/>
      <c r="G420" s="300"/>
      <c r="H420" s="300"/>
      <c r="I420" s="300"/>
      <c r="J420" s="300"/>
      <c r="K420" s="300"/>
      <c r="L420" s="300"/>
      <c r="M420" s="300"/>
      <c r="N420" s="300"/>
      <c r="O420" s="300"/>
      <c r="P420" s="300"/>
      <c r="Q420" s="300"/>
      <c r="R420" s="300"/>
      <c r="S420" s="300"/>
      <c r="T420" s="300"/>
      <c r="U420" s="300"/>
      <c r="V420" s="300"/>
      <c r="W420" s="300"/>
      <c r="X420" s="300"/>
      <c r="Y420" s="300"/>
      <c r="Z420" s="300"/>
    </row>
    <row r="421" spans="1:26" x14ac:dyDescent="0.25">
      <c r="A421" s="300" t="s">
        <v>599</v>
      </c>
      <c r="B421" s="300"/>
      <c r="C421" s="300"/>
      <c r="D421" s="300">
        <v>10.4802904129028</v>
      </c>
      <c r="E421" s="300">
        <v>12.6793832778931</v>
      </c>
      <c r="F421" s="300">
        <v>14.632154464721699</v>
      </c>
      <c r="G421" s="300">
        <v>15.3235988616943</v>
      </c>
      <c r="H421" s="300">
        <v>14.4384679794312</v>
      </c>
      <c r="I421" s="300">
        <v>13.4501142501831</v>
      </c>
      <c r="J421" s="300">
        <v>12.7189273834229</v>
      </c>
      <c r="K421" s="300">
        <v>11.9810342788696</v>
      </c>
      <c r="L421" s="300">
        <v>11.338329315185501</v>
      </c>
      <c r="M421" s="300">
        <v>10.8460388183594</v>
      </c>
      <c r="N421" s="300">
        <v>10.667523384094199</v>
      </c>
      <c r="O421" s="300">
        <v>10.728004455566399</v>
      </c>
      <c r="P421" s="300">
        <v>10.8701782226563</v>
      </c>
      <c r="Q421" s="300">
        <v>10.9251909255981</v>
      </c>
      <c r="R421" s="300">
        <v>11.0219278335571</v>
      </c>
      <c r="S421" s="300">
        <v>11.292310714721699</v>
      </c>
      <c r="T421" s="300">
        <v>11.349814414978001</v>
      </c>
      <c r="U421" s="300">
        <v>11.461010932922401</v>
      </c>
      <c r="V421" s="300">
        <v>11.6882877349854</v>
      </c>
      <c r="W421" s="300">
        <v>11.5126600265503</v>
      </c>
      <c r="X421" s="300">
        <v>11.6838274002075</v>
      </c>
      <c r="Y421" s="300">
        <v>11.8503408432007</v>
      </c>
      <c r="Z421" s="300">
        <v>11.857501029968301</v>
      </c>
    </row>
    <row r="422" spans="1:26" ht="51" customHeight="1" x14ac:dyDescent="0.25">
      <c r="A422" s="300" t="s">
        <v>600</v>
      </c>
      <c r="B422" s="300"/>
      <c r="C422" s="300"/>
      <c r="D422" s="300">
        <v>6.2490105628967303</v>
      </c>
      <c r="E422" s="300">
        <v>8.4144115447997994</v>
      </c>
      <c r="F422" s="300">
        <v>10.1003465652466</v>
      </c>
      <c r="G422" s="300">
        <v>7.8816242218017596</v>
      </c>
      <c r="H422" s="300">
        <v>7.7979149818420401</v>
      </c>
      <c r="I422" s="300">
        <v>7.67907810211182</v>
      </c>
      <c r="J422" s="300">
        <v>7.5374598503112802</v>
      </c>
      <c r="K422" s="300">
        <v>7.0601482391357404</v>
      </c>
      <c r="L422" s="300">
        <v>6.9191079139709499</v>
      </c>
      <c r="M422" s="300">
        <v>5.9906802177429199</v>
      </c>
      <c r="N422" s="300">
        <v>6.31249952316284</v>
      </c>
      <c r="O422" s="300">
        <v>6.4941840171814</v>
      </c>
      <c r="P422" s="300">
        <v>6.4476203918456996</v>
      </c>
      <c r="Q422" s="300">
        <v>6.5857205390930202</v>
      </c>
      <c r="R422" s="300">
        <v>6.7015118598937997</v>
      </c>
      <c r="S422" s="300">
        <v>6.98899221420288</v>
      </c>
      <c r="T422" s="300">
        <v>7.0690569877624503</v>
      </c>
      <c r="U422" s="300">
        <v>7.2425847053527797</v>
      </c>
      <c r="V422" s="300">
        <v>7.4012169837951696</v>
      </c>
      <c r="W422" s="300">
        <v>7.2363023757934597</v>
      </c>
      <c r="X422" s="300">
        <v>7.3775544166564897</v>
      </c>
      <c r="Y422" s="300">
        <v>7.1704416275024396</v>
      </c>
      <c r="Z422" s="300">
        <v>7.2997760772705096</v>
      </c>
    </row>
    <row r="423" spans="1:26" ht="30.75" customHeight="1" x14ac:dyDescent="0.25">
      <c r="A423" s="302" t="s">
        <v>500</v>
      </c>
      <c r="B423" s="302"/>
      <c r="C423" s="302"/>
      <c r="D423" s="300">
        <v>9.4024562835693395</v>
      </c>
      <c r="E423" s="300">
        <v>11.2028198242188</v>
      </c>
      <c r="F423" s="300">
        <v>11.3786783218384</v>
      </c>
      <c r="G423" s="300">
        <v>10.2688541412354</v>
      </c>
      <c r="H423" s="300">
        <v>10.157588958740201</v>
      </c>
      <c r="I423" s="300">
        <v>9.6297473907470703</v>
      </c>
      <c r="J423" s="300">
        <v>9.3356885910034197</v>
      </c>
      <c r="K423" s="300">
        <v>8.9214458465576207</v>
      </c>
      <c r="L423" s="300">
        <v>8.7509040832519496</v>
      </c>
      <c r="M423" s="300">
        <v>8.5351839065551793</v>
      </c>
      <c r="N423" s="300">
        <v>8.5524559020996094</v>
      </c>
      <c r="O423" s="300">
        <v>8.47686672210693</v>
      </c>
      <c r="P423" s="300">
        <v>8.5459880828857404</v>
      </c>
      <c r="Q423" s="300">
        <v>8.7391986846923793</v>
      </c>
      <c r="R423" s="300">
        <v>8.6564092636108398</v>
      </c>
      <c r="S423" s="300">
        <v>8.5963792800903303</v>
      </c>
      <c r="T423" s="300">
        <v>8.6742591857910192</v>
      </c>
      <c r="U423" s="300">
        <v>8.6351099014282209</v>
      </c>
      <c r="V423" s="300">
        <v>8.7470979690551793</v>
      </c>
      <c r="W423" s="300">
        <v>8.8685941696166992</v>
      </c>
      <c r="X423" s="300">
        <v>8.9716949462890607</v>
      </c>
      <c r="Y423" s="300">
        <v>8.9597854614257795</v>
      </c>
      <c r="Z423" s="300">
        <v>8.9777603149414098</v>
      </c>
    </row>
    <row r="424" spans="1:26" x14ac:dyDescent="0.25">
      <c r="A424" s="301" t="s">
        <v>469</v>
      </c>
      <c r="B424" s="301"/>
      <c r="C424" s="301"/>
      <c r="D424" s="300">
        <v>24.591539382934599</v>
      </c>
      <c r="E424" s="300">
        <v>25.251781463623001</v>
      </c>
      <c r="F424" s="300">
        <v>25.738388061523398</v>
      </c>
      <c r="G424" s="300">
        <v>25.3376979827881</v>
      </c>
      <c r="H424" s="300">
        <v>25.268539428710898</v>
      </c>
      <c r="I424" s="300">
        <v>24.918291091918899</v>
      </c>
      <c r="J424" s="300">
        <v>24.500482559204102</v>
      </c>
      <c r="K424" s="300">
        <v>23.8594665527344</v>
      </c>
      <c r="L424" s="300">
        <v>23.593626022338899</v>
      </c>
      <c r="M424" s="300">
        <v>23.443479537963899</v>
      </c>
      <c r="N424" s="300">
        <v>23.311824798583999</v>
      </c>
      <c r="O424" s="300">
        <v>23.328050613403299</v>
      </c>
      <c r="P424" s="300">
        <v>23.4844055175781</v>
      </c>
      <c r="Q424" s="300">
        <v>23.749778747558601</v>
      </c>
      <c r="R424" s="300">
        <v>23.944339752197301</v>
      </c>
      <c r="S424" s="300">
        <v>23.889307022094702</v>
      </c>
      <c r="T424" s="300">
        <v>23.952335357666001</v>
      </c>
      <c r="U424" s="300">
        <v>24.000473022460898</v>
      </c>
      <c r="V424" s="300">
        <v>24.006351470947301</v>
      </c>
      <c r="W424" s="300">
        <v>24.077814102172901</v>
      </c>
      <c r="X424" s="300">
        <v>24.1955890655518</v>
      </c>
      <c r="Y424" s="300">
        <v>24.23095703125</v>
      </c>
      <c r="Z424" s="300">
        <v>24.1812038421631</v>
      </c>
    </row>
    <row r="425" spans="1:26" x14ac:dyDescent="0.25">
      <c r="A425" s="300" t="s">
        <v>601</v>
      </c>
      <c r="B425" s="300"/>
      <c r="C425" s="300"/>
      <c r="D425" s="300"/>
      <c r="E425" s="300"/>
      <c r="F425" s="300"/>
      <c r="G425" s="300"/>
      <c r="H425" s="300"/>
      <c r="I425" s="300"/>
      <c r="J425" s="300"/>
      <c r="K425" s="300"/>
      <c r="L425" s="300"/>
      <c r="M425" s="300"/>
      <c r="N425" s="300"/>
      <c r="O425" s="300"/>
      <c r="P425" s="300"/>
      <c r="Q425" s="300"/>
      <c r="R425" s="300"/>
      <c r="S425" s="300"/>
      <c r="T425" s="300"/>
      <c r="U425" s="300"/>
      <c r="V425" s="300"/>
      <c r="W425" s="300"/>
      <c r="X425" s="300"/>
      <c r="Y425" s="300"/>
      <c r="Z425" s="300"/>
    </row>
    <row r="426" spans="1:26" x14ac:dyDescent="0.25">
      <c r="A426" s="300" t="s">
        <v>598</v>
      </c>
      <c r="B426" s="300"/>
      <c r="C426" s="300"/>
      <c r="D426" s="300">
        <v>11.1755380630493</v>
      </c>
      <c r="E426" s="300">
        <v>16.959981918335</v>
      </c>
      <c r="F426" s="300">
        <v>18.9578742980957</v>
      </c>
      <c r="G426" s="300">
        <v>17.513134002685501</v>
      </c>
      <c r="H426" s="300">
        <v>17.389408111572301</v>
      </c>
      <c r="I426" s="300">
        <v>16.750247955322301</v>
      </c>
      <c r="J426" s="300">
        <v>16.423851013183601</v>
      </c>
      <c r="K426" s="300">
        <v>15.943309783935501</v>
      </c>
      <c r="L426" s="300">
        <v>15.769355773925801</v>
      </c>
      <c r="M426" s="300">
        <v>15.620997428894</v>
      </c>
      <c r="N426" s="300">
        <v>15.627494812011699</v>
      </c>
      <c r="O426" s="300">
        <v>15.565483093261699</v>
      </c>
      <c r="P426" s="300">
        <v>15.6823263168335</v>
      </c>
      <c r="Q426" s="300">
        <v>15.8655786514282</v>
      </c>
      <c r="R426" s="300">
        <v>15.8662757873535</v>
      </c>
      <c r="S426" s="300">
        <v>15.8647546768188</v>
      </c>
      <c r="T426" s="300">
        <v>15.9073581695557</v>
      </c>
      <c r="U426" s="300">
        <v>15.883088111877401</v>
      </c>
      <c r="V426" s="300">
        <v>15.994482994079601</v>
      </c>
      <c r="W426" s="300">
        <v>16.1067924499512</v>
      </c>
      <c r="X426" s="300">
        <v>16.2546577453613</v>
      </c>
      <c r="Y426" s="300">
        <v>16.219263076782202</v>
      </c>
      <c r="Z426" s="300">
        <v>16.2301216125488</v>
      </c>
    </row>
    <row r="427" spans="1:26" x14ac:dyDescent="0.25">
      <c r="A427" s="300" t="s">
        <v>599</v>
      </c>
      <c r="B427" s="300"/>
      <c r="C427" s="300"/>
      <c r="D427" s="300">
        <v>10.9898891448975</v>
      </c>
      <c r="E427" s="300">
        <v>13.0814533233643</v>
      </c>
      <c r="F427" s="300">
        <v>15.1407413482666</v>
      </c>
      <c r="G427" s="300">
        <v>15.435567855835</v>
      </c>
      <c r="H427" s="300">
        <v>14.2919836044312</v>
      </c>
      <c r="I427" s="300">
        <v>13.4232997894287</v>
      </c>
      <c r="J427" s="300">
        <v>12.948052406311</v>
      </c>
      <c r="K427" s="300">
        <v>12.4780015945435</v>
      </c>
      <c r="L427" s="300">
        <v>11.882830619811999</v>
      </c>
      <c r="M427" s="300">
        <v>11.641848564147899</v>
      </c>
      <c r="N427" s="300">
        <v>11.349123954772899</v>
      </c>
      <c r="O427" s="300">
        <v>11.401933670043899</v>
      </c>
      <c r="P427" s="300">
        <v>11.6324548721313</v>
      </c>
      <c r="Q427" s="300">
        <v>11.632493019104</v>
      </c>
      <c r="R427" s="300">
        <v>11.737724304199199</v>
      </c>
      <c r="S427" s="300">
        <v>12.060711860656699</v>
      </c>
      <c r="T427" s="300">
        <v>12.0405569076538</v>
      </c>
      <c r="U427" s="300">
        <v>12.1396341323853</v>
      </c>
      <c r="V427" s="300">
        <v>12.421196937561</v>
      </c>
      <c r="W427" s="300">
        <v>12.169375419616699</v>
      </c>
      <c r="X427" s="300">
        <v>12.3622283935547</v>
      </c>
      <c r="Y427" s="300">
        <v>12.619636535644499</v>
      </c>
      <c r="Z427" s="300">
        <v>12.5786838531494</v>
      </c>
    </row>
    <row r="428" spans="1:26" x14ac:dyDescent="0.25">
      <c r="A428" s="300" t="s">
        <v>600</v>
      </c>
      <c r="B428" s="300"/>
      <c r="C428" s="300"/>
      <c r="D428" s="300">
        <v>5.7738895416259801</v>
      </c>
      <c r="E428" s="300">
        <v>7.7708010673522896</v>
      </c>
      <c r="F428" s="300">
        <v>9.3422021865844709</v>
      </c>
      <c r="G428" s="300">
        <v>9.8767166137695295</v>
      </c>
      <c r="H428" s="300">
        <v>10.084191322326699</v>
      </c>
      <c r="I428" s="300">
        <v>9.7906637191772496</v>
      </c>
      <c r="J428" s="300">
        <v>9.5023155212402308</v>
      </c>
      <c r="K428" s="300">
        <v>8.7792091369628906</v>
      </c>
      <c r="L428" s="300">
        <v>8.4676847457885707</v>
      </c>
      <c r="M428" s="300">
        <v>8.0373468399047905</v>
      </c>
      <c r="N428" s="300">
        <v>7.9767365455627397</v>
      </c>
      <c r="O428" s="300">
        <v>8.2131023406982404</v>
      </c>
      <c r="P428" s="300">
        <v>8.4110374450683594</v>
      </c>
      <c r="Q428" s="300">
        <v>8.5568304061889595</v>
      </c>
      <c r="R428" s="300">
        <v>8.6100654602050799</v>
      </c>
      <c r="S428" s="300">
        <v>8.8084278106689506</v>
      </c>
      <c r="T428" s="300">
        <v>8.9135255813598597</v>
      </c>
      <c r="U428" s="300">
        <v>9.0664196014404297</v>
      </c>
      <c r="V428" s="300">
        <v>9.2084608078002894</v>
      </c>
      <c r="W428" s="300">
        <v>9.1494617462158203</v>
      </c>
      <c r="X428" s="300">
        <v>9.2910699844360405</v>
      </c>
      <c r="Y428" s="300">
        <v>9.2583961486816406</v>
      </c>
      <c r="Z428" s="300">
        <v>9.38494873046875</v>
      </c>
    </row>
    <row r="429" spans="1:26" x14ac:dyDescent="0.25">
      <c r="A429" s="302" t="s">
        <v>602</v>
      </c>
      <c r="B429" s="302"/>
      <c r="C429" s="302"/>
      <c r="D429" s="300">
        <v>6.4688553810119602</v>
      </c>
      <c r="E429" s="300">
        <v>8.1627740859985405</v>
      </c>
      <c r="F429" s="300">
        <v>7.4494204521179199</v>
      </c>
      <c r="G429" s="300">
        <v>7.3632249832153303</v>
      </c>
      <c r="H429" s="300">
        <v>7.2901554107665998</v>
      </c>
      <c r="I429" s="300">
        <v>6.7422003746032697</v>
      </c>
      <c r="J429" s="300">
        <v>6.4267692565918004</v>
      </c>
      <c r="K429" s="300">
        <v>6.0213589668273899</v>
      </c>
      <c r="L429" s="300">
        <v>5.8671450614929199</v>
      </c>
      <c r="M429" s="300">
        <v>5.6813068389892596</v>
      </c>
      <c r="N429" s="300">
        <v>5.6900143623352104</v>
      </c>
      <c r="O429" s="300">
        <v>5.6504640579223597</v>
      </c>
      <c r="P429" s="300">
        <v>5.7415480613708496</v>
      </c>
      <c r="Q429" s="300">
        <v>5.91982173919678</v>
      </c>
      <c r="R429" s="300">
        <v>5.8755149841308603</v>
      </c>
      <c r="S429" s="300">
        <v>5.8359832763671902</v>
      </c>
      <c r="T429" s="300">
        <v>5.9000439643859899</v>
      </c>
      <c r="U429" s="300">
        <v>5.8858833312988299</v>
      </c>
      <c r="V429" s="300">
        <v>6.0041050910949698</v>
      </c>
      <c r="W429" s="300">
        <v>6.1238050460815403</v>
      </c>
      <c r="X429" s="300">
        <v>6.2412667274475098</v>
      </c>
      <c r="Y429" s="300">
        <v>6.2102909088134801</v>
      </c>
      <c r="Z429" s="300">
        <v>6.2538614273071298</v>
      </c>
    </row>
    <row r="430" spans="1:26" x14ac:dyDescent="0.25">
      <c r="A430" s="300" t="s">
        <v>603</v>
      </c>
      <c r="B430" s="300"/>
      <c r="C430" s="300"/>
      <c r="D430" s="300">
        <v>2.3078472614288299</v>
      </c>
      <c r="E430" s="300">
        <v>3.0599997043609601</v>
      </c>
      <c r="F430" s="300">
        <v>3.2548489570617698</v>
      </c>
      <c r="G430" s="300">
        <v>3.2975256443023699</v>
      </c>
      <c r="H430" s="300">
        <v>3.2872827053070099</v>
      </c>
      <c r="I430" s="300">
        <v>3.1889374256134002</v>
      </c>
      <c r="J430" s="300">
        <v>3.0940959453582799</v>
      </c>
      <c r="K430" s="300">
        <v>2.9914577007293701</v>
      </c>
      <c r="L430" s="300">
        <v>2.8927016258239702</v>
      </c>
      <c r="M430" s="300">
        <v>2.78926348686218</v>
      </c>
      <c r="N430" s="300">
        <v>2.7408642768859899</v>
      </c>
      <c r="O430" s="300">
        <v>2.7166485786438002</v>
      </c>
      <c r="P430" s="300">
        <v>2.7061200141906698</v>
      </c>
      <c r="Q430" s="300">
        <v>2.7063503265380899</v>
      </c>
      <c r="R430" s="300">
        <v>2.7045123577117902</v>
      </c>
      <c r="S430" s="300">
        <v>2.68979120254517</v>
      </c>
      <c r="T430" s="300">
        <v>2.7072892189025901</v>
      </c>
      <c r="U430" s="300">
        <v>2.71812868118286</v>
      </c>
      <c r="V430" s="300">
        <v>2.7191135883331299</v>
      </c>
      <c r="W430" s="300">
        <v>2.7064330577850302</v>
      </c>
      <c r="X430" s="300">
        <v>2.68589544296265</v>
      </c>
      <c r="Y430" s="300">
        <v>2.69574999809265</v>
      </c>
      <c r="Z430" s="300">
        <v>2.7049932479858398</v>
      </c>
    </row>
    <row r="431" spans="1:26" x14ac:dyDescent="0.25">
      <c r="A431" s="300" t="s">
        <v>604</v>
      </c>
      <c r="B431" s="300"/>
      <c r="C431" s="300"/>
      <c r="D431" s="300">
        <v>1.80300605297089</v>
      </c>
      <c r="E431" s="300">
        <v>2.1500017642974898</v>
      </c>
      <c r="F431" s="300">
        <v>2.2005796432495099</v>
      </c>
      <c r="G431" s="300">
        <v>2.2392640113830602</v>
      </c>
      <c r="H431" s="300">
        <v>2.2450914382934601</v>
      </c>
      <c r="I431" s="300">
        <v>2.2358458042144802</v>
      </c>
      <c r="J431" s="300">
        <v>2.2614977359771702</v>
      </c>
      <c r="K431" s="300">
        <v>2.2480733394622798</v>
      </c>
      <c r="L431" s="300">
        <v>2.2308864593505899</v>
      </c>
      <c r="M431" s="300">
        <v>2.2124359607696502</v>
      </c>
      <c r="N431" s="300">
        <v>2.2059276103973402</v>
      </c>
      <c r="O431" s="300">
        <v>2.1967613697052002</v>
      </c>
      <c r="P431" s="300">
        <v>2.18912577629089</v>
      </c>
      <c r="Q431" s="300">
        <v>2.1856777667999299</v>
      </c>
      <c r="R431" s="300">
        <v>2.1763286590576199</v>
      </c>
      <c r="S431" s="300">
        <v>2.1755278110504199</v>
      </c>
      <c r="T431" s="300">
        <v>2.18182468414307</v>
      </c>
      <c r="U431" s="300">
        <v>2.19542455673218</v>
      </c>
      <c r="V431" s="300">
        <v>2.2050869464874299</v>
      </c>
      <c r="W431" s="300">
        <v>2.2089655399322501</v>
      </c>
      <c r="X431" s="300">
        <v>2.2187693119049099</v>
      </c>
      <c r="Y431" s="300">
        <v>2.2309319972991899</v>
      </c>
      <c r="Z431" s="300">
        <v>2.2423520088195801</v>
      </c>
    </row>
    <row r="432" spans="1:26" x14ac:dyDescent="0.25">
      <c r="A432" s="300" t="s">
        <v>605</v>
      </c>
      <c r="B432" s="300"/>
      <c r="C432" s="300"/>
      <c r="D432" s="300" t="s">
        <v>1064</v>
      </c>
      <c r="E432" s="300" t="s">
        <v>1064</v>
      </c>
      <c r="F432" s="300" t="s">
        <v>1064</v>
      </c>
      <c r="G432" s="300" t="s">
        <v>1064</v>
      </c>
      <c r="H432" s="300" t="s">
        <v>1064</v>
      </c>
      <c r="I432" s="300" t="s">
        <v>1064</v>
      </c>
      <c r="J432" s="300" t="s">
        <v>1064</v>
      </c>
      <c r="K432" s="300">
        <v>0.88956671953201305</v>
      </c>
      <c r="L432" s="300">
        <v>0.881245017051697</v>
      </c>
      <c r="M432" s="300">
        <v>0.88442194461822499</v>
      </c>
      <c r="N432" s="300">
        <v>0.89085346460342396</v>
      </c>
      <c r="O432" s="300">
        <v>0.88840740919113204</v>
      </c>
      <c r="P432" s="300">
        <v>0.89322775602340698</v>
      </c>
      <c r="Q432" s="300">
        <v>0.90440875291824296</v>
      </c>
      <c r="R432" s="300">
        <v>0.91453087329864502</v>
      </c>
      <c r="S432" s="300">
        <v>0.95469778776168801</v>
      </c>
      <c r="T432" s="300">
        <v>0.96978461742401101</v>
      </c>
      <c r="U432" s="300">
        <v>1.01334369182587</v>
      </c>
      <c r="V432" s="300">
        <v>1.02781510353088</v>
      </c>
      <c r="W432" s="300">
        <v>1.0294380187988299</v>
      </c>
      <c r="X432" s="300">
        <v>1.1219843626022299</v>
      </c>
      <c r="Y432" s="300">
        <v>1.2297383546829199</v>
      </c>
      <c r="Z432" s="300">
        <v>1.26935982704163</v>
      </c>
    </row>
    <row r="433" spans="1:26" x14ac:dyDescent="0.25">
      <c r="A433" s="301" t="s">
        <v>469</v>
      </c>
      <c r="B433" s="301"/>
      <c r="C433" s="301"/>
      <c r="D433" s="300">
        <v>15.8847751617432</v>
      </c>
      <c r="E433" s="300">
        <v>16.691057205200199</v>
      </c>
      <c r="F433" s="300">
        <v>18.258220672607401</v>
      </c>
      <c r="G433" s="300">
        <v>18.768579483032202</v>
      </c>
      <c r="H433" s="300">
        <v>18.8538303375244</v>
      </c>
      <c r="I433" s="300">
        <v>18.518165588378899</v>
      </c>
      <c r="J433" s="300">
        <v>18.014034271240199</v>
      </c>
      <c r="K433" s="300">
        <v>17.2542610168457</v>
      </c>
      <c r="L433" s="300">
        <v>16.790317535400401</v>
      </c>
      <c r="M433" s="300">
        <v>16.590124130248999</v>
      </c>
      <c r="N433" s="300">
        <v>16.466903686523398</v>
      </c>
      <c r="O433" s="300">
        <v>16.461626052856399</v>
      </c>
      <c r="P433" s="300">
        <v>16.6055717468262</v>
      </c>
      <c r="Q433" s="300">
        <v>16.851476669311499</v>
      </c>
      <c r="R433" s="300">
        <v>17.021175384521499</v>
      </c>
      <c r="S433" s="300">
        <v>17.000881195068398</v>
      </c>
      <c r="T433" s="300">
        <v>17.070917129516602</v>
      </c>
      <c r="U433" s="300">
        <v>17.1260585784912</v>
      </c>
      <c r="V433" s="300">
        <v>17.140884399414102</v>
      </c>
      <c r="W433" s="300">
        <v>17.206485748291001</v>
      </c>
      <c r="X433" s="300">
        <v>17.3262729644775</v>
      </c>
      <c r="Y433" s="300">
        <v>17.353824615478501</v>
      </c>
      <c r="Z433" s="300">
        <v>17.310489654541001</v>
      </c>
    </row>
    <row r="434" spans="1:26" x14ac:dyDescent="0.25">
      <c r="A434" s="300" t="s">
        <v>477</v>
      </c>
      <c r="B434" s="300"/>
      <c r="C434" s="300"/>
      <c r="D434" s="300"/>
      <c r="E434" s="300"/>
      <c r="F434" s="300"/>
      <c r="G434" s="300"/>
      <c r="H434" s="300"/>
      <c r="I434" s="300"/>
      <c r="J434" s="300"/>
      <c r="K434" s="300"/>
      <c r="L434" s="300"/>
      <c r="M434" s="300"/>
      <c r="N434" s="300"/>
      <c r="O434" s="300"/>
      <c r="P434" s="300"/>
      <c r="Q434" s="300"/>
      <c r="R434" s="300"/>
      <c r="S434" s="300"/>
      <c r="T434" s="300"/>
      <c r="U434" s="300"/>
      <c r="V434" s="300"/>
      <c r="W434" s="300"/>
      <c r="X434" s="300"/>
      <c r="Y434" s="300"/>
      <c r="Z434" s="300"/>
    </row>
    <row r="435" spans="1:26" x14ac:dyDescent="0.25">
      <c r="A435" s="300" t="s">
        <v>606</v>
      </c>
      <c r="B435" s="300"/>
      <c r="C435" s="300"/>
      <c r="D435" s="300">
        <v>19.6766357421875</v>
      </c>
      <c r="E435" s="300">
        <v>23.9161167144775</v>
      </c>
      <c r="F435" s="300">
        <v>26.805564880371101</v>
      </c>
      <c r="G435" s="300">
        <v>22.710954666137699</v>
      </c>
      <c r="H435" s="300">
        <v>22.759067535400401</v>
      </c>
      <c r="I435" s="300">
        <v>22.268846511840799</v>
      </c>
      <c r="J435" s="300">
        <v>24.343835830688501</v>
      </c>
      <c r="K435" s="300">
        <v>23.932544708251999</v>
      </c>
      <c r="L435" s="300">
        <v>23.763250350952099</v>
      </c>
      <c r="M435" s="300">
        <v>23.536403656005898</v>
      </c>
      <c r="N435" s="300">
        <v>23.5618801116943</v>
      </c>
      <c r="O435" s="300">
        <v>23.4868278503418</v>
      </c>
      <c r="P435" s="300">
        <v>23.560710906982401</v>
      </c>
      <c r="Q435" s="300">
        <v>23.7542419433594</v>
      </c>
      <c r="R435" s="300">
        <v>23.654756546020501</v>
      </c>
      <c r="S435" s="300">
        <v>23.5774955749512</v>
      </c>
      <c r="T435" s="300">
        <v>23.664421081543001</v>
      </c>
      <c r="U435" s="300">
        <v>23.6253147125244</v>
      </c>
      <c r="V435" s="300">
        <v>23.741106033325199</v>
      </c>
      <c r="W435" s="300">
        <v>23.8700561523438</v>
      </c>
      <c r="X435" s="300">
        <v>23.973831176757798</v>
      </c>
      <c r="Y435" s="300">
        <v>23.953416824340799</v>
      </c>
      <c r="Z435" s="300">
        <v>23.9759330749512</v>
      </c>
    </row>
    <row r="436" spans="1:26" x14ac:dyDescent="0.25">
      <c r="A436" s="304" t="s">
        <v>607</v>
      </c>
      <c r="B436" s="304"/>
      <c r="C436" s="304"/>
      <c r="D436" s="300">
        <v>20.914932250976602</v>
      </c>
      <c r="E436" s="300">
        <v>23.101913452148398</v>
      </c>
      <c r="F436" s="300">
        <v>24.811454772949201</v>
      </c>
      <c r="G436" s="300">
        <v>27.774848937988299</v>
      </c>
      <c r="H436" s="300">
        <v>25.9952602386475</v>
      </c>
      <c r="I436" s="300">
        <v>24.2666110992432</v>
      </c>
      <c r="J436" s="300">
        <v>21.291254043579102</v>
      </c>
      <c r="K436" s="300">
        <v>20.525190353393601</v>
      </c>
      <c r="L436" s="300">
        <v>20.3361301422119</v>
      </c>
      <c r="M436" s="300">
        <v>20.197395324706999</v>
      </c>
      <c r="N436" s="300">
        <v>20.009881973266602</v>
      </c>
      <c r="O436" s="300">
        <v>20.093305587768601</v>
      </c>
      <c r="P436" s="300">
        <v>20.196292877197301</v>
      </c>
      <c r="Q436" s="300">
        <v>20.4327602386475</v>
      </c>
      <c r="R436" s="300">
        <v>20.4076957702637</v>
      </c>
      <c r="S436" s="300">
        <v>20.624263763427699</v>
      </c>
      <c r="T436" s="300">
        <v>20.610368728637699</v>
      </c>
      <c r="U436" s="300">
        <v>20.617734909057599</v>
      </c>
      <c r="V436" s="300">
        <v>21.067132949829102</v>
      </c>
      <c r="W436" s="300">
        <v>20.970218658447301</v>
      </c>
      <c r="X436" s="300">
        <v>20.962213516235401</v>
      </c>
      <c r="Y436" s="300">
        <v>21.257926940918001</v>
      </c>
      <c r="Z436" s="300">
        <v>21.098123550415</v>
      </c>
    </row>
    <row r="437" spans="1:26" x14ac:dyDescent="0.25">
      <c r="A437" s="303" t="s">
        <v>608</v>
      </c>
      <c r="B437" s="303"/>
      <c r="C437" s="303"/>
      <c r="D437" s="300">
        <v>15.721848487854</v>
      </c>
      <c r="E437" s="300">
        <v>18.644901275634801</v>
      </c>
      <c r="F437" s="300">
        <v>21.1534824371338</v>
      </c>
      <c r="G437" s="300">
        <v>20.964454650878899</v>
      </c>
      <c r="H437" s="300">
        <v>19.721015930175799</v>
      </c>
      <c r="I437" s="300">
        <v>18.6920680999756</v>
      </c>
      <c r="J437" s="300">
        <v>17.902309417724599</v>
      </c>
      <c r="K437" s="300">
        <v>17.232242584228501</v>
      </c>
      <c r="L437" s="300">
        <v>16.863773345947301</v>
      </c>
      <c r="M437" s="300">
        <v>16.565891265869102</v>
      </c>
      <c r="N437" s="300">
        <v>16.0857257843018</v>
      </c>
      <c r="O437" s="300">
        <v>16.063297271728501</v>
      </c>
      <c r="P437" s="300">
        <v>16.111997604370099</v>
      </c>
      <c r="Q437" s="300">
        <v>16.240406036376999</v>
      </c>
      <c r="R437" s="300">
        <v>16.3247375488281</v>
      </c>
      <c r="S437" s="300">
        <v>16.6728916168213</v>
      </c>
      <c r="T437" s="300">
        <v>16.6320400238037</v>
      </c>
      <c r="U437" s="300">
        <v>16.751285552978501</v>
      </c>
      <c r="V437" s="300">
        <v>17.051519393920898</v>
      </c>
      <c r="W437" s="300">
        <v>16.920253753662099</v>
      </c>
      <c r="X437" s="300">
        <v>17.1026096343994</v>
      </c>
      <c r="Y437" s="300">
        <v>17.3232307434082</v>
      </c>
      <c r="Z437" s="300">
        <v>17.144313812255898</v>
      </c>
    </row>
    <row r="438" spans="1:26" x14ac:dyDescent="0.25">
      <c r="A438" s="300" t="s">
        <v>609</v>
      </c>
      <c r="B438" s="300"/>
      <c r="C438" s="300"/>
      <c r="D438" s="300">
        <v>9.2184209823608398</v>
      </c>
      <c r="E438" s="300">
        <v>13.1439361572266</v>
      </c>
      <c r="F438" s="300">
        <v>14.9574270248413</v>
      </c>
      <c r="G438" s="300">
        <v>12.9907026290894</v>
      </c>
      <c r="H438" s="300">
        <v>11.722384452819799</v>
      </c>
      <c r="I438" s="300">
        <v>11.2624855041504</v>
      </c>
      <c r="J438" s="300">
        <v>10.9056959152222</v>
      </c>
      <c r="K438" s="300">
        <v>10.3720808029175</v>
      </c>
      <c r="L438" s="300">
        <v>10.059165954589799</v>
      </c>
      <c r="M438" s="300">
        <v>10.0335283279419</v>
      </c>
      <c r="N438" s="300">
        <v>9.8430700302124006</v>
      </c>
      <c r="O438" s="300">
        <v>9.8874025344848597</v>
      </c>
      <c r="P438" s="300">
        <v>10.0322532653809</v>
      </c>
      <c r="Q438" s="300">
        <v>10.087176322936999</v>
      </c>
      <c r="R438" s="300">
        <v>10.2108345031738</v>
      </c>
      <c r="S438" s="300">
        <v>10.523097038269</v>
      </c>
      <c r="T438" s="300">
        <v>10.506872177124</v>
      </c>
      <c r="U438" s="300">
        <v>10.5880041122437</v>
      </c>
      <c r="V438" s="300">
        <v>10.8930578231812</v>
      </c>
      <c r="W438" s="300">
        <v>10.788450241088899</v>
      </c>
      <c r="X438" s="300">
        <v>10.9106340408325</v>
      </c>
      <c r="Y438" s="300">
        <v>11.0979099273682</v>
      </c>
      <c r="Z438" s="300">
        <v>11.0487413406372</v>
      </c>
    </row>
    <row r="439" spans="1:26" x14ac:dyDescent="0.25">
      <c r="A439" s="303" t="s">
        <v>610</v>
      </c>
      <c r="B439" s="303"/>
      <c r="C439" s="303"/>
      <c r="D439" s="300">
        <v>13.583283424377401</v>
      </c>
      <c r="E439" s="300">
        <v>17.522464752197301</v>
      </c>
      <c r="F439" s="300">
        <v>19.7921543121338</v>
      </c>
      <c r="G439" s="300">
        <v>19.706336975097699</v>
      </c>
      <c r="H439" s="300">
        <v>18.211244583129901</v>
      </c>
      <c r="I439" s="300">
        <v>17.3085613250732</v>
      </c>
      <c r="J439" s="300">
        <v>16.8088684082031</v>
      </c>
      <c r="K439" s="300">
        <v>16.001249313354499</v>
      </c>
      <c r="L439" s="300">
        <v>15.3922462463379</v>
      </c>
      <c r="M439" s="300">
        <v>15.213009834289601</v>
      </c>
      <c r="N439" s="300">
        <v>14.822114944458001</v>
      </c>
      <c r="O439" s="300">
        <v>14.859941482543899</v>
      </c>
      <c r="P439" s="300">
        <v>15.1213598251343</v>
      </c>
      <c r="Q439" s="300">
        <v>15.075839042663601</v>
      </c>
      <c r="R439" s="300">
        <v>15.158118247985801</v>
      </c>
      <c r="S439" s="300">
        <v>15.4795846939087</v>
      </c>
      <c r="T439" s="300">
        <v>15.4157457351685</v>
      </c>
      <c r="U439" s="300">
        <v>15.4886207580566</v>
      </c>
      <c r="V439" s="300">
        <v>15.773143768310501</v>
      </c>
      <c r="W439" s="300">
        <v>15.4716739654541</v>
      </c>
      <c r="X439" s="300">
        <v>15.639728546142599</v>
      </c>
      <c r="Y439" s="300">
        <v>15.912574768066399</v>
      </c>
      <c r="Z439" s="300">
        <v>15.834021568298301</v>
      </c>
    </row>
    <row r="440" spans="1:26" x14ac:dyDescent="0.25">
      <c r="A440" s="300" t="s">
        <v>600</v>
      </c>
      <c r="B440" s="300"/>
      <c r="C440" s="300"/>
      <c r="D440" s="300">
        <v>4.8536195755004901</v>
      </c>
      <c r="E440" s="300">
        <v>5.5067763328552202</v>
      </c>
      <c r="F440" s="300">
        <v>7.1623473167419398</v>
      </c>
      <c r="G440" s="300">
        <v>8.8221101760864293</v>
      </c>
      <c r="H440" s="300">
        <v>9.0483112335205096</v>
      </c>
      <c r="I440" s="300">
        <v>8.6029233932495099</v>
      </c>
      <c r="J440" s="300">
        <v>8.0481967926025408</v>
      </c>
      <c r="K440" s="300">
        <v>7.6902847290039098</v>
      </c>
      <c r="L440" s="300">
        <v>7.3429737091064498</v>
      </c>
      <c r="M440" s="300">
        <v>7.1018238067626998</v>
      </c>
      <c r="N440" s="300">
        <v>6.97245073318481</v>
      </c>
      <c r="O440" s="300">
        <v>7.0413579940795898</v>
      </c>
      <c r="P440" s="300">
        <v>7.0324416160583496</v>
      </c>
      <c r="Q440" s="300">
        <v>7.12284135818481</v>
      </c>
      <c r="R440" s="300">
        <v>7.14320993423462</v>
      </c>
      <c r="S440" s="300">
        <v>7.1685328483581499</v>
      </c>
      <c r="T440" s="300">
        <v>7.3589744567871103</v>
      </c>
      <c r="U440" s="300">
        <v>7.4886426925659197</v>
      </c>
      <c r="V440" s="300">
        <v>7.6476154327392596</v>
      </c>
      <c r="W440" s="300">
        <v>7.6766633987426802</v>
      </c>
      <c r="X440" s="300">
        <v>7.8515577316284197</v>
      </c>
      <c r="Y440" s="300">
        <v>7.8973522186279297</v>
      </c>
      <c r="Z440" s="300">
        <v>8.0370302200317401</v>
      </c>
    </row>
    <row r="441" spans="1:26" x14ac:dyDescent="0.25">
      <c r="A441" s="300" t="s">
        <v>611</v>
      </c>
      <c r="B441" s="300"/>
      <c r="C441" s="300"/>
      <c r="D441" s="300">
        <v>11.913727760314901</v>
      </c>
      <c r="E441" s="300">
        <v>14.761161804199199</v>
      </c>
      <c r="F441" s="300">
        <v>11.981869697570801</v>
      </c>
      <c r="G441" s="300">
        <v>12.283256530761699</v>
      </c>
      <c r="H441" s="300">
        <v>12.1389265060425</v>
      </c>
      <c r="I441" s="300">
        <v>12.3170175552368</v>
      </c>
      <c r="J441" s="300">
        <v>13.965456008911101</v>
      </c>
      <c r="K441" s="300">
        <v>13.507596015930201</v>
      </c>
      <c r="L441" s="300">
        <v>13.291357994079601</v>
      </c>
      <c r="M441" s="300">
        <v>13.0437335968018</v>
      </c>
      <c r="N441" s="300">
        <v>12.940827369689901</v>
      </c>
      <c r="O441" s="300">
        <v>12.861621856689499</v>
      </c>
      <c r="P441" s="300">
        <v>12.894752502441399</v>
      </c>
      <c r="Q441" s="300">
        <v>13.0291633605957</v>
      </c>
      <c r="R441" s="300">
        <v>12.9489841461182</v>
      </c>
      <c r="S441" s="300">
        <v>12.946153640747101</v>
      </c>
      <c r="T441" s="300">
        <v>12.9756631851196</v>
      </c>
      <c r="U441" s="300">
        <v>12.953050613403301</v>
      </c>
      <c r="V441" s="300">
        <v>13.079764366149901</v>
      </c>
      <c r="W441" s="300">
        <v>13.110743522644</v>
      </c>
      <c r="X441" s="300">
        <v>13.198463439941399</v>
      </c>
      <c r="Y441" s="300">
        <v>13.2244005203247</v>
      </c>
      <c r="Z441" s="300">
        <v>13.175202369689901</v>
      </c>
    </row>
    <row r="442" spans="1:26" x14ac:dyDescent="0.25">
      <c r="A442" s="300" t="s">
        <v>469</v>
      </c>
      <c r="B442" s="300"/>
      <c r="C442" s="300"/>
      <c r="D442" s="300">
        <v>26.1035976409912</v>
      </c>
      <c r="E442" s="300">
        <v>25.216188430786101</v>
      </c>
      <c r="F442" s="300">
        <v>26.121034622192401</v>
      </c>
      <c r="G442" s="300">
        <v>25.629154205322301</v>
      </c>
      <c r="H442" s="300">
        <v>25.7473449707031</v>
      </c>
      <c r="I442" s="300">
        <v>25.392839431762699</v>
      </c>
      <c r="J442" s="300">
        <v>24.861566543579102</v>
      </c>
      <c r="K442" s="300">
        <v>24.317947387695298</v>
      </c>
      <c r="L442" s="300">
        <v>24.125808715820298</v>
      </c>
      <c r="M442" s="300">
        <v>23.980707168579102</v>
      </c>
      <c r="N442" s="300">
        <v>23.787378311157202</v>
      </c>
      <c r="O442" s="300">
        <v>23.809650421142599</v>
      </c>
      <c r="P442" s="300">
        <v>23.876377105712901</v>
      </c>
      <c r="Q442" s="300">
        <v>24.074831008911101</v>
      </c>
      <c r="R442" s="300">
        <v>24.262081146240199</v>
      </c>
      <c r="S442" s="300">
        <v>24.183790206909201</v>
      </c>
      <c r="T442" s="300">
        <v>24.2170009613037</v>
      </c>
      <c r="U442" s="300">
        <v>24.245899200439499</v>
      </c>
      <c r="V442" s="300">
        <v>24.2234077453613</v>
      </c>
      <c r="W442" s="300">
        <v>24.307447433471701</v>
      </c>
      <c r="X442" s="300">
        <v>24.4279899597168</v>
      </c>
      <c r="Y442" s="300">
        <v>24.465734481811499</v>
      </c>
      <c r="Z442" s="300">
        <v>24.386825561523398</v>
      </c>
    </row>
    <row r="443" spans="1:26" x14ac:dyDescent="0.25">
      <c r="A443" s="300" t="s">
        <v>612</v>
      </c>
      <c r="B443" s="300"/>
      <c r="C443" s="300"/>
      <c r="D443" s="300"/>
      <c r="E443" s="300"/>
      <c r="F443" s="300"/>
      <c r="G443" s="300"/>
      <c r="H443" s="300"/>
      <c r="I443" s="300"/>
      <c r="J443" s="300"/>
      <c r="K443" s="300"/>
      <c r="L443" s="300"/>
      <c r="M443" s="300"/>
      <c r="N443" s="300"/>
      <c r="O443" s="300"/>
      <c r="P443" s="300"/>
      <c r="Q443" s="300"/>
      <c r="R443" s="300"/>
      <c r="S443" s="300"/>
      <c r="T443" s="300"/>
      <c r="U443" s="300"/>
      <c r="V443" s="300"/>
      <c r="W443" s="300"/>
      <c r="X443" s="300"/>
      <c r="Y443" s="300"/>
      <c r="Z443" s="300"/>
    </row>
    <row r="444" spans="1:26" x14ac:dyDescent="0.25">
      <c r="A444" s="300" t="s">
        <v>599</v>
      </c>
      <c r="B444" s="300"/>
      <c r="C444" s="300"/>
      <c r="D444" s="300">
        <v>9.5153579711914098</v>
      </c>
      <c r="E444" s="300">
        <v>11.3847246170044</v>
      </c>
      <c r="F444" s="300">
        <v>13.235827445983899</v>
      </c>
      <c r="G444" s="300">
        <v>14.263434410095201</v>
      </c>
      <c r="H444" s="300">
        <v>13.7692108154297</v>
      </c>
      <c r="I444" s="300">
        <v>12.704180717468301</v>
      </c>
      <c r="J444" s="300">
        <v>11.7051839828491</v>
      </c>
      <c r="K444" s="300">
        <v>10.7794647216797</v>
      </c>
      <c r="L444" s="300">
        <v>10.0299482345581</v>
      </c>
      <c r="M444" s="300">
        <v>9.2896862030029297</v>
      </c>
      <c r="N444" s="300">
        <v>9.1972703933715803</v>
      </c>
      <c r="O444" s="300">
        <v>9.2599020004272496</v>
      </c>
      <c r="P444" s="300">
        <v>9.2775526046752894</v>
      </c>
      <c r="Q444" s="300">
        <v>9.4403448104858398</v>
      </c>
      <c r="R444" s="300">
        <v>9.5352287292480504</v>
      </c>
      <c r="S444" s="300">
        <v>9.7515039443969709</v>
      </c>
      <c r="T444" s="300">
        <v>9.8428487777709996</v>
      </c>
      <c r="U444" s="300">
        <v>9.9595317840576207</v>
      </c>
      <c r="V444" s="300">
        <v>10.1106100082397</v>
      </c>
      <c r="W444" s="300">
        <v>10.0771369934082</v>
      </c>
      <c r="X444" s="300">
        <v>10.217479705810501</v>
      </c>
      <c r="Y444" s="300">
        <v>10.254093170166</v>
      </c>
      <c r="Z444" s="300">
        <v>10.318883895874</v>
      </c>
    </row>
    <row r="445" spans="1:26" x14ac:dyDescent="0.25">
      <c r="A445" s="300" t="s">
        <v>600</v>
      </c>
      <c r="B445" s="300"/>
      <c r="C445" s="300"/>
      <c r="D445" s="300">
        <v>4.9909768104553196</v>
      </c>
      <c r="E445" s="300">
        <v>6.9611043930053702</v>
      </c>
      <c r="F445" s="300">
        <v>7.8457942008972203</v>
      </c>
      <c r="G445" s="300">
        <v>7.1943798065185502</v>
      </c>
      <c r="H445" s="300">
        <v>7.2948379516601598</v>
      </c>
      <c r="I445" s="300">
        <v>6.9926204681396502</v>
      </c>
      <c r="J445" s="300">
        <v>6.5808119773864702</v>
      </c>
      <c r="K445" s="300">
        <v>6.2065305709838903</v>
      </c>
      <c r="L445" s="300">
        <v>5.9029440879821804</v>
      </c>
      <c r="M445" s="300">
        <v>5.45705270767212</v>
      </c>
      <c r="N445" s="300">
        <v>5.4534096717834499</v>
      </c>
      <c r="O445" s="300">
        <v>5.5995068550109899</v>
      </c>
      <c r="P445" s="300">
        <v>5.6287369728088397</v>
      </c>
      <c r="Q445" s="300">
        <v>5.7370648384094203</v>
      </c>
      <c r="R445" s="300">
        <v>5.8140759468078604</v>
      </c>
      <c r="S445" s="300">
        <v>6.0071105957031303</v>
      </c>
      <c r="T445" s="300">
        <v>6.0822205543518102</v>
      </c>
      <c r="U445" s="300">
        <v>6.22955322265625</v>
      </c>
      <c r="V445" s="300">
        <v>6.4186983108520499</v>
      </c>
      <c r="W445" s="300">
        <v>6.3188004493713397</v>
      </c>
      <c r="X445" s="300">
        <v>6.5342454910278303</v>
      </c>
      <c r="Y445" s="300">
        <v>6.5804891586303702</v>
      </c>
      <c r="Z445" s="300">
        <v>6.6370191574096697</v>
      </c>
    </row>
    <row r="446" spans="1:26" x14ac:dyDescent="0.25">
      <c r="A446" s="302" t="s">
        <v>500</v>
      </c>
      <c r="B446" s="302"/>
      <c r="C446" s="302"/>
      <c r="D446" s="300">
        <v>6.1140975952148402</v>
      </c>
      <c r="E446" s="300">
        <v>8.1813249588012695</v>
      </c>
      <c r="F446" s="300">
        <v>6.9707522392272896</v>
      </c>
      <c r="G446" s="300">
        <v>7.1151452064514196</v>
      </c>
      <c r="H446" s="300">
        <v>7.0668158531189</v>
      </c>
      <c r="I446" s="300">
        <v>6.5265731811523402</v>
      </c>
      <c r="J446" s="300">
        <v>6.2202811241149902</v>
      </c>
      <c r="K446" s="300">
        <v>5.8298497200012198</v>
      </c>
      <c r="L446" s="300">
        <v>5.6925516128540004</v>
      </c>
      <c r="M446" s="300">
        <v>5.4995698928832999</v>
      </c>
      <c r="N446" s="300">
        <v>5.54103326797485</v>
      </c>
      <c r="O446" s="300">
        <v>5.5007095336914098</v>
      </c>
      <c r="P446" s="300">
        <v>5.59739446640015</v>
      </c>
      <c r="Q446" s="300">
        <v>5.7880721092224103</v>
      </c>
      <c r="R446" s="300">
        <v>5.7225790023803702</v>
      </c>
      <c r="S446" s="300">
        <v>5.6709170341491699</v>
      </c>
      <c r="T446" s="300">
        <v>5.7639327049255398</v>
      </c>
      <c r="U446" s="300">
        <v>5.72597312927246</v>
      </c>
      <c r="V446" s="300">
        <v>5.8378243446350098</v>
      </c>
      <c r="W446" s="300">
        <v>5.9462161064147896</v>
      </c>
      <c r="X446" s="300">
        <v>6.05735063552856</v>
      </c>
      <c r="Y446" s="300">
        <v>6.0477237701415998</v>
      </c>
      <c r="Z446" s="300">
        <v>6.0664491653442401</v>
      </c>
    </row>
    <row r="447" spans="1:26" x14ac:dyDescent="0.25">
      <c r="A447" s="305" t="s">
        <v>613</v>
      </c>
      <c r="B447" s="305"/>
      <c r="C447" s="305"/>
      <c r="D447" s="300">
        <v>1.4011929035186801</v>
      </c>
      <c r="E447" s="300">
        <v>1.5299999713897701</v>
      </c>
      <c r="F447" s="300">
        <v>1.6714243888855</v>
      </c>
      <c r="G447" s="300">
        <v>1.69177293777466</v>
      </c>
      <c r="H447" s="300">
        <v>1.70398998260498</v>
      </c>
      <c r="I447" s="300">
        <v>1.7000321149826001</v>
      </c>
      <c r="J447" s="300">
        <v>1.7052028179168699</v>
      </c>
      <c r="K447" s="300">
        <v>1.66678094863892</v>
      </c>
      <c r="L447" s="300">
        <v>1.63700723648071</v>
      </c>
      <c r="M447" s="300">
        <v>1.6199716329574601</v>
      </c>
      <c r="N447" s="300">
        <v>1.61296951770782</v>
      </c>
      <c r="O447" s="300">
        <v>1.59987056255341</v>
      </c>
      <c r="P447" s="300">
        <v>1.59190189838409</v>
      </c>
      <c r="Q447" s="300">
        <v>1.5892090797424301</v>
      </c>
      <c r="R447" s="300">
        <v>1.57604885101318</v>
      </c>
      <c r="S447" s="300">
        <v>1.5779995918273899</v>
      </c>
      <c r="T447" s="300">
        <v>1.5809644460678101</v>
      </c>
      <c r="U447" s="300">
        <v>1.5890377759933501</v>
      </c>
      <c r="V447" s="300">
        <v>1.59825491905212</v>
      </c>
      <c r="W447" s="300">
        <v>1.6020262241363501</v>
      </c>
      <c r="X447" s="300">
        <v>1.6148724555969201</v>
      </c>
      <c r="Y447" s="300">
        <v>1.62832856178284</v>
      </c>
      <c r="Z447" s="300">
        <v>1.63934326171875</v>
      </c>
    </row>
    <row r="448" spans="1:26" x14ac:dyDescent="0.25">
      <c r="A448" s="300" t="s">
        <v>614</v>
      </c>
      <c r="B448" s="300"/>
      <c r="C448" s="300"/>
      <c r="D448" s="300"/>
      <c r="E448" s="300"/>
      <c r="F448" s="300"/>
      <c r="G448" s="300"/>
      <c r="H448" s="300"/>
      <c r="I448" s="300"/>
      <c r="J448" s="300"/>
      <c r="K448" s="300"/>
      <c r="L448" s="300"/>
      <c r="M448" s="300"/>
      <c r="N448" s="300"/>
      <c r="O448" s="300"/>
      <c r="P448" s="300"/>
      <c r="Q448" s="300"/>
      <c r="R448" s="300"/>
      <c r="S448" s="300"/>
      <c r="T448" s="300"/>
      <c r="U448" s="300"/>
      <c r="V448" s="300"/>
      <c r="W448" s="300"/>
      <c r="X448" s="300"/>
      <c r="Y448" s="300"/>
      <c r="Z448" s="300"/>
    </row>
    <row r="449" spans="1:70" x14ac:dyDescent="0.25">
      <c r="A449" s="300" t="s">
        <v>598</v>
      </c>
      <c r="B449" s="300"/>
      <c r="C449" s="300"/>
      <c r="D449" s="300">
        <v>12.6906900405884</v>
      </c>
      <c r="E449" s="300">
        <v>17.482444763183601</v>
      </c>
      <c r="F449" s="300">
        <v>19.464084625244102</v>
      </c>
      <c r="G449" s="300">
        <v>18.995626449585</v>
      </c>
      <c r="H449" s="300">
        <v>18.880571365356399</v>
      </c>
      <c r="I449" s="300">
        <v>18.286575317382798</v>
      </c>
      <c r="J449" s="300">
        <v>18.020065307617202</v>
      </c>
      <c r="K449" s="300">
        <v>17.571559906005898</v>
      </c>
      <c r="L449" s="300">
        <v>17.417589187622099</v>
      </c>
      <c r="M449" s="300">
        <v>17.2678737640381</v>
      </c>
      <c r="N449" s="300">
        <v>17.291303634643601</v>
      </c>
      <c r="O449" s="300">
        <v>17.241743087768601</v>
      </c>
      <c r="P449" s="300">
        <v>17.364793777465799</v>
      </c>
      <c r="Q449" s="300">
        <v>17.562221527099599</v>
      </c>
      <c r="R449" s="300">
        <v>17.562810897827099</v>
      </c>
      <c r="S449" s="300">
        <v>17.558799743652301</v>
      </c>
      <c r="T449" s="300">
        <v>17.620630264282202</v>
      </c>
      <c r="U449" s="300">
        <v>17.599321365356399</v>
      </c>
      <c r="V449" s="300">
        <v>17.721448898315401</v>
      </c>
      <c r="W449" s="300">
        <v>17.8418064117432</v>
      </c>
      <c r="X449" s="300">
        <v>17.9907836914063</v>
      </c>
      <c r="Y449" s="300">
        <v>17.9618225097656</v>
      </c>
      <c r="Z449" s="300">
        <v>17.988685607910199</v>
      </c>
    </row>
    <row r="450" spans="1:70" x14ac:dyDescent="0.25">
      <c r="A450" s="300" t="s">
        <v>607</v>
      </c>
      <c r="B450" s="300"/>
      <c r="C450" s="300"/>
      <c r="D450" s="300">
        <v>20.914932250976602</v>
      </c>
      <c r="E450" s="300">
        <v>23.101913452148398</v>
      </c>
      <c r="F450" s="300">
        <v>24.811454772949201</v>
      </c>
      <c r="G450" s="300">
        <v>27.774848937988299</v>
      </c>
      <c r="H450" s="300">
        <v>25.9952602386475</v>
      </c>
      <c r="I450" s="300">
        <v>24.2666110992432</v>
      </c>
      <c r="J450" s="300">
        <v>21.291254043579102</v>
      </c>
      <c r="K450" s="300">
        <v>20.525190353393601</v>
      </c>
      <c r="L450" s="300">
        <v>20.3361301422119</v>
      </c>
      <c r="M450" s="300">
        <v>20.197395324706999</v>
      </c>
      <c r="N450" s="300">
        <v>20.009881973266602</v>
      </c>
      <c r="O450" s="300">
        <v>20.093305587768601</v>
      </c>
      <c r="P450" s="300">
        <v>20.196292877197301</v>
      </c>
      <c r="Q450" s="300">
        <v>20.4327602386475</v>
      </c>
      <c r="R450" s="300">
        <v>20.4076957702637</v>
      </c>
      <c r="S450" s="300">
        <v>20.624263763427699</v>
      </c>
      <c r="T450" s="300">
        <v>20.610368728637699</v>
      </c>
      <c r="U450" s="300">
        <v>20.617734909057599</v>
      </c>
      <c r="V450" s="300">
        <v>21.067132949829102</v>
      </c>
      <c r="W450" s="300">
        <v>20.970218658447301</v>
      </c>
      <c r="X450" s="300">
        <v>20.962213516235401</v>
      </c>
      <c r="Y450" s="300">
        <v>21.257926940918001</v>
      </c>
      <c r="Z450" s="300">
        <v>21.098123550415</v>
      </c>
    </row>
    <row r="451" spans="1:70" x14ac:dyDescent="0.25">
      <c r="A451" s="300" t="s">
        <v>608</v>
      </c>
      <c r="B451" s="300"/>
      <c r="C451" s="300"/>
      <c r="D451" s="300">
        <v>15.706001281738301</v>
      </c>
      <c r="E451" s="300">
        <v>18.602125167846701</v>
      </c>
      <c r="F451" s="300">
        <v>21.1080112457275</v>
      </c>
      <c r="G451" s="300">
        <v>20.962741851806602</v>
      </c>
      <c r="H451" s="300">
        <v>19.720066070556602</v>
      </c>
      <c r="I451" s="300">
        <v>18.690637588501001</v>
      </c>
      <c r="J451" s="300">
        <v>17.900485992431602</v>
      </c>
      <c r="K451" s="300">
        <v>17.230388641357401</v>
      </c>
      <c r="L451" s="300">
        <v>16.861814498901399</v>
      </c>
      <c r="M451" s="300">
        <v>16.564214706420898</v>
      </c>
      <c r="N451" s="300">
        <v>16.0839519500732</v>
      </c>
      <c r="O451" s="300">
        <v>16.0615749359131</v>
      </c>
      <c r="P451" s="300">
        <v>16.110080718994102</v>
      </c>
      <c r="Q451" s="300">
        <v>16.238643646240199</v>
      </c>
      <c r="R451" s="300">
        <v>16.322971343994102</v>
      </c>
      <c r="S451" s="300">
        <v>16.671089172363299</v>
      </c>
      <c r="T451" s="300">
        <v>16.630247116088899</v>
      </c>
      <c r="U451" s="300">
        <v>16.7495441436768</v>
      </c>
      <c r="V451" s="300">
        <v>17.049686431884801</v>
      </c>
      <c r="W451" s="300">
        <v>16.918500900268601</v>
      </c>
      <c r="X451" s="300">
        <v>17.100944519043001</v>
      </c>
      <c r="Y451" s="300">
        <v>17.321361541748001</v>
      </c>
      <c r="Z451" s="300">
        <v>17.142530441284201</v>
      </c>
    </row>
    <row r="452" spans="1:70" x14ac:dyDescent="0.25">
      <c r="A452" s="300" t="s">
        <v>615</v>
      </c>
      <c r="B452" s="300"/>
      <c r="C452" s="300"/>
      <c r="D452" s="300">
        <v>9.2184209823608398</v>
      </c>
      <c r="E452" s="300">
        <v>13.1439361572266</v>
      </c>
      <c r="F452" s="300">
        <v>14.9574270248413</v>
      </c>
      <c r="G452" s="300">
        <v>12.9907026290894</v>
      </c>
      <c r="H452" s="300">
        <v>11.722384452819799</v>
      </c>
      <c r="I452" s="300">
        <v>11.2624855041504</v>
      </c>
      <c r="J452" s="300">
        <v>10.9056959152222</v>
      </c>
      <c r="K452" s="300">
        <v>10.3720808029175</v>
      </c>
      <c r="L452" s="300">
        <v>10.059165954589799</v>
      </c>
      <c r="M452" s="300">
        <v>10.0335283279419</v>
      </c>
      <c r="N452" s="300">
        <v>9.8430700302124006</v>
      </c>
      <c r="O452" s="300">
        <v>9.8874025344848597</v>
      </c>
      <c r="P452" s="300">
        <v>10.0322532653809</v>
      </c>
      <c r="Q452" s="300">
        <v>10.087176322936999</v>
      </c>
      <c r="R452" s="300">
        <v>10.2108345031738</v>
      </c>
      <c r="S452" s="300">
        <v>10.523097038269</v>
      </c>
      <c r="T452" s="300">
        <v>10.506872177124</v>
      </c>
      <c r="U452" s="300">
        <v>10.5880041122437</v>
      </c>
      <c r="V452" s="300">
        <v>10.8930578231812</v>
      </c>
      <c r="W452" s="300">
        <v>10.788450241088899</v>
      </c>
      <c r="X452" s="300">
        <v>10.9106340408325</v>
      </c>
      <c r="Y452" s="300">
        <v>11.0979099273682</v>
      </c>
      <c r="Z452" s="300">
        <v>11.0487413406372</v>
      </c>
    </row>
    <row r="453" spans="1:70" x14ac:dyDescent="0.25">
      <c r="A453" s="300" t="s">
        <v>599</v>
      </c>
      <c r="B453" s="300"/>
      <c r="C453" s="300"/>
      <c r="D453" s="300">
        <v>12.9106340408325</v>
      </c>
      <c r="E453" s="300">
        <v>16.217037200927699</v>
      </c>
      <c r="F453" s="300">
        <v>18.421550750732401</v>
      </c>
      <c r="G453" s="300">
        <v>18.437913894653299</v>
      </c>
      <c r="H453" s="300">
        <v>17.199058532714801</v>
      </c>
      <c r="I453" s="300">
        <v>16.296318054199201</v>
      </c>
      <c r="J453" s="300">
        <v>15.704516410827599</v>
      </c>
      <c r="K453" s="300">
        <v>14.921827316284199</v>
      </c>
      <c r="L453" s="300">
        <v>14.360170364379901</v>
      </c>
      <c r="M453" s="300">
        <v>14.182985305786101</v>
      </c>
      <c r="N453" s="300">
        <v>13.862556457519499</v>
      </c>
      <c r="O453" s="300">
        <v>13.915904045105</v>
      </c>
      <c r="P453" s="300">
        <v>14.153459548950201</v>
      </c>
      <c r="Q453" s="300">
        <v>14.1445617675781</v>
      </c>
      <c r="R453" s="300">
        <v>14.2399711608887</v>
      </c>
      <c r="S453" s="300">
        <v>14.558382987976101</v>
      </c>
      <c r="T453" s="300">
        <v>14.527869224548301</v>
      </c>
      <c r="U453" s="300">
        <v>14.6189737319946</v>
      </c>
      <c r="V453" s="300">
        <v>14.9021968841553</v>
      </c>
      <c r="W453" s="300">
        <v>14.6463842391968</v>
      </c>
      <c r="X453" s="300">
        <v>14.8252000808716</v>
      </c>
      <c r="Y453" s="300">
        <v>15.0819444656372</v>
      </c>
      <c r="Z453" s="300">
        <v>15.031323432922401</v>
      </c>
    </row>
    <row r="454" spans="1:70" x14ac:dyDescent="0.25">
      <c r="A454" s="300" t="s">
        <v>600</v>
      </c>
      <c r="B454" s="300"/>
      <c r="C454" s="300"/>
      <c r="D454" s="300">
        <v>5.0985417366027797</v>
      </c>
      <c r="E454" s="300">
        <v>6.5886197090148899</v>
      </c>
      <c r="F454" s="300">
        <v>7.9185199737548801</v>
      </c>
      <c r="G454" s="300">
        <v>8.2529850006103498</v>
      </c>
      <c r="H454" s="300">
        <v>8.4050197601318395</v>
      </c>
      <c r="I454" s="300">
        <v>8.0572872161865199</v>
      </c>
      <c r="J454" s="300">
        <v>7.6087560653686497</v>
      </c>
      <c r="K454" s="300">
        <v>7.1943945884704599</v>
      </c>
      <c r="L454" s="300">
        <v>6.8676166534423801</v>
      </c>
      <c r="M454" s="300">
        <v>6.4547815322876003</v>
      </c>
      <c r="N454" s="300">
        <v>6.4073238372802699</v>
      </c>
      <c r="O454" s="300">
        <v>6.54701900482178</v>
      </c>
      <c r="P454" s="300">
        <v>6.5695567131042498</v>
      </c>
      <c r="Q454" s="300">
        <v>6.6816062927246103</v>
      </c>
      <c r="R454" s="300">
        <v>6.7372307777404803</v>
      </c>
      <c r="S454" s="300">
        <v>6.86507225036621</v>
      </c>
      <c r="T454" s="300">
        <v>6.9956922531127903</v>
      </c>
      <c r="U454" s="300">
        <v>7.1396765708923304</v>
      </c>
      <c r="V454" s="300">
        <v>7.3088741302490199</v>
      </c>
      <c r="W454" s="300">
        <v>7.2670574188232404</v>
      </c>
      <c r="X454" s="300">
        <v>7.4510564804077104</v>
      </c>
      <c r="Y454" s="300">
        <v>7.4737396240234402</v>
      </c>
      <c r="Z454" s="300">
        <v>7.5808291435241699</v>
      </c>
    </row>
    <row r="455" spans="1:70" x14ac:dyDescent="0.25">
      <c r="A455" s="300" t="s">
        <v>500</v>
      </c>
      <c r="B455" s="300"/>
      <c r="C455" s="300"/>
      <c r="D455" s="300">
        <v>7.8259296417236301</v>
      </c>
      <c r="E455" s="300">
        <v>9.6487970352172905</v>
      </c>
      <c r="F455" s="300">
        <v>9.1377601623535192</v>
      </c>
      <c r="G455" s="300">
        <v>8.7611961364746094</v>
      </c>
      <c r="H455" s="300">
        <v>8.6626396179199201</v>
      </c>
      <c r="I455" s="300">
        <v>8.1270828247070295</v>
      </c>
      <c r="J455" s="300">
        <v>7.8336372375488299</v>
      </c>
      <c r="K455" s="300">
        <v>7.4448304176330602</v>
      </c>
      <c r="L455" s="300">
        <v>7.2887372970581099</v>
      </c>
      <c r="M455" s="300">
        <v>7.0927038192748997</v>
      </c>
      <c r="N455" s="300">
        <v>7.1150150299072301</v>
      </c>
      <c r="O455" s="300">
        <v>7.0641679763793901</v>
      </c>
      <c r="P455" s="300">
        <v>7.1520218849182102</v>
      </c>
      <c r="Q455" s="300">
        <v>7.3469972610473597</v>
      </c>
      <c r="R455" s="300">
        <v>7.2896466255187997</v>
      </c>
      <c r="S455" s="300">
        <v>7.2448530197143599</v>
      </c>
      <c r="T455" s="300">
        <v>7.3207983970642099</v>
      </c>
      <c r="U455" s="300">
        <v>7.3070926666259801</v>
      </c>
      <c r="V455" s="300">
        <v>7.4372458457946804</v>
      </c>
      <c r="W455" s="300">
        <v>7.5700182914733896</v>
      </c>
      <c r="X455" s="300">
        <v>7.6924967765808097</v>
      </c>
      <c r="Y455" s="300">
        <v>7.6794857978820801</v>
      </c>
      <c r="Z455" s="300">
        <v>7.7304539680481001</v>
      </c>
    </row>
    <row r="456" spans="1:70" x14ac:dyDescent="0.25">
      <c r="A456" s="300" t="s">
        <v>603</v>
      </c>
      <c r="B456" s="300"/>
      <c r="C456" s="300"/>
      <c r="D456" s="300">
        <v>2.3078472614288299</v>
      </c>
      <c r="E456" s="300">
        <v>3.0599997043609601</v>
      </c>
      <c r="F456" s="300">
        <v>3.2548489570617698</v>
      </c>
      <c r="G456" s="300">
        <v>3.2975256443023699</v>
      </c>
      <c r="H456" s="300">
        <v>3.2872827053070099</v>
      </c>
      <c r="I456" s="300">
        <v>3.1889374256134002</v>
      </c>
      <c r="J456" s="300">
        <v>3.0940959453582799</v>
      </c>
      <c r="K456" s="300">
        <v>2.9914577007293701</v>
      </c>
      <c r="L456" s="300">
        <v>2.8927016258239702</v>
      </c>
      <c r="M456" s="300">
        <v>2.78926348686218</v>
      </c>
      <c r="N456" s="300">
        <v>2.7408642768859899</v>
      </c>
      <c r="O456" s="300">
        <v>2.7166485786438002</v>
      </c>
      <c r="P456" s="300">
        <v>2.7061200141906698</v>
      </c>
      <c r="Q456" s="300">
        <v>2.7063503265380899</v>
      </c>
      <c r="R456" s="300">
        <v>2.7045123577117902</v>
      </c>
      <c r="S456" s="300">
        <v>2.68979120254517</v>
      </c>
      <c r="T456" s="300">
        <v>2.7072892189025901</v>
      </c>
      <c r="U456" s="300">
        <v>2.71812868118286</v>
      </c>
      <c r="V456" s="300">
        <v>2.7191135883331299</v>
      </c>
      <c r="W456" s="300">
        <v>2.7064330577850302</v>
      </c>
      <c r="X456" s="300">
        <v>2.68589544296265</v>
      </c>
      <c r="Y456" s="300">
        <v>2.69574999809265</v>
      </c>
      <c r="Z456" s="300">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0" t="s">
        <v>616</v>
      </c>
      <c r="B457" s="300"/>
      <c r="C457" s="300"/>
      <c r="D457" s="300">
        <v>1.43066883087158</v>
      </c>
      <c r="E457" s="300">
        <v>1.5706532001495399</v>
      </c>
      <c r="F457" s="300">
        <v>1.7059867382049601</v>
      </c>
      <c r="G457" s="300">
        <v>1.7268872261047401</v>
      </c>
      <c r="H457" s="300">
        <v>1.7392324209213299</v>
      </c>
      <c r="I457" s="300">
        <v>1.7345312833786</v>
      </c>
      <c r="J457" s="300">
        <v>1.7401528358459499</v>
      </c>
      <c r="K457" s="300">
        <v>1.7026997804641699</v>
      </c>
      <c r="L457" s="300">
        <v>1.67319643497467</v>
      </c>
      <c r="M457" s="300">
        <v>1.6556009054184</v>
      </c>
      <c r="N457" s="300">
        <v>1.6479283571243299</v>
      </c>
      <c r="O457" s="300">
        <v>1.63474309444427</v>
      </c>
      <c r="P457" s="300">
        <v>1.6263667345046999</v>
      </c>
      <c r="Q457" s="300">
        <v>1.6231272220611599</v>
      </c>
      <c r="R457" s="300">
        <v>1.60980331897736</v>
      </c>
      <c r="S457" s="300">
        <v>1.6111264228820801</v>
      </c>
      <c r="T457" s="300">
        <v>1.61373710632324</v>
      </c>
      <c r="U457" s="300">
        <v>1.6214674711227399</v>
      </c>
      <c r="V457" s="300">
        <v>1.6300570964813199</v>
      </c>
      <c r="W457" s="300">
        <v>1.6331868171691899</v>
      </c>
      <c r="X457" s="300">
        <v>1.6452817916870099</v>
      </c>
      <c r="Y457" s="300">
        <v>1.6581670045852701</v>
      </c>
      <c r="Z457" s="300">
        <v>1.6686607599258401</v>
      </c>
    </row>
    <row r="458" spans="1:70" x14ac:dyDescent="0.25">
      <c r="A458" s="300" t="s">
        <v>605</v>
      </c>
      <c r="B458" s="300"/>
      <c r="C458" s="300"/>
      <c r="D458" s="300" t="s">
        <v>1064</v>
      </c>
      <c r="E458" s="300" t="s">
        <v>1064</v>
      </c>
      <c r="F458" s="300" t="s">
        <v>1064</v>
      </c>
      <c r="G458" s="300" t="s">
        <v>1064</v>
      </c>
      <c r="H458" s="300" t="s">
        <v>1064</v>
      </c>
      <c r="I458" s="300" t="s">
        <v>1064</v>
      </c>
      <c r="J458" s="300" t="s">
        <v>1064</v>
      </c>
      <c r="K458" s="300">
        <v>0.88956671953201305</v>
      </c>
      <c r="L458" s="300">
        <v>0.881245017051697</v>
      </c>
      <c r="M458" s="300">
        <v>0.88442194461822499</v>
      </c>
      <c r="N458" s="300">
        <v>0.89085346460342396</v>
      </c>
      <c r="O458" s="300">
        <v>0.88840740919113204</v>
      </c>
      <c r="P458" s="300">
        <v>0.89322775602340698</v>
      </c>
      <c r="Q458" s="300">
        <v>0.90440875291824296</v>
      </c>
      <c r="R458" s="300">
        <v>0.91453087329864502</v>
      </c>
      <c r="S458" s="300">
        <v>0.95469778776168801</v>
      </c>
      <c r="T458" s="300">
        <v>0.96978461742401101</v>
      </c>
      <c r="U458" s="300">
        <v>1.01334369182587</v>
      </c>
      <c r="V458" s="300">
        <v>1.02781510353088</v>
      </c>
      <c r="W458" s="300">
        <v>1.0294380187988299</v>
      </c>
      <c r="X458" s="300">
        <v>1.1219843626022299</v>
      </c>
      <c r="Y458" s="300">
        <v>1.2297383546829199</v>
      </c>
      <c r="Z458" s="300">
        <v>1.26935982704163</v>
      </c>
    </row>
    <row r="459" spans="1:70" x14ac:dyDescent="0.25">
      <c r="A459" s="300" t="s">
        <v>469</v>
      </c>
      <c r="B459" s="300"/>
      <c r="C459" s="300"/>
      <c r="D459" s="300">
        <v>23.009492874145501</v>
      </c>
      <c r="E459" s="300">
        <v>23.734071731567401</v>
      </c>
      <c r="F459" s="300">
        <v>24.3845615386963</v>
      </c>
      <c r="G459" s="300">
        <v>24.318822860717798</v>
      </c>
      <c r="H459" s="300">
        <v>24.297929763793899</v>
      </c>
      <c r="I459" s="300">
        <v>24.022377014160199</v>
      </c>
      <c r="J459" s="300">
        <v>23.662025451660199</v>
      </c>
      <c r="K459" s="300">
        <v>23.093143463134801</v>
      </c>
      <c r="L459" s="300">
        <v>22.802413940429702</v>
      </c>
      <c r="M459" s="300">
        <v>22.663448333740199</v>
      </c>
      <c r="N459" s="300">
        <v>22.5459308624268</v>
      </c>
      <c r="O459" s="300">
        <v>22.5456428527832</v>
      </c>
      <c r="P459" s="300">
        <v>22.688844680786101</v>
      </c>
      <c r="Q459" s="300">
        <v>22.9480895996094</v>
      </c>
      <c r="R459" s="300">
        <v>23.136041641235401</v>
      </c>
      <c r="S459" s="300">
        <v>23.0899753570557</v>
      </c>
      <c r="T459" s="300">
        <v>23.154170989990199</v>
      </c>
      <c r="U459" s="300">
        <v>23.213594436645501</v>
      </c>
      <c r="V459" s="300">
        <v>23.230543136596701</v>
      </c>
      <c r="W459" s="300">
        <v>23.3047065734863</v>
      </c>
      <c r="X459" s="300">
        <v>23.429094314575199</v>
      </c>
      <c r="Y459" s="300">
        <v>23.4709377288818</v>
      </c>
      <c r="Z459" s="300">
        <v>23.433801651001001</v>
      </c>
    </row>
    <row r="460" spans="1:70" x14ac:dyDescent="0.25">
      <c r="A460" s="300" t="s">
        <v>503</v>
      </c>
      <c r="B460" s="300"/>
      <c r="C460" s="300"/>
      <c r="D460" s="300"/>
      <c r="E460" s="300"/>
      <c r="F460" s="300"/>
      <c r="G460" s="300"/>
      <c r="H460" s="300"/>
      <c r="I460" s="300"/>
      <c r="J460" s="300"/>
      <c r="K460" s="300"/>
      <c r="L460" s="300"/>
      <c r="M460" s="300"/>
      <c r="N460" s="300"/>
      <c r="O460" s="300"/>
      <c r="P460" s="300"/>
      <c r="Q460" s="300"/>
      <c r="R460" s="300"/>
      <c r="S460" s="300"/>
      <c r="T460" s="300"/>
      <c r="U460" s="300"/>
      <c r="V460" s="300"/>
      <c r="W460" s="300"/>
      <c r="X460" s="300"/>
      <c r="Y460" s="300"/>
      <c r="Z460" s="300"/>
    </row>
    <row r="461" spans="1:70" x14ac:dyDescent="0.25">
      <c r="A461" s="300" t="s">
        <v>617</v>
      </c>
      <c r="B461" s="300"/>
      <c r="C461" s="300"/>
      <c r="D461" s="300"/>
      <c r="E461" s="300"/>
      <c r="F461" s="300"/>
      <c r="G461" s="300"/>
      <c r="H461" s="300"/>
      <c r="I461" s="300"/>
      <c r="J461" s="300"/>
      <c r="K461" s="300"/>
      <c r="L461" s="300"/>
      <c r="M461" s="300"/>
      <c r="N461" s="300"/>
      <c r="O461" s="300"/>
      <c r="P461" s="300"/>
      <c r="Q461" s="300"/>
      <c r="R461" s="300"/>
      <c r="S461" s="300"/>
      <c r="T461" s="300"/>
      <c r="U461" s="300"/>
      <c r="V461" s="300"/>
      <c r="W461" s="300"/>
      <c r="X461" s="300"/>
      <c r="Y461" s="300"/>
      <c r="Z461" s="300"/>
    </row>
    <row r="462" spans="1:70" x14ac:dyDescent="0.25">
      <c r="A462" s="300" t="s">
        <v>463</v>
      </c>
      <c r="B462" s="300"/>
      <c r="C462" s="300"/>
      <c r="D462" s="300">
        <v>195.98880004882801</v>
      </c>
      <c r="E462" s="300">
        <v>215.13366699218801</v>
      </c>
      <c r="F462" s="300">
        <v>218.80557250976599</v>
      </c>
      <c r="G462" s="300">
        <v>221.29866027832</v>
      </c>
      <c r="H462" s="300">
        <v>223.50036621093801</v>
      </c>
      <c r="I462" s="300">
        <v>221.10458374023401</v>
      </c>
      <c r="J462" s="300">
        <v>220.438400268555</v>
      </c>
      <c r="K462" s="300">
        <v>218.08479309082</v>
      </c>
      <c r="L462" s="300">
        <v>218.45701599121099</v>
      </c>
      <c r="M462" s="300">
        <v>217.84970092773401</v>
      </c>
      <c r="N462" s="300">
        <v>219.40165710449199</v>
      </c>
      <c r="O462" s="300">
        <v>221.00289916992199</v>
      </c>
      <c r="P462" s="300">
        <v>224.59239196777301</v>
      </c>
      <c r="Q462" s="300">
        <v>228.53056335449199</v>
      </c>
      <c r="R462" s="300">
        <v>230.97148132324199</v>
      </c>
      <c r="S462" s="300">
        <v>232.57162475585901</v>
      </c>
      <c r="T462" s="300">
        <v>236.03457641601599</v>
      </c>
      <c r="U462" s="300">
        <v>237.58020019531301</v>
      </c>
      <c r="V462" s="300">
        <v>240.43632507324199</v>
      </c>
      <c r="W462" s="300">
        <v>243.39186096191401</v>
      </c>
      <c r="X462" s="300">
        <v>247.24427795410199</v>
      </c>
      <c r="Y462" s="300">
        <v>248.98767089843801</v>
      </c>
      <c r="Z462" s="300">
        <v>251.02548217773401</v>
      </c>
    </row>
    <row r="463" spans="1:70" x14ac:dyDescent="0.25">
      <c r="A463" s="300" t="s">
        <v>470</v>
      </c>
      <c r="B463" s="300"/>
      <c r="C463" s="300"/>
      <c r="D463" s="300">
        <v>141.77845764160199</v>
      </c>
      <c r="E463" s="300">
        <v>154.38449096679699</v>
      </c>
      <c r="F463" s="300">
        <v>157.84999084472699</v>
      </c>
      <c r="G463" s="300">
        <v>156.06527709960901</v>
      </c>
      <c r="H463" s="300">
        <v>159.312088012695</v>
      </c>
      <c r="I463" s="300">
        <v>158.53677368164099</v>
      </c>
      <c r="J463" s="300">
        <v>157.966796875</v>
      </c>
      <c r="K463" s="300">
        <v>156.350173950195</v>
      </c>
      <c r="L463" s="300">
        <v>157.31393432617199</v>
      </c>
      <c r="M463" s="300">
        <v>158.58882141113301</v>
      </c>
      <c r="N463" s="300">
        <v>160.74195861816401</v>
      </c>
      <c r="O463" s="300">
        <v>163.37489318847699</v>
      </c>
      <c r="P463" s="300">
        <v>167.20817565918</v>
      </c>
      <c r="Q463" s="300">
        <v>172.04411315918</v>
      </c>
      <c r="R463" s="300">
        <v>175.58262634277301</v>
      </c>
      <c r="S463" s="300">
        <v>178.093505859375</v>
      </c>
      <c r="T463" s="300">
        <v>181.73991394043</v>
      </c>
      <c r="U463" s="300">
        <v>185.01341247558599</v>
      </c>
      <c r="V463" s="300">
        <v>188.79048156738301</v>
      </c>
      <c r="W463" s="300">
        <v>192.86947631835901</v>
      </c>
      <c r="X463" s="300">
        <v>197.36026000976599</v>
      </c>
      <c r="Y463" s="300">
        <v>201.10684204101599</v>
      </c>
      <c r="Z463" s="300">
        <v>204.49230957031301</v>
      </c>
    </row>
    <row r="464" spans="1:70" x14ac:dyDescent="0.25">
      <c r="A464" s="300" t="s">
        <v>505</v>
      </c>
      <c r="B464" s="300"/>
      <c r="C464" s="300"/>
      <c r="D464" s="300">
        <v>184.22943115234401</v>
      </c>
      <c r="E464" s="300">
        <v>196.07313537597699</v>
      </c>
      <c r="F464" s="300">
        <v>205.39855957031301</v>
      </c>
      <c r="G464" s="300">
        <v>217.87611389160199</v>
      </c>
      <c r="H464" s="300">
        <v>214.14784240722699</v>
      </c>
      <c r="I464" s="300">
        <v>207.11370849609401</v>
      </c>
      <c r="J464" s="300">
        <v>200.48422241210901</v>
      </c>
      <c r="K464" s="300">
        <v>191.81477355957</v>
      </c>
      <c r="L464" s="300">
        <v>187.29217529296901</v>
      </c>
      <c r="M464" s="300">
        <v>184.91578674316401</v>
      </c>
      <c r="N464" s="300">
        <v>184.25204467773401</v>
      </c>
      <c r="O464" s="300">
        <v>184.11447143554699</v>
      </c>
      <c r="P464" s="300">
        <v>186.80691528320301</v>
      </c>
      <c r="Q464" s="300">
        <v>189.66255187988301</v>
      </c>
      <c r="R464" s="300">
        <v>190.49990844726599</v>
      </c>
      <c r="S464" s="300">
        <v>192.03105163574199</v>
      </c>
      <c r="T464" s="300">
        <v>194.88296508789099</v>
      </c>
      <c r="U464" s="300">
        <v>196.87213134765599</v>
      </c>
      <c r="V464" s="300">
        <v>200.07191467285199</v>
      </c>
      <c r="W464" s="300">
        <v>202.13279724121099</v>
      </c>
      <c r="X464" s="300">
        <v>205.48814392089801</v>
      </c>
      <c r="Y464" s="300">
        <v>206.97822570800801</v>
      </c>
      <c r="Z464" s="300">
        <v>209.30905151367199</v>
      </c>
    </row>
    <row r="465" spans="1:70" x14ac:dyDescent="0.25">
      <c r="A465" s="300" t="s">
        <v>477</v>
      </c>
      <c r="B465" s="300"/>
      <c r="C465" s="300"/>
      <c r="D465" s="300">
        <v>385.00112915039102</v>
      </c>
      <c r="E465" s="300">
        <v>474.66281127929699</v>
      </c>
      <c r="F465" s="300">
        <v>545.7236328125</v>
      </c>
      <c r="G465" s="300">
        <v>538.79211425781295</v>
      </c>
      <c r="H465" s="300">
        <v>508.11019897460898</v>
      </c>
      <c r="I465" s="300">
        <v>488.44781494140602</v>
      </c>
      <c r="J465" s="300">
        <v>476.37777709960898</v>
      </c>
      <c r="K465" s="300">
        <v>463.41403198242199</v>
      </c>
      <c r="L465" s="300">
        <v>458.16046142578102</v>
      </c>
      <c r="M465" s="300">
        <v>458.57275390625</v>
      </c>
      <c r="N465" s="300">
        <v>452.78533935546898</v>
      </c>
      <c r="O465" s="300">
        <v>459.41848754882801</v>
      </c>
      <c r="P465" s="300">
        <v>469.74392700195301</v>
      </c>
      <c r="Q465" s="300">
        <v>478.67190551757801</v>
      </c>
      <c r="R465" s="300">
        <v>487.87078857421898</v>
      </c>
      <c r="S465" s="300">
        <v>505.29348754882801</v>
      </c>
      <c r="T465" s="300">
        <v>511.07485961914102</v>
      </c>
      <c r="U465" s="300">
        <v>521.646240234375</v>
      </c>
      <c r="V465" s="300">
        <v>538.77532958984398</v>
      </c>
      <c r="W465" s="300">
        <v>540.642822265625</v>
      </c>
      <c r="X465" s="300">
        <v>554.21173095703102</v>
      </c>
      <c r="Y465" s="300">
        <v>570.280029296875</v>
      </c>
      <c r="Z465" s="300">
        <v>574.30035400390602</v>
      </c>
    </row>
    <row r="466" spans="1:70" x14ac:dyDescent="0.25">
      <c r="A466" s="300" t="s">
        <v>506</v>
      </c>
      <c r="B466" s="300"/>
      <c r="C466" s="300"/>
      <c r="D466" s="300">
        <v>906.997802734375</v>
      </c>
      <c r="E466" s="300">
        <v>1040.25415039063</v>
      </c>
      <c r="F466" s="300">
        <v>1127.77770996094</v>
      </c>
      <c r="G466" s="300">
        <v>1134.0322265625</v>
      </c>
      <c r="H466" s="300">
        <v>1105.07055664063</v>
      </c>
      <c r="I466" s="300">
        <v>1075.20288085938</v>
      </c>
      <c r="J466" s="300">
        <v>1055.26721191406</v>
      </c>
      <c r="K466" s="300">
        <v>1029.66381835938</v>
      </c>
      <c r="L466" s="300">
        <v>1021.22357177734</v>
      </c>
      <c r="M466" s="300">
        <v>1019.92706298828</v>
      </c>
      <c r="N466" s="300">
        <v>1017.18103027344</v>
      </c>
      <c r="O466" s="300">
        <v>1027.91076660156</v>
      </c>
      <c r="P466" s="300">
        <v>1048.35144042969</v>
      </c>
      <c r="Q466" s="300">
        <v>1068.9091796875</v>
      </c>
      <c r="R466" s="300">
        <v>1084.9248046875</v>
      </c>
      <c r="S466" s="300">
        <v>1107.98962402344</v>
      </c>
      <c r="T466" s="300">
        <v>1123.73229980469</v>
      </c>
      <c r="U466" s="300">
        <v>1141.11193847656</v>
      </c>
      <c r="V466" s="300">
        <v>1168.07409667969</v>
      </c>
      <c r="W466" s="300">
        <v>1179.03698730469</v>
      </c>
      <c r="X466" s="300">
        <v>1204.30444335938</v>
      </c>
      <c r="Y466" s="300">
        <v>1227.35278320313</v>
      </c>
      <c r="Z466" s="300">
        <v>1239.12719726563</v>
      </c>
    </row>
    <row r="467" spans="1:70" x14ac:dyDescent="0.25">
      <c r="A467" s="300" t="s">
        <v>618</v>
      </c>
      <c r="B467" s="300"/>
      <c r="C467" s="300"/>
      <c r="D467" s="300">
        <v>2.27928571403027E-2</v>
      </c>
      <c r="E467" s="300">
        <v>3.3822253346443197E-2</v>
      </c>
      <c r="F467" s="300">
        <v>4.68330308794975E-2</v>
      </c>
      <c r="G467" s="300">
        <v>4.2311083525419201E-2</v>
      </c>
      <c r="H467" s="300">
        <v>4.6379543840885197E-2</v>
      </c>
      <c r="I467" s="300">
        <v>5.0339180976152399E-2</v>
      </c>
      <c r="J467" s="300">
        <v>6.3796535134315505E-2</v>
      </c>
      <c r="K467" s="300">
        <v>7.1353547275066403E-2</v>
      </c>
      <c r="L467" s="300">
        <v>7.5695373117923695E-2</v>
      </c>
      <c r="M467" s="300">
        <v>8.06071981787682E-2</v>
      </c>
      <c r="N467" s="300">
        <v>8.2480475306510898E-2</v>
      </c>
      <c r="O467" s="300">
        <v>8.9031867682933793E-2</v>
      </c>
      <c r="P467" s="300">
        <v>9.6231654286384596E-2</v>
      </c>
      <c r="Q467" s="300">
        <v>0.10344713926315301</v>
      </c>
      <c r="R467" s="300">
        <v>0.112680315971375</v>
      </c>
      <c r="S467" s="300">
        <v>0.13150542974471999</v>
      </c>
      <c r="T467" s="300">
        <v>0.15408998727798501</v>
      </c>
      <c r="U467" s="300">
        <v>0.18660007417201999</v>
      </c>
      <c r="V467" s="300">
        <v>0.21707823872566201</v>
      </c>
      <c r="W467" s="300">
        <v>0.243339464068413</v>
      </c>
      <c r="X467" s="300">
        <v>0.28575915098190302</v>
      </c>
      <c r="Y467" s="300">
        <v>0.31987324357032798</v>
      </c>
      <c r="Z467" s="300">
        <v>0.34808513522148099</v>
      </c>
    </row>
    <row r="468" spans="1:70" x14ac:dyDescent="0.25">
      <c r="A468" s="300" t="s">
        <v>508</v>
      </c>
      <c r="B468" s="300"/>
      <c r="C468" s="300"/>
      <c r="D468" s="300">
        <v>907.02056884765602</v>
      </c>
      <c r="E468" s="300">
        <v>1040.28796386719</v>
      </c>
      <c r="F468" s="300">
        <v>1127.82458496094</v>
      </c>
      <c r="G468" s="300">
        <v>1134.07458496094</v>
      </c>
      <c r="H468" s="300">
        <v>1105.11694335938</v>
      </c>
      <c r="I468" s="300">
        <v>1075.25317382813</v>
      </c>
      <c r="J468" s="300">
        <v>1055.3310546875</v>
      </c>
      <c r="K468" s="300">
        <v>1029.73522949219</v>
      </c>
      <c r="L468" s="300">
        <v>1021.29925537109</v>
      </c>
      <c r="M468" s="300">
        <v>1020.00769042969</v>
      </c>
      <c r="N468" s="300">
        <v>1017.26348876953</v>
      </c>
      <c r="O468" s="300">
        <v>1027.99975585938</v>
      </c>
      <c r="P468" s="300">
        <v>1048.44763183594</v>
      </c>
      <c r="Q468" s="300">
        <v>1069.01257324219</v>
      </c>
      <c r="R468" s="300">
        <v>1085.03747558594</v>
      </c>
      <c r="S468" s="300">
        <v>1108.12109375</v>
      </c>
      <c r="T468" s="300">
        <v>1123.88635253906</v>
      </c>
      <c r="U468" s="300">
        <v>1141.29858398438</v>
      </c>
      <c r="V468" s="300">
        <v>1168.29113769531</v>
      </c>
      <c r="W468" s="300">
        <v>1179.2802734375</v>
      </c>
      <c r="X468" s="300">
        <v>1204.59020996094</v>
      </c>
      <c r="Y468" s="300">
        <v>1227.67260742188</v>
      </c>
      <c r="Z468" s="300">
        <v>1239.47534179688</v>
      </c>
    </row>
    <row r="469" spans="1:70" x14ac:dyDescent="0.25">
      <c r="A469" s="287" t="s">
        <v>1063</v>
      </c>
      <c r="B469" s="247" t="s">
        <v>582</v>
      </c>
      <c r="C469" s="300"/>
      <c r="D469" s="300"/>
      <c r="E469" s="300"/>
      <c r="F469" s="300"/>
      <c r="G469" s="300"/>
      <c r="H469" s="300"/>
      <c r="I469" s="300"/>
      <c r="J469" s="300"/>
      <c r="K469" s="300"/>
      <c r="L469" s="300"/>
      <c r="M469" s="300"/>
      <c r="N469" s="300"/>
      <c r="O469" s="300"/>
      <c r="P469" s="300"/>
      <c r="Q469" s="300"/>
      <c r="R469" s="300"/>
      <c r="S469" s="300"/>
      <c r="T469" s="300"/>
      <c r="U469" s="300"/>
      <c r="V469" s="300"/>
      <c r="W469" s="300"/>
      <c r="X469" s="300"/>
      <c r="Y469" s="300"/>
      <c r="Z469" s="300"/>
    </row>
    <row r="470" spans="1:70" ht="13.8" thickBot="1" x14ac:dyDescent="0.3">
      <c r="A470" s="276" t="s">
        <v>310</v>
      </c>
      <c r="B470" s="247" t="s">
        <v>582</v>
      </c>
      <c r="C470" s="300"/>
      <c r="D470" s="300"/>
      <c r="E470" s="300"/>
      <c r="F470" s="300"/>
      <c r="G470" s="300"/>
      <c r="H470" s="300"/>
      <c r="I470" s="300"/>
      <c r="J470" s="300"/>
      <c r="K470" s="300"/>
      <c r="L470" s="300"/>
      <c r="M470" s="300"/>
      <c r="N470" s="300"/>
      <c r="O470" s="300"/>
      <c r="P470" s="300"/>
      <c r="Q470" s="300"/>
      <c r="R470" s="300"/>
      <c r="S470" s="300"/>
      <c r="T470" s="300"/>
      <c r="U470" s="300"/>
      <c r="V470" s="300"/>
      <c r="W470" s="300"/>
      <c r="X470" s="300"/>
      <c r="Y470" s="300"/>
      <c r="Z470" s="300"/>
    </row>
    <row r="471" spans="1:70" ht="13.8" thickBot="1" x14ac:dyDescent="0.3">
      <c r="A471" s="300" t="s">
        <v>959</v>
      </c>
      <c r="B471" s="300"/>
      <c r="C471" s="300"/>
      <c r="D471" s="300"/>
      <c r="E471" s="300"/>
      <c r="F471" s="300"/>
      <c r="G471" s="300"/>
      <c r="H471" s="300"/>
      <c r="I471" s="300"/>
      <c r="J471" s="300"/>
      <c r="K471" s="300"/>
      <c r="L471" s="300"/>
      <c r="M471" s="300"/>
      <c r="N471" s="300"/>
      <c r="O471" s="300"/>
      <c r="P471" s="300"/>
      <c r="Q471" s="300"/>
      <c r="R471" s="300"/>
      <c r="S471" s="300"/>
      <c r="T471" s="300"/>
      <c r="U471" s="300"/>
      <c r="V471" s="300"/>
      <c r="W471" s="300"/>
      <c r="X471" s="300"/>
      <c r="Y471" s="300"/>
      <c r="Z471" s="300"/>
      <c r="AA471" s="277">
        <f>Z641+($AI$471-$Y$641)/10</f>
        <v>8.1072037368774854</v>
      </c>
      <c r="AB471" s="277">
        <f t="shared" ref="AB471:AH471" si="48">AA471+($AI$471-$Y$641)/10</f>
        <v>8.1552847846985532</v>
      </c>
      <c r="AC471" s="277">
        <f t="shared" si="48"/>
        <v>8.203365832519621</v>
      </c>
      <c r="AD471" s="277">
        <f t="shared" si="48"/>
        <v>8.2514468803406888</v>
      </c>
      <c r="AE471" s="277">
        <f t="shared" si="48"/>
        <v>8.2995279281617567</v>
      </c>
      <c r="AF471" s="277">
        <f t="shared" si="48"/>
        <v>8.3476089759828245</v>
      </c>
      <c r="AG471" s="277">
        <f t="shared" si="48"/>
        <v>8.3956900238038923</v>
      </c>
      <c r="AH471" s="277">
        <f t="shared" si="48"/>
        <v>8.4437710716249601</v>
      </c>
      <c r="AI471" s="278">
        <f>T641*$E$742</f>
        <v>8.4918521194460261</v>
      </c>
      <c r="AJ471" s="277">
        <f>AI471+($AX$471-$AI$471)/15</f>
        <v>8.5879736457897184</v>
      </c>
      <c r="AK471" s="277">
        <f t="shared" ref="AK471:AW471" si="49">AJ471+($AX$471-$AI$471)/15</f>
        <v>8.6840951721334108</v>
      </c>
      <c r="AL471" s="277">
        <f t="shared" si="49"/>
        <v>8.7802166984771031</v>
      </c>
      <c r="AM471" s="277">
        <f t="shared" si="49"/>
        <v>8.8763382248207954</v>
      </c>
      <c r="AN471" s="277">
        <f t="shared" si="49"/>
        <v>8.9724597511644877</v>
      </c>
      <c r="AO471" s="277">
        <f t="shared" si="49"/>
        <v>9.06858127750818</v>
      </c>
      <c r="AP471" s="277">
        <f t="shared" si="49"/>
        <v>9.1647028038518723</v>
      </c>
      <c r="AQ471" s="277">
        <f t="shared" si="49"/>
        <v>9.2608243301955646</v>
      </c>
      <c r="AR471" s="277">
        <f t="shared" si="49"/>
        <v>9.3569458565392569</v>
      </c>
      <c r="AS471" s="277">
        <f t="shared" si="49"/>
        <v>9.4530673828829492</v>
      </c>
      <c r="AT471" s="277">
        <f t="shared" si="49"/>
        <v>9.5491889092266415</v>
      </c>
      <c r="AU471" s="277">
        <f t="shared" si="49"/>
        <v>9.6453104355703339</v>
      </c>
      <c r="AV471" s="277">
        <f t="shared" si="49"/>
        <v>9.7414319619140262</v>
      </c>
      <c r="AW471" s="277">
        <f t="shared" si="49"/>
        <v>9.8375534882577185</v>
      </c>
      <c r="AX471" s="278">
        <f>AI471*$B$742</f>
        <v>9.9336750146014001</v>
      </c>
      <c r="AY471" s="277">
        <f>AX471+($BM$471-$AX$471)/15</f>
        <v>10.032035813725209</v>
      </c>
      <c r="AZ471" s="277">
        <f t="shared" ref="AZ471:BL471" si="50">AY471+($BM$471-$AX$471)/15</f>
        <v>10.130396612849017</v>
      </c>
      <c r="BA471" s="277">
        <f t="shared" si="50"/>
        <v>10.228757411972826</v>
      </c>
      <c r="BB471" s="277">
        <f t="shared" si="50"/>
        <v>10.327118211096634</v>
      </c>
      <c r="BC471" s="277">
        <f t="shared" si="50"/>
        <v>10.425479010220442</v>
      </c>
      <c r="BD471" s="277">
        <f t="shared" si="50"/>
        <v>10.523839809344251</v>
      </c>
      <c r="BE471" s="277">
        <f t="shared" si="50"/>
        <v>10.622200608468059</v>
      </c>
      <c r="BF471" s="277">
        <f t="shared" si="50"/>
        <v>10.720561407591868</v>
      </c>
      <c r="BG471" s="277">
        <f t="shared" si="50"/>
        <v>10.818922206715676</v>
      </c>
      <c r="BH471" s="277">
        <f t="shared" si="50"/>
        <v>10.917283005839485</v>
      </c>
      <c r="BI471" s="277">
        <f t="shared" si="50"/>
        <v>11.015643804963293</v>
      </c>
      <c r="BJ471" s="277">
        <f t="shared" si="50"/>
        <v>11.114004604087102</v>
      </c>
      <c r="BK471" s="277">
        <f t="shared" si="50"/>
        <v>11.21236540321091</v>
      </c>
      <c r="BL471" s="277">
        <f t="shared" si="50"/>
        <v>11.310726202334719</v>
      </c>
      <c r="BM471" s="278">
        <f>AX471*$C$742</f>
        <v>11.409087001458516</v>
      </c>
      <c r="BN471" s="277">
        <f>BM471+($BR$471-$BM$471)/5</f>
        <v>11.522056966057418</v>
      </c>
      <c r="BO471" s="277">
        <f>BN471+($BR$471-$BM$471)/5</f>
        <v>11.63502693065632</v>
      </c>
      <c r="BP471" s="277">
        <f>BO471+($BR$471-$BM$471)/5</f>
        <v>11.747996895255222</v>
      </c>
      <c r="BQ471" s="277">
        <f>BP471+($BR$471-$BM$471)/5</f>
        <v>11.860966859854123</v>
      </c>
      <c r="BR471" s="278">
        <f>BM471*$D$742</f>
        <v>11.973936824453022</v>
      </c>
    </row>
    <row r="472" spans="1:70" ht="13.8" thickBot="1" x14ac:dyDescent="0.3">
      <c r="A472" s="300" t="s">
        <v>619</v>
      </c>
      <c r="B472" s="300"/>
      <c r="C472" s="300"/>
      <c r="D472" s="300"/>
      <c r="E472" s="300"/>
      <c r="F472" s="300"/>
      <c r="G472" s="300"/>
      <c r="H472" s="300"/>
      <c r="I472" s="300"/>
      <c r="J472" s="300"/>
      <c r="K472" s="300"/>
      <c r="L472" s="300"/>
      <c r="M472" s="300"/>
      <c r="N472" s="300"/>
      <c r="O472" s="300"/>
      <c r="P472" s="300"/>
      <c r="Q472" s="300"/>
      <c r="R472" s="300"/>
      <c r="S472" s="300"/>
      <c r="T472" s="300"/>
      <c r="U472" s="300"/>
      <c r="V472" s="300"/>
      <c r="W472" s="300"/>
      <c r="X472" s="300"/>
      <c r="Y472" s="300"/>
      <c r="Z472" s="300"/>
      <c r="AA472" s="279">
        <f>Z642+($AI$472-$Y$642)/10</f>
        <v>22.490795032640289</v>
      </c>
      <c r="AB472" s="279">
        <f t="shared" ref="AB472:AH472" si="51">AA472+($AI$472-$Y$642)/10</f>
        <v>22.394891584604984</v>
      </c>
      <c r="AC472" s="279">
        <f t="shared" si="51"/>
        <v>22.29898813656968</v>
      </c>
      <c r="AD472" s="279">
        <f t="shared" si="51"/>
        <v>22.203084688534375</v>
      </c>
      <c r="AE472" s="279">
        <f t="shared" si="51"/>
        <v>22.10718124049907</v>
      </c>
      <c r="AF472" s="279">
        <f t="shared" si="51"/>
        <v>22.011277792463765</v>
      </c>
      <c r="AG472" s="279">
        <f t="shared" si="51"/>
        <v>21.915374344428461</v>
      </c>
      <c r="AH472" s="279">
        <f t="shared" si="51"/>
        <v>21.819470896393156</v>
      </c>
      <c r="AI472" s="280">
        <f>T642*$E$745</f>
        <v>21.723567448357841</v>
      </c>
      <c r="AJ472" s="279">
        <f>AI472+($AX$472-$AI$472)/15</f>
        <v>21.715027463671497</v>
      </c>
      <c r="AK472" s="279">
        <f t="shared" ref="AK472:AW472" si="52">AJ472+($AX$472-$AI$472)/15</f>
        <v>21.706487478985153</v>
      </c>
      <c r="AL472" s="279">
        <f t="shared" si="52"/>
        <v>21.697947494298809</v>
      </c>
      <c r="AM472" s="279">
        <f t="shared" si="52"/>
        <v>21.689407509612465</v>
      </c>
      <c r="AN472" s="279">
        <f t="shared" si="52"/>
        <v>21.680867524926121</v>
      </c>
      <c r="AO472" s="279">
        <f t="shared" si="52"/>
        <v>21.672327540239777</v>
      </c>
      <c r="AP472" s="279">
        <f t="shared" si="52"/>
        <v>21.663787555553434</v>
      </c>
      <c r="AQ472" s="279">
        <f t="shared" si="52"/>
        <v>21.65524757086709</v>
      </c>
      <c r="AR472" s="279">
        <f t="shared" si="52"/>
        <v>21.646707586180746</v>
      </c>
      <c r="AS472" s="279">
        <f t="shared" si="52"/>
        <v>21.638167601494402</v>
      </c>
      <c r="AT472" s="279">
        <f t="shared" si="52"/>
        <v>21.629627616808058</v>
      </c>
      <c r="AU472" s="279">
        <f t="shared" si="52"/>
        <v>21.621087632121714</v>
      </c>
      <c r="AV472" s="279">
        <f t="shared" si="52"/>
        <v>21.61254764743537</v>
      </c>
      <c r="AW472" s="279">
        <f t="shared" si="52"/>
        <v>21.604007662749027</v>
      </c>
      <c r="AX472" s="280">
        <f>AI472*$B$745</f>
        <v>21.595467678062693</v>
      </c>
      <c r="AY472" s="279">
        <f>AX472+($BM$472-$AX$472)/15</f>
        <v>21.609186144316791</v>
      </c>
      <c r="AZ472" s="279">
        <f t="shared" ref="AZ472:BL472" si="53">AY472+($BM$472-$AX$472)/15</f>
        <v>21.622904610570888</v>
      </c>
      <c r="BA472" s="279">
        <f t="shared" si="53"/>
        <v>21.636623076824986</v>
      </c>
      <c r="BB472" s="279">
        <f t="shared" si="53"/>
        <v>21.650341543079083</v>
      </c>
      <c r="BC472" s="279">
        <f t="shared" si="53"/>
        <v>21.664060009333181</v>
      </c>
      <c r="BD472" s="279">
        <f t="shared" si="53"/>
        <v>21.677778475587278</v>
      </c>
      <c r="BE472" s="279">
        <f t="shared" si="53"/>
        <v>21.691496941841375</v>
      </c>
      <c r="BF472" s="279">
        <f t="shared" si="53"/>
        <v>21.705215408095473</v>
      </c>
      <c r="BG472" s="279">
        <f t="shared" si="53"/>
        <v>21.71893387434957</v>
      </c>
      <c r="BH472" s="279">
        <f t="shared" si="53"/>
        <v>21.732652340603668</v>
      </c>
      <c r="BI472" s="279">
        <f t="shared" si="53"/>
        <v>21.746370806857765</v>
      </c>
      <c r="BJ472" s="279">
        <f t="shared" si="53"/>
        <v>21.760089273111863</v>
      </c>
      <c r="BK472" s="279">
        <f t="shared" si="53"/>
        <v>21.77380773936596</v>
      </c>
      <c r="BL472" s="279">
        <f t="shared" si="53"/>
        <v>21.787526205620058</v>
      </c>
      <c r="BM472" s="280">
        <f>AX472*$C$745</f>
        <v>21.801244671874137</v>
      </c>
      <c r="BN472" s="279">
        <f>BM472+($BR$472-$BM$472)/5</f>
        <v>21.815093857443394</v>
      </c>
      <c r="BO472" s="279">
        <f>BN472+($BR$472-$BM$472)/5</f>
        <v>21.82894304301265</v>
      </c>
      <c r="BP472" s="279">
        <f>BO472+($BR$472-$BM$472)/5</f>
        <v>21.842792228581906</v>
      </c>
      <c r="BQ472" s="279">
        <f>BP472+($BR$472-$BM$472)/5</f>
        <v>21.856641414151163</v>
      </c>
      <c r="BR472" s="280">
        <f>BM472*$D$745</f>
        <v>21.870490599720426</v>
      </c>
    </row>
    <row r="473" spans="1:70" x14ac:dyDescent="0.25">
      <c r="A473" s="300" t="s">
        <v>620</v>
      </c>
      <c r="B473" s="300"/>
      <c r="C473" s="300"/>
      <c r="D473" s="300"/>
      <c r="E473" s="300"/>
      <c r="F473" s="300"/>
      <c r="G473" s="300"/>
      <c r="H473" s="300"/>
      <c r="I473" s="300"/>
      <c r="J473" s="300"/>
      <c r="K473" s="300"/>
      <c r="L473" s="300"/>
      <c r="M473" s="300"/>
      <c r="N473" s="300"/>
      <c r="O473" s="300"/>
      <c r="P473" s="300"/>
      <c r="Q473" s="300"/>
      <c r="R473" s="300"/>
      <c r="S473" s="300"/>
      <c r="T473" s="300"/>
      <c r="U473" s="300"/>
      <c r="V473" s="300"/>
      <c r="W473" s="300"/>
      <c r="X473" s="300"/>
      <c r="Y473" s="300"/>
      <c r="Z473" s="300"/>
    </row>
    <row r="474" spans="1:70" x14ac:dyDescent="0.25">
      <c r="A474" s="300" t="s">
        <v>621</v>
      </c>
      <c r="B474" s="300"/>
      <c r="C474" s="300"/>
      <c r="D474" s="300"/>
      <c r="E474" s="300"/>
      <c r="F474" s="300"/>
      <c r="G474" s="300"/>
      <c r="H474" s="300"/>
      <c r="I474" s="300"/>
      <c r="J474" s="300"/>
      <c r="K474" s="300"/>
      <c r="L474" s="300"/>
      <c r="M474" s="300"/>
      <c r="N474" s="300"/>
      <c r="O474" s="300"/>
      <c r="P474" s="300"/>
      <c r="Q474" s="300"/>
      <c r="R474" s="300"/>
      <c r="S474" s="300"/>
      <c r="T474" s="300"/>
      <c r="U474" s="300"/>
      <c r="V474" s="300"/>
      <c r="W474" s="300"/>
      <c r="X474" s="300"/>
      <c r="Y474" s="300"/>
      <c r="Z474" s="300"/>
    </row>
    <row r="475" spans="1:70" x14ac:dyDescent="0.25">
      <c r="A475" s="300" t="s">
        <v>637</v>
      </c>
      <c r="B475" s="300"/>
      <c r="C475" s="300"/>
      <c r="D475" s="300"/>
      <c r="E475" s="300"/>
      <c r="F475" s="300"/>
      <c r="G475" s="300"/>
      <c r="H475" s="300"/>
      <c r="I475" s="300"/>
      <c r="J475" s="300"/>
      <c r="K475" s="300"/>
      <c r="L475" s="300"/>
      <c r="M475" s="300"/>
      <c r="N475" s="300"/>
      <c r="O475" s="300"/>
      <c r="P475" s="300"/>
      <c r="Q475" s="300"/>
      <c r="R475" s="300"/>
      <c r="S475" s="300"/>
      <c r="T475" s="300"/>
      <c r="U475" s="300"/>
      <c r="V475" s="300"/>
      <c r="W475" s="300"/>
      <c r="X475" s="300"/>
      <c r="Y475" s="300"/>
      <c r="Z475" s="300"/>
    </row>
    <row r="476" spans="1:70" x14ac:dyDescent="0.25">
      <c r="A476" s="300" t="s">
        <v>532</v>
      </c>
      <c r="B476" s="300"/>
      <c r="C476" s="300"/>
      <c r="D476" s="300"/>
      <c r="E476" s="300"/>
      <c r="F476" s="300"/>
      <c r="G476" s="300"/>
      <c r="H476" s="300"/>
      <c r="I476" s="300"/>
      <c r="J476" s="300"/>
      <c r="K476" s="300"/>
      <c r="L476" s="300"/>
      <c r="M476" s="300"/>
      <c r="N476" s="300"/>
      <c r="O476" s="300"/>
      <c r="P476" s="300"/>
      <c r="Q476" s="300"/>
      <c r="R476" s="300"/>
      <c r="S476" s="300"/>
      <c r="T476" s="300"/>
      <c r="U476" s="300"/>
      <c r="V476" s="300"/>
      <c r="W476" s="300"/>
      <c r="X476" s="300"/>
      <c r="Y476" s="300"/>
      <c r="Z476" s="300"/>
    </row>
    <row r="477" spans="1:70" ht="52.5" customHeight="1" x14ac:dyDescent="0.25">
      <c r="A477" s="300" t="s">
        <v>638</v>
      </c>
      <c r="B477" s="300"/>
      <c r="C477" s="300"/>
      <c r="D477" s="300"/>
      <c r="E477" s="300"/>
      <c r="F477" s="300"/>
      <c r="G477" s="300"/>
      <c r="H477" s="300"/>
      <c r="I477" s="300"/>
      <c r="J477" s="300"/>
      <c r="K477" s="300"/>
      <c r="L477" s="300"/>
      <c r="M477" s="300"/>
      <c r="N477" s="300"/>
      <c r="O477" s="300"/>
      <c r="P477" s="300"/>
      <c r="Q477" s="300"/>
      <c r="R477" s="300"/>
      <c r="S477" s="300"/>
      <c r="T477" s="300"/>
      <c r="U477" s="300"/>
      <c r="V477" s="300"/>
      <c r="W477" s="300"/>
      <c r="X477" s="300"/>
      <c r="Y477" s="300"/>
      <c r="Z477" s="300"/>
    </row>
    <row r="478" spans="1:70" x14ac:dyDescent="0.25">
      <c r="A478" s="300" t="s">
        <v>639</v>
      </c>
      <c r="B478" s="300"/>
      <c r="C478" s="300"/>
      <c r="D478" s="300"/>
      <c r="E478" s="300"/>
      <c r="F478" s="300"/>
      <c r="G478" s="300"/>
      <c r="H478" s="300"/>
      <c r="I478" s="300"/>
      <c r="J478" s="300"/>
      <c r="K478" s="300"/>
      <c r="L478" s="300"/>
      <c r="M478" s="300"/>
      <c r="N478" s="300"/>
      <c r="O478" s="300"/>
      <c r="P478" s="300"/>
      <c r="Q478" s="300"/>
      <c r="R478" s="300"/>
      <c r="S478" s="300"/>
      <c r="T478" s="300"/>
      <c r="U478" s="300"/>
      <c r="V478" s="300"/>
      <c r="W478" s="300"/>
      <c r="X478" s="300"/>
      <c r="Y478" s="300"/>
      <c r="Z478" s="300"/>
    </row>
    <row r="479" spans="1:70" ht="13.8" thickBot="1" x14ac:dyDescent="0.3">
      <c r="A479" s="300" t="s">
        <v>640</v>
      </c>
      <c r="B479" s="300"/>
      <c r="C479" s="300"/>
      <c r="D479" s="300"/>
      <c r="E479" s="300"/>
      <c r="F479" s="300"/>
      <c r="G479" s="300"/>
      <c r="H479" s="300"/>
      <c r="I479" s="300"/>
      <c r="J479" s="300"/>
      <c r="K479" s="300"/>
      <c r="L479" s="300"/>
      <c r="M479" s="300"/>
      <c r="N479" s="300"/>
      <c r="O479" s="300"/>
      <c r="P479" s="300"/>
      <c r="Q479" s="300"/>
      <c r="R479" s="300"/>
      <c r="S479" s="300"/>
      <c r="T479" s="300"/>
      <c r="U479" s="300"/>
      <c r="V479" s="300"/>
      <c r="W479" s="300"/>
      <c r="X479" s="300"/>
      <c r="Y479" s="300"/>
      <c r="Z479" s="300"/>
    </row>
    <row r="480" spans="1:70" ht="13.8" thickBot="1" x14ac:dyDescent="0.3">
      <c r="A480" s="300" t="s">
        <v>641</v>
      </c>
      <c r="B480" s="300"/>
      <c r="C480" s="300"/>
      <c r="D480" s="300"/>
      <c r="E480" s="300"/>
      <c r="F480" s="300"/>
      <c r="G480" s="300"/>
      <c r="H480" s="300"/>
      <c r="I480" s="300"/>
      <c r="J480" s="300"/>
      <c r="K480" s="300"/>
      <c r="L480" s="300"/>
      <c r="M480" s="300"/>
      <c r="N480" s="300"/>
      <c r="O480" s="300"/>
      <c r="P480" s="300"/>
      <c r="Q480" s="300"/>
      <c r="R480" s="300"/>
      <c r="S480" s="300"/>
      <c r="T480" s="300"/>
      <c r="U480" s="300"/>
      <c r="V480" s="300"/>
      <c r="W480" s="300"/>
      <c r="X480" s="300"/>
      <c r="Y480" s="300"/>
      <c r="Z480" s="300"/>
      <c r="AA480" s="277">
        <f>Z650+($AI$480-$Y$650)/10</f>
        <v>5.5873463921161282</v>
      </c>
      <c r="AB480" s="277">
        <f t="shared" ref="AB480:AH480" si="54">AA480+($AI$480-$Y$650)/10</f>
        <v>5.6146233040707969</v>
      </c>
      <c r="AC480" s="277">
        <f t="shared" si="54"/>
        <v>5.6419002160254657</v>
      </c>
      <c r="AD480" s="277">
        <f t="shared" si="54"/>
        <v>5.6691771279801344</v>
      </c>
      <c r="AE480" s="277">
        <f t="shared" si="54"/>
        <v>5.6964540399348031</v>
      </c>
      <c r="AF480" s="277">
        <f t="shared" si="54"/>
        <v>5.7237309518894719</v>
      </c>
      <c r="AG480" s="277">
        <f t="shared" si="54"/>
        <v>5.7510078638441406</v>
      </c>
      <c r="AH480" s="277">
        <f t="shared" si="54"/>
        <v>5.7782847757988094</v>
      </c>
      <c r="AI480" s="278">
        <f>T650*$E$742</f>
        <v>5.8055616877534817</v>
      </c>
      <c r="AJ480" s="277">
        <f>AI480+($AX$480-$AI$480)/15</f>
        <v>5.8712763802445851</v>
      </c>
      <c r="AK480" s="277">
        <f t="shared" ref="AK480:AW480" si="55">AJ480+($AX$480-$AI$480)/15</f>
        <v>5.9369910727356885</v>
      </c>
      <c r="AL480" s="277">
        <f t="shared" si="55"/>
        <v>6.0027057652267919</v>
      </c>
      <c r="AM480" s="277">
        <f t="shared" si="55"/>
        <v>6.0684204577178953</v>
      </c>
      <c r="AN480" s="277">
        <f t="shared" si="55"/>
        <v>6.1341351502089987</v>
      </c>
      <c r="AO480" s="277">
        <f t="shared" si="55"/>
        <v>6.1998498427001021</v>
      </c>
      <c r="AP480" s="277">
        <f t="shared" si="55"/>
        <v>6.2655645351912055</v>
      </c>
      <c r="AQ480" s="277">
        <f t="shared" si="55"/>
        <v>6.3312792276823089</v>
      </c>
      <c r="AR480" s="277">
        <f t="shared" si="55"/>
        <v>6.3969939201734123</v>
      </c>
      <c r="AS480" s="277">
        <f t="shared" si="55"/>
        <v>6.4627086126645157</v>
      </c>
      <c r="AT480" s="277">
        <f t="shared" si="55"/>
        <v>6.5284233051556191</v>
      </c>
      <c r="AU480" s="277">
        <f t="shared" si="55"/>
        <v>6.5941379976467225</v>
      </c>
      <c r="AV480" s="277">
        <f t="shared" si="55"/>
        <v>6.6598526901378259</v>
      </c>
      <c r="AW480" s="277">
        <f t="shared" si="55"/>
        <v>6.7255673826289293</v>
      </c>
      <c r="AX480" s="278">
        <f>AI480*$B$742</f>
        <v>6.791282075120038</v>
      </c>
      <c r="AY480" s="277">
        <f>AX480+($BM$480-$AX$480)/15</f>
        <v>6.858527674659193</v>
      </c>
      <c r="AZ480" s="277">
        <f t="shared" ref="AZ480:BL480" si="56">AY480+($BM$480-$AX$480)/15</f>
        <v>6.925773274198348</v>
      </c>
      <c r="BA480" s="277">
        <f t="shared" si="56"/>
        <v>6.993018873737503</v>
      </c>
      <c r="BB480" s="277">
        <f t="shared" si="56"/>
        <v>7.060264473276658</v>
      </c>
      <c r="BC480" s="277">
        <f t="shared" si="56"/>
        <v>7.1275100728158129</v>
      </c>
      <c r="BD480" s="277">
        <f t="shared" si="56"/>
        <v>7.1947556723549679</v>
      </c>
      <c r="BE480" s="277">
        <f t="shared" si="56"/>
        <v>7.2620012718941229</v>
      </c>
      <c r="BF480" s="277">
        <f t="shared" si="56"/>
        <v>7.3292468714332779</v>
      </c>
      <c r="BG480" s="277">
        <f t="shared" si="56"/>
        <v>7.3964924709724329</v>
      </c>
      <c r="BH480" s="277">
        <f t="shared" si="56"/>
        <v>7.4637380705115879</v>
      </c>
      <c r="BI480" s="277">
        <f t="shared" si="56"/>
        <v>7.5309836700507429</v>
      </c>
      <c r="BJ480" s="277">
        <f t="shared" si="56"/>
        <v>7.5982292695898979</v>
      </c>
      <c r="BK480" s="277">
        <f t="shared" si="56"/>
        <v>7.6654748691290528</v>
      </c>
      <c r="BL480" s="277">
        <f t="shared" si="56"/>
        <v>7.7327204686682078</v>
      </c>
      <c r="BM480" s="278">
        <f>AX480*$C$742</f>
        <v>7.7999660682073682</v>
      </c>
      <c r="BN480" s="277">
        <f>BM480+($BR$480-$BM$480)/5</f>
        <v>7.8771994077800587</v>
      </c>
      <c r="BO480" s="277">
        <f>BN480+($BR$480-$BM$480)/5</f>
        <v>7.9544327473527492</v>
      </c>
      <c r="BP480" s="277">
        <f>BO480+($BR$480-$BM$480)/5</f>
        <v>8.0316660869254388</v>
      </c>
      <c r="BQ480" s="277">
        <f>BP480+($BR$480-$BM$480)/5</f>
        <v>8.1088994264981284</v>
      </c>
      <c r="BR480" s="278">
        <f>BM480*$D$742</f>
        <v>8.1861327660708199</v>
      </c>
    </row>
    <row r="481" spans="1:70" x14ac:dyDescent="0.25">
      <c r="A481" s="300" t="s">
        <v>642</v>
      </c>
      <c r="B481" s="300"/>
      <c r="C481" s="300"/>
      <c r="D481" s="300"/>
      <c r="E481" s="300"/>
      <c r="F481" s="300"/>
      <c r="G481" s="300"/>
      <c r="H481" s="300"/>
      <c r="I481" s="300"/>
      <c r="J481" s="300"/>
      <c r="K481" s="300"/>
      <c r="L481" s="300"/>
      <c r="M481" s="300"/>
      <c r="N481" s="300"/>
      <c r="O481" s="300"/>
      <c r="P481" s="300"/>
      <c r="Q481" s="300"/>
      <c r="R481" s="300"/>
      <c r="S481" s="300"/>
      <c r="T481" s="300"/>
      <c r="U481" s="300"/>
      <c r="V481" s="300"/>
      <c r="W481" s="300"/>
      <c r="X481" s="300"/>
      <c r="Y481" s="300"/>
      <c r="Z481" s="300"/>
    </row>
    <row r="482" spans="1:70" ht="13.8" thickBot="1" x14ac:dyDescent="0.3">
      <c r="A482" s="300" t="s">
        <v>643</v>
      </c>
      <c r="B482" s="300"/>
      <c r="C482" s="300"/>
      <c r="D482" s="300"/>
      <c r="E482" s="300"/>
      <c r="F482" s="300"/>
      <c r="G482" s="300"/>
      <c r="H482" s="300"/>
      <c r="I482" s="300"/>
      <c r="J482" s="300"/>
      <c r="K482" s="300"/>
      <c r="L482" s="300"/>
      <c r="M482" s="300"/>
      <c r="N482" s="300"/>
      <c r="O482" s="300"/>
      <c r="P482" s="300"/>
      <c r="Q482" s="300"/>
      <c r="R482" s="300"/>
      <c r="S482" s="300"/>
      <c r="T482" s="300"/>
      <c r="U482" s="300"/>
      <c r="V482" s="300"/>
      <c r="W482" s="300"/>
      <c r="X482" s="300"/>
      <c r="Y482" s="300"/>
      <c r="Z482" s="300"/>
    </row>
    <row r="483" spans="1:70" ht="13.8" thickBot="1" x14ac:dyDescent="0.3">
      <c r="A483" s="300" t="s">
        <v>535</v>
      </c>
      <c r="B483" s="300"/>
      <c r="C483" s="300"/>
      <c r="D483" s="300"/>
      <c r="E483" s="300"/>
      <c r="F483" s="300"/>
      <c r="G483" s="300"/>
      <c r="H483" s="300"/>
      <c r="I483" s="300"/>
      <c r="J483" s="300"/>
      <c r="K483" s="300"/>
      <c r="L483" s="300"/>
      <c r="M483" s="300"/>
      <c r="N483" s="300"/>
      <c r="O483" s="300"/>
      <c r="P483" s="300"/>
      <c r="Q483" s="300"/>
      <c r="R483" s="300"/>
      <c r="S483" s="300"/>
      <c r="T483" s="300"/>
      <c r="U483" s="300"/>
      <c r="V483" s="300"/>
      <c r="W483" s="300"/>
      <c r="X483" s="300"/>
      <c r="Y483" s="300"/>
      <c r="Z483" s="300"/>
      <c r="AA483" s="279">
        <f>Z653+($AI$483-$Y$653)/10</f>
        <v>15.747041087587585</v>
      </c>
      <c r="AB483" s="279">
        <f t="shared" ref="AB483:AH483" si="57">AA483+($AI$483-$Y$653)/10</f>
        <v>15.673905881106727</v>
      </c>
      <c r="AC483" s="279">
        <f t="shared" si="57"/>
        <v>15.600770674625869</v>
      </c>
      <c r="AD483" s="279">
        <f t="shared" si="57"/>
        <v>15.527635468145011</v>
      </c>
      <c r="AE483" s="279">
        <f t="shared" si="57"/>
        <v>15.454500261664153</v>
      </c>
      <c r="AF483" s="279">
        <f t="shared" si="57"/>
        <v>15.381365055183295</v>
      </c>
      <c r="AG483" s="279">
        <f t="shared" si="57"/>
        <v>15.308229848702437</v>
      </c>
      <c r="AH483" s="279">
        <f t="shared" si="57"/>
        <v>15.235094642221579</v>
      </c>
      <c r="AI483" s="280">
        <f>T653*$E$745</f>
        <v>15.161959435740725</v>
      </c>
      <c r="AJ483" s="279">
        <f>AI483+($AX$483-$AI$483)/15</f>
        <v>15.155998955184113</v>
      </c>
      <c r="AK483" s="279">
        <f t="shared" ref="AK483:AW483" si="58">AJ483+($AX$483-$AI$483)/15</f>
        <v>15.150038474627502</v>
      </c>
      <c r="AL483" s="279">
        <f t="shared" si="58"/>
        <v>15.144077994070891</v>
      </c>
      <c r="AM483" s="279">
        <f t="shared" si="58"/>
        <v>15.138117513514279</v>
      </c>
      <c r="AN483" s="279">
        <f t="shared" si="58"/>
        <v>15.132157032957668</v>
      </c>
      <c r="AO483" s="279">
        <f t="shared" si="58"/>
        <v>15.126196552401057</v>
      </c>
      <c r="AP483" s="279">
        <f t="shared" si="58"/>
        <v>15.120236071844445</v>
      </c>
      <c r="AQ483" s="279">
        <f t="shared" si="58"/>
        <v>15.114275591287834</v>
      </c>
      <c r="AR483" s="279">
        <f t="shared" si="58"/>
        <v>15.108315110731223</v>
      </c>
      <c r="AS483" s="279">
        <f t="shared" si="58"/>
        <v>15.102354630174611</v>
      </c>
      <c r="AT483" s="279">
        <f t="shared" si="58"/>
        <v>15.096394149618</v>
      </c>
      <c r="AU483" s="279">
        <f t="shared" si="58"/>
        <v>15.090433669061388</v>
      </c>
      <c r="AV483" s="279">
        <f t="shared" si="58"/>
        <v>15.084473188504777</v>
      </c>
      <c r="AW483" s="279">
        <f t="shared" si="58"/>
        <v>15.078512707948166</v>
      </c>
      <c r="AX483" s="280">
        <f>AI483*$B$745</f>
        <v>15.072552227391549</v>
      </c>
      <c r="AY483" s="279">
        <f>AX483+($BM$483-$AX$483)/15</f>
        <v>15.082127028094042</v>
      </c>
      <c r="AZ483" s="279">
        <f t="shared" ref="AZ483:BL483" si="59">AY483+($BM$483-$AX$483)/15</f>
        <v>15.091701828796536</v>
      </c>
      <c r="BA483" s="279">
        <f t="shared" si="59"/>
        <v>15.101276629499029</v>
      </c>
      <c r="BB483" s="279">
        <f t="shared" si="59"/>
        <v>15.110851430201523</v>
      </c>
      <c r="BC483" s="279">
        <f t="shared" si="59"/>
        <v>15.120426230904016</v>
      </c>
      <c r="BD483" s="279">
        <f t="shared" si="59"/>
        <v>15.130001031606509</v>
      </c>
      <c r="BE483" s="279">
        <f t="shared" si="59"/>
        <v>15.139575832309003</v>
      </c>
      <c r="BF483" s="279">
        <f t="shared" si="59"/>
        <v>15.149150633011496</v>
      </c>
      <c r="BG483" s="279">
        <f t="shared" si="59"/>
        <v>15.15872543371399</v>
      </c>
      <c r="BH483" s="279">
        <f t="shared" si="59"/>
        <v>15.168300234416483</v>
      </c>
      <c r="BI483" s="279">
        <f t="shared" si="59"/>
        <v>15.177875035118976</v>
      </c>
      <c r="BJ483" s="279">
        <f t="shared" si="59"/>
        <v>15.18744983582147</v>
      </c>
      <c r="BK483" s="279">
        <f t="shared" si="59"/>
        <v>15.197024636523963</v>
      </c>
      <c r="BL483" s="279">
        <f t="shared" si="59"/>
        <v>15.206599437226457</v>
      </c>
      <c r="BM483" s="280">
        <f>AX483*$C$745</f>
        <v>15.216174237928941</v>
      </c>
      <c r="BN483" s="279">
        <f>BM483+($BR$483-$BM$483)/5</f>
        <v>15.225840274150585</v>
      </c>
      <c r="BO483" s="279">
        <f>BN483+($BR$483-$BM$483)/5</f>
        <v>15.235506310372228</v>
      </c>
      <c r="BP483" s="279">
        <f>BO483+($BR$483-$BM$483)/5</f>
        <v>15.245172346593872</v>
      </c>
      <c r="BQ483" s="279">
        <f>BP483+($BR$483-$BM$483)/5</f>
        <v>15.254838382815516</v>
      </c>
      <c r="BR483" s="280">
        <f>BM483*$D$745</f>
        <v>15.264504419037157</v>
      </c>
    </row>
    <row r="484" spans="1:70" x14ac:dyDescent="0.25">
      <c r="A484" s="300" t="s">
        <v>644</v>
      </c>
      <c r="B484" s="300"/>
      <c r="C484" s="300"/>
      <c r="D484" s="300"/>
      <c r="E484" s="300"/>
      <c r="F484" s="300"/>
      <c r="G484" s="300"/>
      <c r="H484" s="300"/>
      <c r="I484" s="300"/>
      <c r="J484" s="300"/>
      <c r="K484" s="300"/>
      <c r="L484" s="300"/>
      <c r="M484" s="300"/>
      <c r="N484" s="300"/>
      <c r="O484" s="300"/>
      <c r="P484" s="300"/>
      <c r="Q484" s="300"/>
      <c r="R484" s="300"/>
      <c r="S484" s="300"/>
      <c r="T484" s="300"/>
      <c r="U484" s="300"/>
      <c r="V484" s="300"/>
      <c r="W484" s="300"/>
      <c r="X484" s="300"/>
      <c r="Y484" s="300"/>
      <c r="Z484" s="300"/>
    </row>
    <row r="485" spans="1:70" x14ac:dyDescent="0.25">
      <c r="A485" s="300" t="s">
        <v>645</v>
      </c>
      <c r="B485" s="300"/>
      <c r="C485" s="300"/>
      <c r="D485" s="300"/>
      <c r="E485" s="300"/>
      <c r="F485" s="300"/>
      <c r="G485" s="300"/>
      <c r="H485" s="300"/>
      <c r="I485" s="300"/>
      <c r="J485" s="300"/>
      <c r="K485" s="300"/>
      <c r="L485" s="300"/>
      <c r="M485" s="300"/>
      <c r="N485" s="300"/>
      <c r="O485" s="300"/>
      <c r="P485" s="300"/>
      <c r="Q485" s="300"/>
      <c r="R485" s="300"/>
      <c r="S485" s="300"/>
      <c r="T485" s="300"/>
      <c r="U485" s="300"/>
      <c r="V485" s="300"/>
      <c r="W485" s="300"/>
      <c r="X485" s="300"/>
      <c r="Y485" s="300"/>
      <c r="Z485" s="300"/>
    </row>
    <row r="486" spans="1:70" x14ac:dyDescent="0.25">
      <c r="A486" s="300" t="s">
        <v>646</v>
      </c>
      <c r="B486" s="300"/>
      <c r="C486" s="300"/>
      <c r="D486" s="300"/>
      <c r="E486" s="300"/>
      <c r="F486" s="300"/>
      <c r="G486" s="300"/>
      <c r="H486" s="300"/>
      <c r="I486" s="300"/>
      <c r="J486" s="300"/>
      <c r="K486" s="300"/>
      <c r="L486" s="300"/>
      <c r="M486" s="300"/>
      <c r="N486" s="300"/>
      <c r="O486" s="300"/>
      <c r="P486" s="300"/>
      <c r="Q486" s="300"/>
      <c r="R486" s="300"/>
      <c r="S486" s="300"/>
      <c r="T486" s="300"/>
      <c r="U486" s="300"/>
      <c r="V486" s="300"/>
      <c r="W486" s="300"/>
      <c r="X486" s="300"/>
      <c r="Y486" s="300"/>
      <c r="Z486" s="300"/>
    </row>
    <row r="487" spans="1:70" ht="13.8" thickBot="1" x14ac:dyDescent="0.3">
      <c r="A487" s="300" t="s">
        <v>647</v>
      </c>
      <c r="B487" s="300"/>
      <c r="C487" s="300"/>
      <c r="D487" s="300"/>
      <c r="E487" s="300"/>
      <c r="F487" s="300"/>
      <c r="G487" s="300"/>
      <c r="H487" s="300"/>
      <c r="I487" s="300"/>
      <c r="J487" s="300"/>
      <c r="K487" s="300"/>
      <c r="L487" s="300"/>
      <c r="M487" s="300"/>
      <c r="N487" s="300"/>
      <c r="O487" s="300"/>
      <c r="P487" s="300"/>
      <c r="Q487" s="300"/>
      <c r="R487" s="300"/>
      <c r="S487" s="300"/>
      <c r="T487" s="300"/>
      <c r="U487" s="300"/>
      <c r="V487" s="300"/>
      <c r="W487" s="300"/>
      <c r="X487" s="300"/>
      <c r="Y487" s="300"/>
      <c r="Z487" s="300"/>
    </row>
    <row r="488" spans="1:70" ht="13.8" thickBot="1" x14ac:dyDescent="0.3">
      <c r="A488" s="300" t="s">
        <v>648</v>
      </c>
      <c r="B488" s="300"/>
      <c r="C488" s="300"/>
      <c r="D488" s="300"/>
      <c r="E488" s="300"/>
      <c r="F488" s="300"/>
      <c r="G488" s="300"/>
      <c r="H488" s="300"/>
      <c r="I488" s="300"/>
      <c r="J488" s="300"/>
      <c r="K488" s="300"/>
      <c r="L488" s="300"/>
      <c r="M488" s="300"/>
      <c r="N488" s="300"/>
      <c r="O488" s="300"/>
      <c r="P488" s="300"/>
      <c r="Q488" s="300"/>
      <c r="R488" s="300"/>
      <c r="S488" s="300"/>
      <c r="T488" s="300"/>
      <c r="U488" s="300"/>
      <c r="V488" s="300"/>
      <c r="W488" s="300"/>
      <c r="X488" s="300"/>
      <c r="Y488" s="300"/>
      <c r="Z488" s="300"/>
      <c r="AA488" s="281">
        <f>Z658+($AI$488-$Y$658)/10</f>
        <v>13.224797394153365</v>
      </c>
      <c r="AB488" s="281">
        <f t="shared" ref="AB488:AH488" si="60">AA488+($AI$488-$Y$658)/10</f>
        <v>13.589441040570847</v>
      </c>
      <c r="AC488" s="281">
        <f t="shared" si="60"/>
        <v>13.954084686988329</v>
      </c>
      <c r="AD488" s="281">
        <f t="shared" si="60"/>
        <v>14.318728333405812</v>
      </c>
      <c r="AE488" s="281">
        <f t="shared" si="60"/>
        <v>14.683371979823294</v>
      </c>
      <c r="AF488" s="281">
        <f t="shared" si="60"/>
        <v>15.048015626240776</v>
      </c>
      <c r="AG488" s="281">
        <f t="shared" si="60"/>
        <v>15.412659272658258</v>
      </c>
      <c r="AH488" s="281">
        <f t="shared" si="60"/>
        <v>15.777302919075741</v>
      </c>
      <c r="AI488" s="282">
        <f>T658*$E$744</f>
        <v>16.141946565493228</v>
      </c>
      <c r="AJ488" s="281">
        <f>AI488+($AX$488-$AI$488)/15</f>
        <v>16.312798018423909</v>
      </c>
      <c r="AK488" s="281">
        <f t="shared" ref="AK488:AW488" si="61">AJ488+($AX$488-$AI$488)/15</f>
        <v>16.483649471354589</v>
      </c>
      <c r="AL488" s="281">
        <f t="shared" si="61"/>
        <v>16.654500924285269</v>
      </c>
      <c r="AM488" s="281">
        <f t="shared" si="61"/>
        <v>16.82535237721595</v>
      </c>
      <c r="AN488" s="281">
        <f t="shared" si="61"/>
        <v>16.99620383014663</v>
      </c>
      <c r="AO488" s="281">
        <f t="shared" si="61"/>
        <v>17.16705528307731</v>
      </c>
      <c r="AP488" s="281">
        <f t="shared" si="61"/>
        <v>17.337906736007991</v>
      </c>
      <c r="AQ488" s="281">
        <f t="shared" si="61"/>
        <v>17.508758188938671</v>
      </c>
      <c r="AR488" s="281">
        <f t="shared" si="61"/>
        <v>17.679609641869352</v>
      </c>
      <c r="AS488" s="281">
        <f t="shared" si="61"/>
        <v>17.850461094800032</v>
      </c>
      <c r="AT488" s="281">
        <f t="shared" si="61"/>
        <v>18.021312547730712</v>
      </c>
      <c r="AU488" s="281">
        <f t="shared" si="61"/>
        <v>18.192164000661393</v>
      </c>
      <c r="AV488" s="281">
        <f t="shared" si="61"/>
        <v>18.363015453592073</v>
      </c>
      <c r="AW488" s="281">
        <f t="shared" si="61"/>
        <v>18.533866906522753</v>
      </c>
      <c r="AX488" s="282">
        <f>AI488*$B$744</f>
        <v>18.704718359453445</v>
      </c>
      <c r="AY488" s="281">
        <f>AX488+($BM$488-$AX$488)/15</f>
        <v>18.811222625087144</v>
      </c>
      <c r="AZ488" s="281">
        <f t="shared" ref="AZ488:BL488" si="62">AY488+($BM$488-$AX$488)/15</f>
        <v>18.917726890720843</v>
      </c>
      <c r="BA488" s="281">
        <f t="shared" si="62"/>
        <v>19.024231156354542</v>
      </c>
      <c r="BB488" s="281">
        <f t="shared" si="62"/>
        <v>19.130735421988241</v>
      </c>
      <c r="BC488" s="281">
        <f t="shared" si="62"/>
        <v>19.23723968762194</v>
      </c>
      <c r="BD488" s="281">
        <f t="shared" si="62"/>
        <v>19.34374395325564</v>
      </c>
      <c r="BE488" s="281">
        <f t="shared" si="62"/>
        <v>19.450248218889339</v>
      </c>
      <c r="BF488" s="281">
        <f t="shared" si="62"/>
        <v>19.556752484523038</v>
      </c>
      <c r="BG488" s="281">
        <f t="shared" si="62"/>
        <v>19.663256750156737</v>
      </c>
      <c r="BH488" s="281">
        <f t="shared" si="62"/>
        <v>19.769761015790436</v>
      </c>
      <c r="BI488" s="281">
        <f t="shared" si="62"/>
        <v>19.876265281424136</v>
      </c>
      <c r="BJ488" s="281">
        <f t="shared" si="62"/>
        <v>19.982769547057835</v>
      </c>
      <c r="BK488" s="281">
        <f t="shared" si="62"/>
        <v>20.089273812691534</v>
      </c>
      <c r="BL488" s="281">
        <f t="shared" si="62"/>
        <v>20.195778078325233</v>
      </c>
      <c r="BM488" s="282">
        <f>AX488*$C$744</f>
        <v>20.302282343958908</v>
      </c>
      <c r="BN488" s="281">
        <f>BM488+($BR$488-$BM$488)/5</f>
        <v>20.417883104696291</v>
      </c>
      <c r="BO488" s="281">
        <f>BN488+($BR$488-$BM$488)/5</f>
        <v>20.533483865433674</v>
      </c>
      <c r="BP488" s="281">
        <f>BO488+($BR$488-$BM$488)/5</f>
        <v>20.649084626171057</v>
      </c>
      <c r="BQ488" s="281">
        <f>BP488+($BR$488-$BM$488)/5</f>
        <v>20.76468538690844</v>
      </c>
      <c r="BR488" s="282">
        <f>BM488*$D$744</f>
        <v>20.880286147645826</v>
      </c>
    </row>
    <row r="489" spans="1:70" ht="13.8" thickBot="1" x14ac:dyDescent="0.3">
      <c r="A489" s="300" t="s">
        <v>649</v>
      </c>
      <c r="B489" s="300"/>
      <c r="C489" s="300"/>
      <c r="D489" s="300"/>
      <c r="E489" s="300"/>
      <c r="F489" s="300"/>
      <c r="G489" s="300"/>
      <c r="H489" s="300"/>
      <c r="I489" s="300"/>
      <c r="J489" s="300"/>
      <c r="K489" s="300"/>
      <c r="L489" s="300"/>
      <c r="M489" s="300"/>
      <c r="N489" s="300"/>
      <c r="O489" s="300"/>
      <c r="P489" s="300"/>
      <c r="Q489" s="300"/>
      <c r="R489" s="300"/>
      <c r="S489" s="300"/>
      <c r="T489" s="300"/>
      <c r="U489" s="300"/>
      <c r="V489" s="300"/>
      <c r="W489" s="300"/>
      <c r="X489" s="300"/>
      <c r="Y489" s="300"/>
      <c r="Z489" s="300"/>
    </row>
    <row r="490" spans="1:70" ht="13.8" thickBot="1" x14ac:dyDescent="0.3">
      <c r="A490" s="300" t="s">
        <v>650</v>
      </c>
      <c r="B490" s="300"/>
      <c r="C490" s="300"/>
      <c r="D490" s="300"/>
      <c r="E490" s="300"/>
      <c r="F490" s="300"/>
      <c r="G490" s="300"/>
      <c r="H490" s="300"/>
      <c r="I490" s="300"/>
      <c r="J490" s="300"/>
      <c r="K490" s="300"/>
      <c r="L490" s="300"/>
      <c r="M490" s="300"/>
      <c r="N490" s="300"/>
      <c r="O490" s="300"/>
      <c r="P490" s="300"/>
      <c r="Q490" s="300"/>
      <c r="R490" s="300"/>
      <c r="S490" s="300"/>
      <c r="T490" s="300"/>
      <c r="U490" s="300"/>
      <c r="V490" s="300"/>
      <c r="W490" s="300"/>
      <c r="X490" s="300"/>
      <c r="Y490" s="300"/>
      <c r="Z490" s="300"/>
      <c r="AA490" s="281">
        <f>Z660+($AI$490-$Y$660)/10</f>
        <v>15.4577980437679</v>
      </c>
      <c r="AB490" s="281">
        <f t="shared" ref="AB490:AH490" si="63">AA490+($AI$490-$Y$660)/10</f>
        <v>15.88385635596555</v>
      </c>
      <c r="AC490" s="281">
        <f t="shared" si="63"/>
        <v>16.309914668163202</v>
      </c>
      <c r="AD490" s="281">
        <f t="shared" si="63"/>
        <v>16.735972980360852</v>
      </c>
      <c r="AE490" s="281">
        <f t="shared" si="63"/>
        <v>17.162031292558503</v>
      </c>
      <c r="AF490" s="281">
        <f t="shared" si="63"/>
        <v>17.588089604756153</v>
      </c>
      <c r="AG490" s="281">
        <f t="shared" si="63"/>
        <v>18.014147916953803</v>
      </c>
      <c r="AH490" s="281">
        <f t="shared" si="63"/>
        <v>18.440206229151453</v>
      </c>
      <c r="AI490" s="282">
        <f>T660*$E$744</f>
        <v>18.866264541349103</v>
      </c>
      <c r="AJ490" s="281">
        <f>AI490+($AX$490-$AI$490)/15</f>
        <v>19.065951034869943</v>
      </c>
      <c r="AK490" s="281">
        <f t="shared" ref="AK490:AW490" si="64">AJ490+($AX$490-$AI$490)/15</f>
        <v>19.265637528390783</v>
      </c>
      <c r="AL490" s="281">
        <f t="shared" si="64"/>
        <v>19.465324021911623</v>
      </c>
      <c r="AM490" s="281">
        <f t="shared" si="64"/>
        <v>19.665010515432463</v>
      </c>
      <c r="AN490" s="281">
        <f t="shared" si="64"/>
        <v>19.864697008953303</v>
      </c>
      <c r="AO490" s="281">
        <f t="shared" si="64"/>
        <v>20.064383502474143</v>
      </c>
      <c r="AP490" s="281">
        <f t="shared" si="64"/>
        <v>20.264069995994983</v>
      </c>
      <c r="AQ490" s="281">
        <f t="shared" si="64"/>
        <v>20.463756489515823</v>
      </c>
      <c r="AR490" s="281">
        <f t="shared" si="64"/>
        <v>20.663442983036663</v>
      </c>
      <c r="AS490" s="281">
        <f t="shared" si="64"/>
        <v>20.863129476557503</v>
      </c>
      <c r="AT490" s="281">
        <f t="shared" si="64"/>
        <v>21.062815970078343</v>
      </c>
      <c r="AU490" s="281">
        <f t="shared" si="64"/>
        <v>21.262502463599183</v>
      </c>
      <c r="AV490" s="281">
        <f t="shared" si="64"/>
        <v>21.462188957120024</v>
      </c>
      <c r="AW490" s="281">
        <f t="shared" si="64"/>
        <v>21.661875450640864</v>
      </c>
      <c r="AX490" s="282">
        <f>AI490*$B$744</f>
        <v>21.861561944161682</v>
      </c>
      <c r="AY490" s="281">
        <f>AX490+($BM$490-$AX$490)/15</f>
        <v>21.986041209538687</v>
      </c>
      <c r="AZ490" s="281">
        <f t="shared" ref="AZ490:BL490" si="65">AY490+($BM$490-$AX$490)/15</f>
        <v>22.110520474915692</v>
      </c>
      <c r="BA490" s="281">
        <f t="shared" si="65"/>
        <v>22.234999740292697</v>
      </c>
      <c r="BB490" s="281">
        <f t="shared" si="65"/>
        <v>22.359479005669701</v>
      </c>
      <c r="BC490" s="281">
        <f t="shared" si="65"/>
        <v>22.483958271046706</v>
      </c>
      <c r="BD490" s="281">
        <f t="shared" si="65"/>
        <v>22.608437536423711</v>
      </c>
      <c r="BE490" s="281">
        <f t="shared" si="65"/>
        <v>22.732916801800716</v>
      </c>
      <c r="BF490" s="281">
        <f t="shared" si="65"/>
        <v>22.857396067177721</v>
      </c>
      <c r="BG490" s="281">
        <f t="shared" si="65"/>
        <v>22.981875332554726</v>
      </c>
      <c r="BH490" s="281">
        <f t="shared" si="65"/>
        <v>23.10635459793173</v>
      </c>
      <c r="BI490" s="281">
        <f t="shared" si="65"/>
        <v>23.230833863308735</v>
      </c>
      <c r="BJ490" s="281">
        <f t="shared" si="65"/>
        <v>23.35531312868574</v>
      </c>
      <c r="BK490" s="281">
        <f t="shared" si="65"/>
        <v>23.479792394062745</v>
      </c>
      <c r="BL490" s="281">
        <f t="shared" si="65"/>
        <v>23.60427165943975</v>
      </c>
      <c r="BM490" s="282">
        <f>AX490*$C$744</f>
        <v>23.728750924816747</v>
      </c>
      <c r="BN490" s="281">
        <f>BM490+($BR$490-$BM$490)/5</f>
        <v>23.863861924249427</v>
      </c>
      <c r="BO490" s="281">
        <f>BN490+($BR$490-$BM$490)/5</f>
        <v>23.998972923682107</v>
      </c>
      <c r="BP490" s="281">
        <f>BO490+($BR$490-$BM$490)/5</f>
        <v>24.134083923114787</v>
      </c>
      <c r="BQ490" s="281">
        <f>BP490+($BR$490-$BM$490)/5</f>
        <v>24.269194922547467</v>
      </c>
      <c r="BR490" s="282">
        <f>BM490*$D$744</f>
        <v>24.404305921980139</v>
      </c>
    </row>
    <row r="491" spans="1:70" x14ac:dyDescent="0.25">
      <c r="A491" s="300" t="s">
        <v>652</v>
      </c>
      <c r="B491" s="300"/>
      <c r="C491" s="300"/>
      <c r="D491" s="300"/>
      <c r="E491" s="300"/>
      <c r="F491" s="300"/>
      <c r="G491" s="300"/>
      <c r="H491" s="300"/>
      <c r="I491" s="300"/>
      <c r="J491" s="300"/>
      <c r="K491" s="300"/>
      <c r="L491" s="300"/>
      <c r="M491" s="300"/>
      <c r="N491" s="300"/>
      <c r="O491" s="300"/>
      <c r="P491" s="300"/>
      <c r="Q491" s="300"/>
      <c r="R491" s="300"/>
      <c r="S491" s="300"/>
      <c r="T491" s="300"/>
      <c r="U491" s="300"/>
      <c r="V491" s="300"/>
      <c r="W491" s="300"/>
      <c r="X491" s="300"/>
      <c r="Y491" s="300"/>
      <c r="Z491" s="300"/>
    </row>
    <row r="492" spans="1:70" x14ac:dyDescent="0.25">
      <c r="A492" s="300" t="s">
        <v>913</v>
      </c>
      <c r="B492" s="300"/>
      <c r="C492" s="300"/>
      <c r="D492" s="300"/>
      <c r="E492" s="300"/>
      <c r="F492" s="300"/>
      <c r="G492" s="300"/>
      <c r="H492" s="300"/>
      <c r="I492" s="300"/>
      <c r="J492" s="300"/>
      <c r="K492" s="300"/>
      <c r="L492" s="300"/>
      <c r="M492" s="300"/>
      <c r="N492" s="300"/>
      <c r="O492" s="300"/>
      <c r="P492" s="300"/>
      <c r="Q492" s="300"/>
      <c r="R492" s="300"/>
      <c r="S492" s="300"/>
      <c r="T492" s="300"/>
      <c r="U492" s="300"/>
      <c r="V492" s="300"/>
      <c r="W492" s="300"/>
      <c r="X492" s="300"/>
      <c r="Y492" s="300"/>
      <c r="Z492" s="300"/>
    </row>
    <row r="493" spans="1:70" ht="13.8" thickBot="1" x14ac:dyDescent="0.3">
      <c r="A493" s="300" t="s">
        <v>914</v>
      </c>
      <c r="B493" s="300"/>
      <c r="C493" s="300"/>
      <c r="D493" s="300"/>
      <c r="E493" s="300"/>
      <c r="F493" s="300"/>
      <c r="G493" s="300"/>
      <c r="H493" s="300"/>
      <c r="I493" s="300"/>
      <c r="J493" s="300"/>
      <c r="K493" s="300"/>
      <c r="L493" s="300"/>
      <c r="M493" s="300"/>
      <c r="N493" s="300"/>
      <c r="O493" s="300"/>
      <c r="P493" s="300"/>
      <c r="Q493" s="300"/>
      <c r="R493" s="300"/>
      <c r="S493" s="300"/>
      <c r="T493" s="300"/>
      <c r="U493" s="300"/>
      <c r="V493" s="300"/>
      <c r="W493" s="300"/>
      <c r="X493" s="300"/>
      <c r="Y493" s="300"/>
      <c r="Z493" s="300"/>
    </row>
    <row r="494" spans="1:70" ht="13.8" thickBot="1" x14ac:dyDescent="0.3">
      <c r="A494" s="300" t="s">
        <v>936</v>
      </c>
      <c r="B494" s="300"/>
      <c r="C494" s="300"/>
      <c r="D494" s="300"/>
      <c r="E494" s="300"/>
      <c r="F494" s="300"/>
      <c r="G494" s="300"/>
      <c r="H494" s="300"/>
      <c r="I494" s="300"/>
      <c r="J494" s="300"/>
      <c r="K494" s="300"/>
      <c r="L494" s="300"/>
      <c r="M494" s="300"/>
      <c r="N494" s="300"/>
      <c r="O494" s="300"/>
      <c r="P494" s="300"/>
      <c r="Q494" s="300"/>
      <c r="R494" s="300"/>
      <c r="S494" s="300"/>
      <c r="T494" s="300"/>
      <c r="U494" s="300"/>
      <c r="V494" s="300"/>
      <c r="W494" s="300"/>
      <c r="X494" s="300"/>
      <c r="Y494" s="300"/>
      <c r="Z494" s="300"/>
      <c r="AA494" s="283">
        <f>Z664+($AI$494-$Y$664)/10</f>
        <v>19.493346965415647</v>
      </c>
      <c r="AB494" s="283">
        <f t="shared" ref="AB494:AH494" si="66">AA494+($AI$494-$Y$664)/10</f>
        <v>19.39274662152437</v>
      </c>
      <c r="AC494" s="283">
        <f t="shared" si="66"/>
        <v>19.292146277633094</v>
      </c>
      <c r="AD494" s="283">
        <f t="shared" si="66"/>
        <v>19.191545933741818</v>
      </c>
      <c r="AE494" s="283">
        <f t="shared" si="66"/>
        <v>19.090945589850541</v>
      </c>
      <c r="AF494" s="283">
        <f t="shared" si="66"/>
        <v>18.990345245959265</v>
      </c>
      <c r="AG494" s="283">
        <f t="shared" si="66"/>
        <v>18.889744902067989</v>
      </c>
      <c r="AH494" s="283">
        <f t="shared" si="66"/>
        <v>18.789144558176712</v>
      </c>
      <c r="AI494" s="284">
        <f>T664*$E$747</f>
        <v>18.68854421428545</v>
      </c>
      <c r="AJ494" s="283">
        <f>AI494+($AX$494-$AI$494)/15</f>
        <v>18.700972398006513</v>
      </c>
      <c r="AK494" s="283">
        <f t="shared" ref="AK494:AW494" si="67">AJ494+($AX$494-$AI$494)/15</f>
        <v>18.713400581727576</v>
      </c>
      <c r="AL494" s="283">
        <f t="shared" si="67"/>
        <v>18.72582876544864</v>
      </c>
      <c r="AM494" s="283">
        <f t="shared" si="67"/>
        <v>18.738256949169703</v>
      </c>
      <c r="AN494" s="283">
        <f t="shared" si="67"/>
        <v>18.750685132890766</v>
      </c>
      <c r="AO494" s="283">
        <f t="shared" si="67"/>
        <v>18.763113316611829</v>
      </c>
      <c r="AP494" s="283">
        <f t="shared" si="67"/>
        <v>18.775541500332892</v>
      </c>
      <c r="AQ494" s="283">
        <f t="shared" si="67"/>
        <v>18.787969684053955</v>
      </c>
      <c r="AR494" s="283">
        <f t="shared" si="67"/>
        <v>18.800397867775018</v>
      </c>
      <c r="AS494" s="283">
        <f t="shared" si="67"/>
        <v>18.812826051496081</v>
      </c>
      <c r="AT494" s="283">
        <f t="shared" si="67"/>
        <v>18.825254235217145</v>
      </c>
      <c r="AU494" s="283">
        <f t="shared" si="67"/>
        <v>18.837682418938208</v>
      </c>
      <c r="AV494" s="283">
        <f t="shared" si="67"/>
        <v>18.850110602659271</v>
      </c>
      <c r="AW494" s="283">
        <f t="shared" si="67"/>
        <v>18.862538786380334</v>
      </c>
      <c r="AX494" s="284">
        <f>AI494*$B$747</f>
        <v>18.874966970101411</v>
      </c>
      <c r="AY494" s="283">
        <f>AX494+($BM$494-$AX$494)/15</f>
        <v>18.881381252955478</v>
      </c>
      <c r="AZ494" s="283">
        <f t="shared" ref="AZ494:BL494" si="68">AY494+($BM$494-$AX$494)/15</f>
        <v>18.887795535809545</v>
      </c>
      <c r="BA494" s="283">
        <f t="shared" si="68"/>
        <v>18.894209818663612</v>
      </c>
      <c r="BB494" s="283">
        <f t="shared" si="68"/>
        <v>18.900624101517678</v>
      </c>
      <c r="BC494" s="283">
        <f t="shared" si="68"/>
        <v>18.907038384371745</v>
      </c>
      <c r="BD494" s="283">
        <f t="shared" si="68"/>
        <v>18.913452667225812</v>
      </c>
      <c r="BE494" s="283">
        <f t="shared" si="68"/>
        <v>18.919866950079879</v>
      </c>
      <c r="BF494" s="283">
        <f t="shared" si="68"/>
        <v>18.926281232933945</v>
      </c>
      <c r="BG494" s="283">
        <f t="shared" si="68"/>
        <v>18.932695515788012</v>
      </c>
      <c r="BH494" s="283">
        <f t="shared" si="68"/>
        <v>18.939109798642079</v>
      </c>
      <c r="BI494" s="283">
        <f t="shared" si="68"/>
        <v>18.945524081496146</v>
      </c>
      <c r="BJ494" s="283">
        <f t="shared" si="68"/>
        <v>18.951938364350212</v>
      </c>
      <c r="BK494" s="283">
        <f t="shared" si="68"/>
        <v>18.958352647204279</v>
      </c>
      <c r="BL494" s="283">
        <f t="shared" si="68"/>
        <v>18.964766930058346</v>
      </c>
      <c r="BM494" s="284">
        <f>AX494*$C$747</f>
        <v>18.971181212912409</v>
      </c>
      <c r="BN494" s="283">
        <f>BM494+($BR$494-$BM$494)/5</f>
        <v>18.97762819226703</v>
      </c>
      <c r="BO494" s="283">
        <f>BN494+($BR$494-$BM$494)/5</f>
        <v>18.984075171621651</v>
      </c>
      <c r="BP494" s="283">
        <f>BO494+($BR$494-$BM$494)/5</f>
        <v>18.990522150976272</v>
      </c>
      <c r="BQ494" s="283">
        <f>BP494+($BR$494-$BM$494)/5</f>
        <v>18.996969130330893</v>
      </c>
      <c r="BR494" s="284">
        <f>BM494*$D$747</f>
        <v>19.003416109685507</v>
      </c>
    </row>
    <row r="495" spans="1:70" x14ac:dyDescent="0.25">
      <c r="A495" s="300" t="s">
        <v>937</v>
      </c>
      <c r="B495" s="300"/>
      <c r="C495" s="300"/>
      <c r="D495" s="300"/>
      <c r="E495" s="300"/>
      <c r="F495" s="300"/>
      <c r="G495" s="300"/>
      <c r="H495" s="300"/>
      <c r="I495" s="300"/>
      <c r="J495" s="300"/>
      <c r="K495" s="300"/>
      <c r="L495" s="300"/>
      <c r="M495" s="300"/>
      <c r="N495" s="300"/>
      <c r="O495" s="300"/>
      <c r="P495" s="300"/>
      <c r="Q495" s="300"/>
      <c r="R495" s="300"/>
      <c r="S495" s="300"/>
      <c r="T495" s="300"/>
      <c r="U495" s="300"/>
      <c r="V495" s="300"/>
      <c r="W495" s="300"/>
      <c r="X495" s="300"/>
      <c r="Y495" s="300"/>
      <c r="Z495" s="300"/>
    </row>
    <row r="496" spans="1:70" x14ac:dyDescent="0.25">
      <c r="A496" s="300" t="s">
        <v>958</v>
      </c>
      <c r="B496" s="300"/>
      <c r="C496" s="300"/>
      <c r="D496" s="300"/>
      <c r="E496" s="300"/>
      <c r="F496" s="300"/>
      <c r="G496" s="300"/>
      <c r="H496" s="300"/>
      <c r="I496" s="300"/>
      <c r="J496" s="300"/>
      <c r="K496" s="300"/>
      <c r="L496" s="300"/>
      <c r="M496" s="300"/>
      <c r="N496" s="300"/>
      <c r="O496" s="300"/>
      <c r="P496" s="300"/>
      <c r="Q496" s="300"/>
      <c r="R496" s="300"/>
      <c r="S496" s="300"/>
      <c r="T496" s="300"/>
      <c r="U496" s="300"/>
      <c r="V496" s="300"/>
      <c r="W496" s="300"/>
      <c r="X496" s="300"/>
      <c r="Y496" s="300"/>
      <c r="Z496" s="300"/>
    </row>
    <row r="499" spans="1:70" ht="13.8" thickBot="1" x14ac:dyDescent="0.3"/>
    <row r="500" spans="1:70" x14ac:dyDescent="0.25">
      <c r="A500" s="240" t="s">
        <v>432</v>
      </c>
      <c r="B500" s="241"/>
      <c r="C500" s="241"/>
      <c r="D500" s="242"/>
      <c r="E500" s="241"/>
      <c r="F500" s="241"/>
      <c r="G500" s="241"/>
      <c r="H500" s="241"/>
      <c r="I500" s="241"/>
      <c r="J500" s="241"/>
      <c r="K500" s="241"/>
      <c r="L500" s="241"/>
      <c r="M500" s="241"/>
      <c r="N500" s="241"/>
      <c r="O500" s="241"/>
      <c r="P500" s="241"/>
      <c r="Q500" s="241"/>
      <c r="R500" s="241"/>
      <c r="S500" s="241"/>
      <c r="T500" s="241"/>
      <c r="U500" s="241"/>
      <c r="V500" s="241"/>
      <c r="W500" s="241"/>
      <c r="X500" s="241"/>
      <c r="Y500" s="241"/>
    </row>
    <row r="501" spans="1:70" x14ac:dyDescent="0.25">
      <c r="A501" s="243" t="s">
        <v>433</v>
      </c>
      <c r="B501" s="244"/>
      <c r="C501" s="244"/>
      <c r="D501" s="244"/>
      <c r="E501" s="244"/>
      <c r="F501" s="244"/>
      <c r="G501" s="244"/>
      <c r="H501" s="244"/>
      <c r="I501" s="244"/>
      <c r="J501" s="244"/>
      <c r="K501" s="244"/>
      <c r="L501" s="244"/>
      <c r="M501" s="244"/>
      <c r="N501" s="244"/>
      <c r="O501" s="244"/>
      <c r="P501" s="244"/>
      <c r="Q501" s="244"/>
      <c r="R501" s="244"/>
      <c r="S501" s="244"/>
      <c r="T501" s="244"/>
      <c r="U501" s="244"/>
      <c r="V501" s="244"/>
      <c r="W501" s="244"/>
      <c r="X501" s="244"/>
      <c r="Y501" s="244"/>
    </row>
    <row r="502" spans="1:70" x14ac:dyDescent="0.25">
      <c r="A502" s="243" t="s">
        <v>846</v>
      </c>
      <c r="B502" s="244"/>
      <c r="C502" s="244"/>
      <c r="D502" s="244"/>
      <c r="E502" s="244"/>
      <c r="F502" s="244"/>
      <c r="G502" s="244"/>
      <c r="H502" s="244"/>
      <c r="I502" s="244"/>
      <c r="J502" s="244"/>
      <c r="K502" s="244"/>
      <c r="L502" s="244"/>
      <c r="M502" s="244"/>
      <c r="N502" s="244"/>
      <c r="O502" s="244"/>
      <c r="P502" s="244"/>
      <c r="Q502" s="244"/>
      <c r="R502" s="244"/>
      <c r="S502" s="244"/>
      <c r="T502" s="244"/>
      <c r="U502" s="244"/>
      <c r="V502" s="244"/>
      <c r="W502" s="244"/>
      <c r="X502" s="244"/>
      <c r="Y502" s="244"/>
    </row>
    <row r="503" spans="1:70" x14ac:dyDescent="0.25">
      <c r="A503" s="243" t="s">
        <v>847</v>
      </c>
      <c r="B503" s="244"/>
      <c r="C503" s="244"/>
      <c r="D503" s="244"/>
      <c r="E503" s="244"/>
      <c r="F503" s="244"/>
      <c r="G503" s="244"/>
      <c r="H503" s="244"/>
      <c r="I503" s="244"/>
      <c r="J503" s="244"/>
      <c r="K503" s="244"/>
      <c r="L503" s="244"/>
      <c r="M503" s="244"/>
      <c r="N503" s="244"/>
      <c r="O503" s="244"/>
      <c r="P503" s="244"/>
      <c r="Q503" s="244"/>
      <c r="R503" s="244"/>
      <c r="S503" s="244"/>
      <c r="T503" s="244"/>
      <c r="U503" s="244"/>
      <c r="V503" s="244"/>
      <c r="W503" s="244"/>
      <c r="X503" s="244"/>
      <c r="Y503" s="244"/>
    </row>
    <row r="504" spans="1:70" x14ac:dyDescent="0.25">
      <c r="A504" s="243" t="s">
        <v>434</v>
      </c>
      <c r="B504" s="244"/>
      <c r="C504" s="244"/>
      <c r="D504" s="244"/>
      <c r="E504" s="244"/>
      <c r="F504" s="244"/>
      <c r="G504" s="244"/>
      <c r="H504" s="244"/>
      <c r="I504" s="244"/>
      <c r="J504" s="244"/>
      <c r="K504" s="244"/>
      <c r="L504" s="244"/>
      <c r="M504" s="244"/>
      <c r="N504" s="244"/>
      <c r="O504" s="244"/>
      <c r="P504" s="244"/>
      <c r="Q504" s="244"/>
      <c r="R504" s="244"/>
      <c r="S504" s="244"/>
      <c r="T504" s="244"/>
      <c r="U504" s="244"/>
      <c r="V504" s="244"/>
      <c r="W504" s="244"/>
      <c r="X504" s="244"/>
      <c r="Y504" s="244"/>
    </row>
    <row r="505" spans="1:70" ht="13.8" thickBot="1" x14ac:dyDescent="0.3">
      <c r="A505" s="243" t="s">
        <v>435</v>
      </c>
      <c r="B505" s="244"/>
      <c r="C505" s="244"/>
      <c r="D505" s="244"/>
      <c r="E505" s="244"/>
      <c r="F505" s="244"/>
      <c r="G505" s="244"/>
      <c r="H505" s="244"/>
      <c r="I505" s="244"/>
      <c r="J505" s="244"/>
      <c r="K505" s="244"/>
      <c r="L505" s="244"/>
      <c r="M505" s="244"/>
      <c r="N505" s="244"/>
      <c r="O505" s="244"/>
      <c r="P505" s="244"/>
      <c r="Q505" s="244"/>
      <c r="R505" s="244"/>
      <c r="S505" s="244"/>
      <c r="T505" s="244"/>
      <c r="U505" s="244"/>
      <c r="V505" s="244"/>
      <c r="W505" s="244"/>
      <c r="X505" s="244"/>
      <c r="Y505" s="244"/>
    </row>
    <row r="506" spans="1:70" ht="13.8" thickBot="1" x14ac:dyDescent="0.3">
      <c r="A506" s="245" t="s">
        <v>436</v>
      </c>
      <c r="B506" s="244"/>
      <c r="C506" s="244"/>
      <c r="D506" s="244"/>
      <c r="E506" s="244"/>
      <c r="F506" s="244"/>
      <c r="G506" s="244"/>
      <c r="H506" s="244"/>
      <c r="I506" s="244"/>
      <c r="J506" s="244"/>
      <c r="K506" s="244"/>
      <c r="L506" s="244"/>
      <c r="M506" s="244"/>
      <c r="N506" s="244"/>
      <c r="O506" s="244"/>
      <c r="P506" s="244"/>
      <c r="Q506" s="244"/>
      <c r="R506" s="244"/>
      <c r="S506" s="244"/>
      <c r="T506" s="244"/>
      <c r="U506" s="244"/>
      <c r="V506" s="244"/>
      <c r="W506" s="244"/>
      <c r="X506" s="244"/>
      <c r="Y506" s="244"/>
      <c r="AA506" s="277">
        <f>Z676+($AI$506-$Y$676)/10</f>
        <v>5.5529965108452508</v>
      </c>
      <c r="AB506" s="277">
        <f t="shared" ref="AB506:AH506" si="69">AA506+($AI$506-$Y$676)/10</f>
        <v>5.5809474506703411</v>
      </c>
      <c r="AC506" s="277">
        <f t="shared" si="69"/>
        <v>5.6088983904954315</v>
      </c>
      <c r="AD506" s="277">
        <f t="shared" si="69"/>
        <v>5.6368493303205218</v>
      </c>
      <c r="AE506" s="277">
        <f t="shared" si="69"/>
        <v>5.6648002701456122</v>
      </c>
      <c r="AF506" s="277">
        <f t="shared" si="69"/>
        <v>5.6927512099707025</v>
      </c>
      <c r="AG506" s="277">
        <f t="shared" si="69"/>
        <v>5.7207021497957928</v>
      </c>
      <c r="AH506" s="277">
        <f t="shared" si="69"/>
        <v>5.7486530896208832</v>
      </c>
      <c r="AI506" s="278">
        <f>T676*$E$742</f>
        <v>5.77660402944597</v>
      </c>
      <c r="AJ506" s="277">
        <f>AI506+($AX$506-$AI$506)/15</f>
        <v>5.8419909425225587</v>
      </c>
      <c r="AK506" s="277">
        <f t="shared" ref="AK506:AW506" si="70">AJ506+($AX$506-$AI$506)/15</f>
        <v>5.9073778555991474</v>
      </c>
      <c r="AL506" s="277">
        <f t="shared" si="70"/>
        <v>5.9727647686757361</v>
      </c>
      <c r="AM506" s="277">
        <f t="shared" si="70"/>
        <v>6.0381516817523249</v>
      </c>
      <c r="AN506" s="277">
        <f t="shared" si="70"/>
        <v>6.1035385948289136</v>
      </c>
      <c r="AO506" s="277">
        <f t="shared" si="70"/>
        <v>6.1689255079055023</v>
      </c>
      <c r="AP506" s="277">
        <f t="shared" si="70"/>
        <v>6.234312420982091</v>
      </c>
      <c r="AQ506" s="277">
        <f t="shared" si="70"/>
        <v>6.2996993340586798</v>
      </c>
      <c r="AR506" s="277">
        <f t="shared" si="70"/>
        <v>6.3650862471352685</v>
      </c>
      <c r="AS506" s="277">
        <f t="shared" si="70"/>
        <v>6.4304731602118572</v>
      </c>
      <c r="AT506" s="277">
        <f t="shared" si="70"/>
        <v>6.4958600732884459</v>
      </c>
      <c r="AU506" s="277">
        <f t="shared" si="70"/>
        <v>6.5612469863650347</v>
      </c>
      <c r="AV506" s="277">
        <f t="shared" si="70"/>
        <v>6.6266338994416234</v>
      </c>
      <c r="AW506" s="277">
        <f t="shared" si="70"/>
        <v>6.6920208125182121</v>
      </c>
      <c r="AX506" s="278">
        <f>AI506*$B$742</f>
        <v>6.7574077255948062</v>
      </c>
      <c r="AY506" s="277">
        <f>AX506+($BM$506-$AX$506)/15</f>
        <v>6.8243179096825601</v>
      </c>
      <c r="AZ506" s="277">
        <f t="shared" ref="AZ506:BL506" si="71">AY506+($BM$506-$AX$506)/15</f>
        <v>6.8912280937703141</v>
      </c>
      <c r="BA506" s="277">
        <f t="shared" si="71"/>
        <v>6.958138277858068</v>
      </c>
      <c r="BB506" s="277">
        <f t="shared" si="71"/>
        <v>7.025048461945822</v>
      </c>
      <c r="BC506" s="277">
        <f t="shared" si="71"/>
        <v>7.091958646033576</v>
      </c>
      <c r="BD506" s="277">
        <f t="shared" si="71"/>
        <v>7.1588688301213299</v>
      </c>
      <c r="BE506" s="277">
        <f t="shared" si="71"/>
        <v>7.2257790142090839</v>
      </c>
      <c r="BF506" s="277">
        <f t="shared" si="71"/>
        <v>7.2926891982968378</v>
      </c>
      <c r="BG506" s="277">
        <f t="shared" si="71"/>
        <v>7.3595993823845918</v>
      </c>
      <c r="BH506" s="277">
        <f t="shared" si="71"/>
        <v>7.4265095664723457</v>
      </c>
      <c r="BI506" s="277">
        <f t="shared" si="71"/>
        <v>7.4934197505600997</v>
      </c>
      <c r="BJ506" s="277">
        <f t="shared" si="71"/>
        <v>7.5603299346478536</v>
      </c>
      <c r="BK506" s="277">
        <f t="shared" si="71"/>
        <v>7.6272401187356076</v>
      </c>
      <c r="BL506" s="277">
        <f t="shared" si="71"/>
        <v>7.6941503028233615</v>
      </c>
      <c r="BM506" s="278">
        <f>AX506*$C$742</f>
        <v>7.7610604869111093</v>
      </c>
      <c r="BN506" s="277">
        <f>BM506+($BR$506-$BM$506)/5</f>
        <v>7.8379085930167243</v>
      </c>
      <c r="BO506" s="277">
        <f>BN506+($BR$506-$BM$506)/5</f>
        <v>7.9147566991223393</v>
      </c>
      <c r="BP506" s="277">
        <f>BO506+($BR$506-$BM$506)/5</f>
        <v>7.9916048052279542</v>
      </c>
      <c r="BQ506" s="277">
        <f>BP506+($BR$506-$BM$506)/5</f>
        <v>8.0684529113335692</v>
      </c>
      <c r="BR506" s="278">
        <f>BM506*$D$742</f>
        <v>8.1453010174391842</v>
      </c>
    </row>
    <row r="507" spans="1:70" ht="13.8" thickBot="1" x14ac:dyDescent="0.3">
      <c r="A507" s="243"/>
      <c r="B507" s="244"/>
      <c r="C507" s="244"/>
      <c r="D507" s="244"/>
      <c r="E507" s="244"/>
      <c r="F507" s="244"/>
      <c r="G507" s="244"/>
      <c r="H507" s="244"/>
      <c r="I507" s="244"/>
      <c r="J507" s="244"/>
      <c r="K507" s="244"/>
      <c r="L507" s="244"/>
      <c r="M507" s="244"/>
      <c r="N507" s="244"/>
      <c r="O507" s="244"/>
      <c r="P507" s="244"/>
      <c r="Q507" s="244"/>
      <c r="R507" s="244"/>
      <c r="S507" s="244"/>
      <c r="T507" s="244"/>
      <c r="U507" s="244"/>
      <c r="V507" s="244"/>
      <c r="W507" s="244"/>
      <c r="X507" s="244"/>
      <c r="Y507" s="244"/>
      <c r="AA507" s="285">
        <f>Z677+($AI$507-$Y$677)/10</f>
        <v>1.3364941226202385</v>
      </c>
      <c r="AB507" s="285">
        <f t="shared" ref="AB507:AH507" si="72">AA507+($AI$507-$Y$677)/10</f>
        <v>1.3402060190972878</v>
      </c>
      <c r="AC507" s="285">
        <f t="shared" si="72"/>
        <v>1.343917915574337</v>
      </c>
      <c r="AD507" s="285">
        <f t="shared" si="72"/>
        <v>1.3476298120513863</v>
      </c>
      <c r="AE507" s="285">
        <f t="shared" si="72"/>
        <v>1.3513417085284356</v>
      </c>
      <c r="AF507" s="285">
        <f t="shared" si="72"/>
        <v>1.3550536050054849</v>
      </c>
      <c r="AG507" s="285">
        <f t="shared" si="72"/>
        <v>1.3587655014825342</v>
      </c>
      <c r="AH507" s="285">
        <f t="shared" si="72"/>
        <v>1.3624773979595834</v>
      </c>
      <c r="AI507" s="286">
        <f>T677*$E$740</f>
        <v>1.3661892944366323</v>
      </c>
      <c r="AJ507" s="285">
        <f>AI507+($AX$507-$AI$507)/15</f>
        <v>1.3701947313799723</v>
      </c>
      <c r="AK507" s="285">
        <f t="shared" ref="AK507:AW507" si="73">AJ507+($AX$507-$AI$507)/15</f>
        <v>1.3742001683233123</v>
      </c>
      <c r="AL507" s="285">
        <f t="shared" si="73"/>
        <v>1.3782056052666523</v>
      </c>
      <c r="AM507" s="285">
        <f t="shared" si="73"/>
        <v>1.3822110422099922</v>
      </c>
      <c r="AN507" s="285">
        <f t="shared" si="73"/>
        <v>1.3862164791533322</v>
      </c>
      <c r="AO507" s="285">
        <f t="shared" si="73"/>
        <v>1.3902219160966722</v>
      </c>
      <c r="AP507" s="285">
        <f t="shared" si="73"/>
        <v>1.3942273530400122</v>
      </c>
      <c r="AQ507" s="285">
        <f t="shared" si="73"/>
        <v>1.3982327899833522</v>
      </c>
      <c r="AR507" s="285">
        <f t="shared" si="73"/>
        <v>1.4022382269266922</v>
      </c>
      <c r="AS507" s="285">
        <f t="shared" si="73"/>
        <v>1.4062436638700322</v>
      </c>
      <c r="AT507" s="285">
        <f t="shared" si="73"/>
        <v>1.4102491008133722</v>
      </c>
      <c r="AU507" s="285">
        <f t="shared" si="73"/>
        <v>1.4142545377567122</v>
      </c>
      <c r="AV507" s="285">
        <f t="shared" si="73"/>
        <v>1.4182599747000522</v>
      </c>
      <c r="AW507" s="285">
        <f t="shared" si="73"/>
        <v>1.4222654116433922</v>
      </c>
      <c r="AX507" s="286">
        <f>AI507*$B$740</f>
        <v>1.4262708485867317</v>
      </c>
      <c r="AY507" s="285">
        <f>AX507+($BM$507-$AX$507)/15</f>
        <v>1.428975877834666</v>
      </c>
      <c r="AZ507" s="285">
        <f t="shared" ref="AZ507:BL507" si="74">AY507+($BM$507-$AX$507)/15</f>
        <v>1.4316809070826002</v>
      </c>
      <c r="BA507" s="285">
        <f t="shared" si="74"/>
        <v>1.4343859363305345</v>
      </c>
      <c r="BB507" s="285">
        <f t="shared" si="74"/>
        <v>1.4370909655784687</v>
      </c>
      <c r="BC507" s="285">
        <f t="shared" si="74"/>
        <v>1.439795994826403</v>
      </c>
      <c r="BD507" s="285">
        <f t="shared" si="74"/>
        <v>1.4425010240743372</v>
      </c>
      <c r="BE507" s="285">
        <f t="shared" si="74"/>
        <v>1.4452060533222715</v>
      </c>
      <c r="BF507" s="285">
        <f t="shared" si="74"/>
        <v>1.4479110825702057</v>
      </c>
      <c r="BG507" s="285">
        <f t="shared" si="74"/>
        <v>1.45061611181814</v>
      </c>
      <c r="BH507" s="285">
        <f t="shared" si="74"/>
        <v>1.4533211410660742</v>
      </c>
      <c r="BI507" s="285">
        <f t="shared" si="74"/>
        <v>1.4560261703140085</v>
      </c>
      <c r="BJ507" s="285">
        <f t="shared" si="74"/>
        <v>1.4587311995619427</v>
      </c>
      <c r="BK507" s="285">
        <f t="shared" si="74"/>
        <v>1.461436228809877</v>
      </c>
      <c r="BL507" s="285">
        <f t="shared" si="74"/>
        <v>1.4641412580578113</v>
      </c>
      <c r="BM507" s="286">
        <f>AX507*$C$740</f>
        <v>1.4668462873057471</v>
      </c>
      <c r="BN507" s="285">
        <f>BM507+($BR$507-$BM$507)/5</f>
        <v>1.4696282709053681</v>
      </c>
      <c r="BO507" s="285">
        <f>BN507+($BR$507-$BM$507)/5</f>
        <v>1.4724102545049891</v>
      </c>
      <c r="BP507" s="285">
        <f>BO507+($BR$507-$BM$507)/5</f>
        <v>1.4751922381046101</v>
      </c>
      <c r="BQ507" s="285">
        <f>BP507+($BR$507-$BM$507)/5</f>
        <v>1.4779742217042311</v>
      </c>
      <c r="BR507" s="286">
        <f>BM507*$D$740</f>
        <v>1.4807562053038525</v>
      </c>
    </row>
    <row r="508" spans="1:70" x14ac:dyDescent="0.25">
      <c r="A508" s="246" t="s">
        <v>437</v>
      </c>
      <c r="B508" s="244"/>
      <c r="C508" s="244"/>
      <c r="D508" s="244"/>
      <c r="E508" s="244"/>
      <c r="F508" s="244"/>
      <c r="G508" s="244"/>
      <c r="H508" s="244"/>
      <c r="I508" s="244"/>
      <c r="J508" s="244"/>
      <c r="K508" s="244"/>
      <c r="L508" s="244"/>
      <c r="M508" s="244"/>
      <c r="N508" s="244"/>
      <c r="O508" s="244"/>
      <c r="P508" s="244"/>
      <c r="Q508" s="244"/>
      <c r="R508" s="244"/>
      <c r="S508" s="244"/>
      <c r="T508" s="244"/>
      <c r="U508" s="244"/>
      <c r="V508" s="244"/>
      <c r="W508" s="244"/>
      <c r="X508" s="244"/>
      <c r="Y508" s="244"/>
    </row>
    <row r="509" spans="1:70" x14ac:dyDescent="0.25">
      <c r="A509" s="246" t="s">
        <v>438</v>
      </c>
      <c r="B509" s="244"/>
      <c r="C509" s="244"/>
      <c r="D509" s="244"/>
      <c r="E509" s="244"/>
      <c r="F509" s="244"/>
      <c r="G509" s="244"/>
      <c r="H509" s="244"/>
      <c r="I509" s="244"/>
      <c r="J509" s="244"/>
      <c r="K509" s="244"/>
      <c r="L509" s="244"/>
      <c r="M509" s="244"/>
      <c r="N509" s="244"/>
      <c r="O509" s="244"/>
      <c r="P509" s="244"/>
      <c r="Q509" s="244"/>
      <c r="R509" s="244"/>
      <c r="S509" s="244"/>
      <c r="T509" s="244"/>
      <c r="U509" s="244"/>
      <c r="V509" s="244"/>
      <c r="W509" s="244"/>
      <c r="X509" s="244"/>
      <c r="Y509" s="244"/>
    </row>
    <row r="510" spans="1:70" x14ac:dyDescent="0.25">
      <c r="A510" s="246"/>
      <c r="B510" s="244"/>
      <c r="C510" s="244"/>
      <c r="D510" s="244"/>
      <c r="E510" s="244"/>
      <c r="F510" s="244"/>
      <c r="G510" s="244"/>
      <c r="H510" s="244"/>
      <c r="I510" s="244"/>
      <c r="J510" s="244"/>
      <c r="K510" s="244"/>
      <c r="L510" s="244"/>
      <c r="M510" s="244"/>
      <c r="N510" s="244"/>
      <c r="O510" s="244"/>
      <c r="P510" s="244"/>
      <c r="Q510" s="244"/>
      <c r="R510" s="244"/>
      <c r="S510" s="244"/>
      <c r="T510" s="244"/>
      <c r="U510" s="244"/>
      <c r="V510" s="244"/>
      <c r="W510" s="244"/>
      <c r="X510" s="244"/>
      <c r="Y510" s="244"/>
    </row>
    <row r="511" spans="1:70" x14ac:dyDescent="0.25">
      <c r="A511" s="243" t="s">
        <v>430</v>
      </c>
      <c r="B511" s="244" t="s">
        <v>439</v>
      </c>
      <c r="C511" s="244" t="s">
        <v>440</v>
      </c>
      <c r="D511" s="244" t="s">
        <v>441</v>
      </c>
      <c r="E511" s="244" t="s">
        <v>442</v>
      </c>
      <c r="F511" s="244" t="s">
        <v>443</v>
      </c>
      <c r="G511" s="244" t="s">
        <v>444</v>
      </c>
      <c r="H511" s="244" t="s">
        <v>445</v>
      </c>
      <c r="I511" s="244" t="s">
        <v>446</v>
      </c>
      <c r="J511" s="244" t="s">
        <v>447</v>
      </c>
      <c r="K511" s="244" t="s">
        <v>448</v>
      </c>
      <c r="L511" s="244" t="s">
        <v>449</v>
      </c>
      <c r="M511" s="244" t="s">
        <v>450</v>
      </c>
      <c r="N511" s="244" t="s">
        <v>451</v>
      </c>
      <c r="O511" s="244" t="s">
        <v>452</v>
      </c>
      <c r="P511" s="244" t="s">
        <v>453</v>
      </c>
      <c r="Q511" s="244" t="s">
        <v>454</v>
      </c>
      <c r="R511" s="244" t="s">
        <v>455</v>
      </c>
      <c r="S511" s="244" t="s">
        <v>456</v>
      </c>
      <c r="T511" s="244" t="s">
        <v>457</v>
      </c>
      <c r="U511" s="244" t="s">
        <v>458</v>
      </c>
      <c r="V511" s="244" t="s">
        <v>459</v>
      </c>
      <c r="W511" s="244" t="s">
        <v>460</v>
      </c>
      <c r="X511" s="244" t="s">
        <v>461</v>
      </c>
      <c r="Y511" s="244" t="s">
        <v>462</v>
      </c>
      <c r="Z511">
        <v>2026</v>
      </c>
    </row>
    <row r="512" spans="1:70" x14ac:dyDescent="0.25">
      <c r="A512" s="243" t="s">
        <v>430</v>
      </c>
      <c r="B512" s="244" t="s">
        <v>430</v>
      </c>
      <c r="C512" s="244" t="s">
        <v>430</v>
      </c>
      <c r="D512" s="244" t="s">
        <v>430</v>
      </c>
      <c r="E512" s="244" t="s">
        <v>430</v>
      </c>
      <c r="F512" s="244" t="s">
        <v>430</v>
      </c>
      <c r="G512" s="244" t="s">
        <v>430</v>
      </c>
      <c r="H512" s="244" t="s">
        <v>430</v>
      </c>
      <c r="I512" s="244" t="s">
        <v>430</v>
      </c>
      <c r="J512" s="244" t="s">
        <v>430</v>
      </c>
      <c r="K512" s="244" t="s">
        <v>430</v>
      </c>
      <c r="L512" s="244" t="s">
        <v>430</v>
      </c>
      <c r="M512" s="244" t="s">
        <v>430</v>
      </c>
      <c r="N512" s="244" t="s">
        <v>430</v>
      </c>
      <c r="O512" s="244" t="s">
        <v>430</v>
      </c>
      <c r="P512" s="244" t="s">
        <v>430</v>
      </c>
      <c r="Q512" s="244" t="s">
        <v>430</v>
      </c>
      <c r="R512" s="244" t="s">
        <v>430</v>
      </c>
      <c r="S512" s="244" t="s">
        <v>430</v>
      </c>
      <c r="T512" s="244" t="s">
        <v>430</v>
      </c>
      <c r="U512" s="244" t="s">
        <v>430</v>
      </c>
      <c r="V512" s="244" t="s">
        <v>430</v>
      </c>
      <c r="W512" s="244" t="s">
        <v>430</v>
      </c>
      <c r="X512" s="244" t="s">
        <v>430</v>
      </c>
      <c r="Y512" s="244" t="s">
        <v>430</v>
      </c>
    </row>
    <row r="513" spans="1:26" x14ac:dyDescent="0.25">
      <c r="A513" s="243" t="s">
        <v>430</v>
      </c>
      <c r="B513" s="244" t="s">
        <v>430</v>
      </c>
      <c r="C513" s="244" t="s">
        <v>430</v>
      </c>
      <c r="D513" s="244" t="s">
        <v>430</v>
      </c>
      <c r="E513" s="244" t="s">
        <v>430</v>
      </c>
      <c r="F513" s="244" t="s">
        <v>430</v>
      </c>
      <c r="G513" s="244" t="s">
        <v>430</v>
      </c>
      <c r="H513" s="244" t="s">
        <v>430</v>
      </c>
      <c r="I513" s="244" t="s">
        <v>430</v>
      </c>
      <c r="J513" s="244" t="s">
        <v>430</v>
      </c>
      <c r="K513" s="244" t="s">
        <v>430</v>
      </c>
      <c r="L513" s="244" t="s">
        <v>430</v>
      </c>
      <c r="M513" s="244" t="s">
        <v>430</v>
      </c>
      <c r="N513" s="244" t="s">
        <v>430</v>
      </c>
      <c r="O513" s="244" t="s">
        <v>430</v>
      </c>
      <c r="P513" s="244" t="s">
        <v>430</v>
      </c>
      <c r="Q513" s="244" t="s">
        <v>430</v>
      </c>
      <c r="R513" s="244" t="s">
        <v>430</v>
      </c>
      <c r="S513" s="244" t="s">
        <v>430</v>
      </c>
      <c r="T513" s="244" t="s">
        <v>430</v>
      </c>
      <c r="U513" s="244" t="s">
        <v>430</v>
      </c>
      <c r="V513" s="244" t="s">
        <v>430</v>
      </c>
      <c r="W513" s="244" t="s">
        <v>430</v>
      </c>
      <c r="X513" s="244" t="s">
        <v>430</v>
      </c>
      <c r="Y513" s="244" t="s">
        <v>430</v>
      </c>
    </row>
    <row r="514" spans="1:26" x14ac:dyDescent="0.25">
      <c r="A514" s="243" t="s">
        <v>463</v>
      </c>
      <c r="B514" s="247">
        <v>15.0220499038696</v>
      </c>
      <c r="C514" s="247">
        <v>15.811363220214799</v>
      </c>
      <c r="D514" s="247">
        <v>16.4251308441162</v>
      </c>
      <c r="E514" s="247">
        <v>16.464759826660199</v>
      </c>
      <c r="F514" s="247">
        <v>15.680528640747101</v>
      </c>
      <c r="G514" s="247">
        <v>15.0112085342407</v>
      </c>
      <c r="H514" s="247">
        <v>14.5817928314209</v>
      </c>
      <c r="I514" s="247">
        <v>14.458288192749</v>
      </c>
      <c r="J514" s="247">
        <v>14.326377868652299</v>
      </c>
      <c r="K514" s="247">
        <v>14.293612480163601</v>
      </c>
      <c r="L514" s="247">
        <v>14.4205980300903</v>
      </c>
      <c r="M514" s="247">
        <v>14.6031141281128</v>
      </c>
      <c r="N514" s="247">
        <v>14.8352861404419</v>
      </c>
      <c r="O514" s="247">
        <v>14.979790687561</v>
      </c>
      <c r="P514" s="247">
        <v>15.0010738372803</v>
      </c>
      <c r="Q514" s="247">
        <v>15.073490142822299</v>
      </c>
      <c r="R514" s="247">
        <v>15.2468109130859</v>
      </c>
      <c r="S514" s="247">
        <v>15.482013702392599</v>
      </c>
      <c r="T514" s="247">
        <v>15.6422672271729</v>
      </c>
      <c r="U514" s="247">
        <v>15.809124946594199</v>
      </c>
      <c r="V514" s="247">
        <v>15.869408607482899</v>
      </c>
      <c r="W514" s="247">
        <v>15.910493850708001</v>
      </c>
      <c r="X514" s="247">
        <v>16.000511169433601</v>
      </c>
      <c r="Y514" s="247">
        <v>16.127393722534201</v>
      </c>
    </row>
    <row r="515" spans="1:26" x14ac:dyDescent="0.25">
      <c r="A515" s="243" t="s">
        <v>464</v>
      </c>
      <c r="B515" s="247">
        <v>8.3285751342773402</v>
      </c>
      <c r="C515" s="247">
        <v>9.67810153961182</v>
      </c>
      <c r="D515" s="247">
        <v>10.6516561508179</v>
      </c>
      <c r="E515" s="247">
        <v>10.5737972259521</v>
      </c>
      <c r="F515" s="247">
        <v>9.7301187515258807</v>
      </c>
      <c r="G515" s="247">
        <v>9.2126417160034197</v>
      </c>
      <c r="H515" s="247">
        <v>8.7946681976318395</v>
      </c>
      <c r="I515" s="247">
        <v>8.5506849288940394</v>
      </c>
      <c r="J515" s="247">
        <v>8.3542766571044904</v>
      </c>
      <c r="K515" s="247">
        <v>8.2684001922607404</v>
      </c>
      <c r="L515" s="247">
        <v>8.3419942855834996</v>
      </c>
      <c r="M515" s="247">
        <v>8.4596767425537092</v>
      </c>
      <c r="N515" s="247">
        <v>8.6078786849975604</v>
      </c>
      <c r="O515" s="247">
        <v>8.7398357391357404</v>
      </c>
      <c r="P515" s="247">
        <v>8.7483062744140607</v>
      </c>
      <c r="Q515" s="247">
        <v>8.7686567306518608</v>
      </c>
      <c r="R515" s="247">
        <v>8.8867673873901403</v>
      </c>
      <c r="S515" s="247">
        <v>9.0631914138793892</v>
      </c>
      <c r="T515" s="247">
        <v>9.2055320739746094</v>
      </c>
      <c r="U515" s="247">
        <v>9.3421277999877894</v>
      </c>
      <c r="V515" s="247">
        <v>9.4150266647338903</v>
      </c>
      <c r="W515" s="247">
        <v>9.4582109451293892</v>
      </c>
      <c r="X515" s="247">
        <v>9.5390539169311506</v>
      </c>
      <c r="Y515" s="247">
        <v>9.6245632171630895</v>
      </c>
    </row>
    <row r="516" spans="1:26" x14ac:dyDescent="0.25">
      <c r="A516" s="243" t="s">
        <v>465</v>
      </c>
      <c r="B516" s="247">
        <v>10.0436496734619</v>
      </c>
      <c r="C516" s="247">
        <v>11.266843795776399</v>
      </c>
      <c r="D516" s="247">
        <v>13.0600261688232</v>
      </c>
      <c r="E516" s="247">
        <v>12.5262813568115</v>
      </c>
      <c r="F516" s="247">
        <v>11.260459899902299</v>
      </c>
      <c r="G516" s="247">
        <v>10.814398765564</v>
      </c>
      <c r="H516" s="247">
        <v>10.6458578109741</v>
      </c>
      <c r="I516" s="247">
        <v>10.453662872314499</v>
      </c>
      <c r="J516" s="247">
        <v>10.443992614746101</v>
      </c>
      <c r="K516" s="247">
        <v>10.420529365539601</v>
      </c>
      <c r="L516" s="247">
        <v>10.4911556243896</v>
      </c>
      <c r="M516" s="247">
        <v>10.5971431732178</v>
      </c>
      <c r="N516" s="247">
        <v>10.650529861450201</v>
      </c>
      <c r="O516" s="247">
        <v>10.7566242218018</v>
      </c>
      <c r="P516" s="247">
        <v>10.8697347640991</v>
      </c>
      <c r="Q516" s="247">
        <v>10.955939292907701</v>
      </c>
      <c r="R516" s="247">
        <v>11.0780487060547</v>
      </c>
      <c r="S516" s="247">
        <v>11.222780227661101</v>
      </c>
      <c r="T516" s="247">
        <v>11.364427566528301</v>
      </c>
      <c r="U516" s="247">
        <v>11.5109758377075</v>
      </c>
      <c r="V516" s="247">
        <v>11.6184797286987</v>
      </c>
      <c r="W516" s="247">
        <v>11.7467203140259</v>
      </c>
      <c r="X516" s="247">
        <v>11.8437652587891</v>
      </c>
      <c r="Y516" s="247">
        <v>11.9311771392822</v>
      </c>
    </row>
    <row r="517" spans="1:26" x14ac:dyDescent="0.25">
      <c r="A517" s="243" t="s">
        <v>466</v>
      </c>
      <c r="B517" s="247">
        <v>8.3698368072509801</v>
      </c>
      <c r="C517" s="247">
        <v>9.5702075958252006</v>
      </c>
      <c r="D517" s="247">
        <v>10.537187576293899</v>
      </c>
      <c r="E517" s="247">
        <v>10.120927810668899</v>
      </c>
      <c r="F517" s="247">
        <v>9.0704116821289098</v>
      </c>
      <c r="G517" s="247">
        <v>8.6811342239379901</v>
      </c>
      <c r="H517" s="247">
        <v>8.4951152801513707</v>
      </c>
      <c r="I517" s="247">
        <v>8.3145399093627894</v>
      </c>
      <c r="J517" s="247">
        <v>8.2864685058593803</v>
      </c>
      <c r="K517" s="247">
        <v>8.2537784576415998</v>
      </c>
      <c r="L517" s="247">
        <v>8.2966070175170898</v>
      </c>
      <c r="M517" s="247">
        <v>8.3739995956420898</v>
      </c>
      <c r="N517" s="247">
        <v>8.4385089874267596</v>
      </c>
      <c r="O517" s="247">
        <v>8.4884243011474592</v>
      </c>
      <c r="P517" s="247">
        <v>8.5346355438232404</v>
      </c>
      <c r="Q517" s="247">
        <v>8.5863618850708008</v>
      </c>
      <c r="R517" s="247">
        <v>8.7058753967285192</v>
      </c>
      <c r="S517" s="247">
        <v>8.7835302352905291</v>
      </c>
      <c r="T517" s="247">
        <v>8.8462095260620099</v>
      </c>
      <c r="U517" s="247">
        <v>8.9105930328369105</v>
      </c>
      <c r="V517" s="247">
        <v>8.9716310501098597</v>
      </c>
      <c r="W517" s="247">
        <v>9.0270709991455096</v>
      </c>
      <c r="X517" s="247">
        <v>9.0740833282470703</v>
      </c>
      <c r="Y517" s="247">
        <v>9.1169166564941406</v>
      </c>
    </row>
    <row r="518" spans="1:26" x14ac:dyDescent="0.25">
      <c r="A518" s="243" t="s">
        <v>467</v>
      </c>
      <c r="B518" s="247">
        <v>12.976583480835</v>
      </c>
      <c r="C518" s="247">
        <v>14.582922935485801</v>
      </c>
      <c r="D518" s="247">
        <v>17.5701904296875</v>
      </c>
      <c r="E518" s="247">
        <v>17.073207855224599</v>
      </c>
      <c r="F518" s="247">
        <v>15.3619232177734</v>
      </c>
      <c r="G518" s="247">
        <v>14.740796089172401</v>
      </c>
      <c r="H518" s="247">
        <v>14.555371284484901</v>
      </c>
      <c r="I518" s="247">
        <v>14.281338691711399</v>
      </c>
      <c r="J518" s="247">
        <v>14.253823280334499</v>
      </c>
      <c r="K518" s="247">
        <v>14.190848350524901</v>
      </c>
      <c r="L518" s="247">
        <v>14.252662658691399</v>
      </c>
      <c r="M518" s="247">
        <v>14.348473548889199</v>
      </c>
      <c r="N518" s="247">
        <v>14.316626548767101</v>
      </c>
      <c r="O518" s="247">
        <v>14.447472572326699</v>
      </c>
      <c r="P518" s="247">
        <v>14.6025552749634</v>
      </c>
      <c r="Q518" s="247">
        <v>14.6705665588379</v>
      </c>
      <c r="R518" s="247">
        <v>14.712552070617701</v>
      </c>
      <c r="S518" s="247">
        <v>14.8757133483887</v>
      </c>
      <c r="T518" s="247">
        <v>15.056845664978001</v>
      </c>
      <c r="U518" s="247">
        <v>15.2477731704712</v>
      </c>
      <c r="V518" s="247">
        <v>15.3445425033569</v>
      </c>
      <c r="W518" s="247">
        <v>15.4947566986084</v>
      </c>
      <c r="X518" s="247">
        <v>15.580441474914601</v>
      </c>
      <c r="Y518" s="247">
        <v>15.645468711853001</v>
      </c>
    </row>
    <row r="519" spans="1:26" x14ac:dyDescent="0.25">
      <c r="A519" s="243" t="s">
        <v>468</v>
      </c>
      <c r="B519" s="247">
        <v>7.8179483413696298</v>
      </c>
      <c r="C519" s="247">
        <v>9.2187824249267596</v>
      </c>
      <c r="D519" s="247">
        <v>9.9373922348022496</v>
      </c>
      <c r="E519" s="247">
        <v>10.0359506607056</v>
      </c>
      <c r="F519" s="247">
        <v>9.3121318817138707</v>
      </c>
      <c r="G519" s="247">
        <v>8.7750911712646502</v>
      </c>
      <c r="H519" s="247">
        <v>8.2899227142334002</v>
      </c>
      <c r="I519" s="247">
        <v>8.0357856750488299</v>
      </c>
      <c r="J519" s="247">
        <v>7.7935147285461399</v>
      </c>
      <c r="K519" s="247">
        <v>7.6957306861877397</v>
      </c>
      <c r="L519" s="247">
        <v>7.7737927436828604</v>
      </c>
      <c r="M519" s="247">
        <v>7.89709520339966</v>
      </c>
      <c r="N519" s="247">
        <v>8.0722961425781303</v>
      </c>
      <c r="O519" s="247">
        <v>8.21258449554443</v>
      </c>
      <c r="P519" s="247">
        <v>8.1957035064697301</v>
      </c>
      <c r="Q519" s="247">
        <v>8.2030982971191406</v>
      </c>
      <c r="R519" s="247">
        <v>8.3247480392456108</v>
      </c>
      <c r="S519" s="247">
        <v>8.5131444931030291</v>
      </c>
      <c r="T519" s="247">
        <v>8.6595201492309606</v>
      </c>
      <c r="U519" s="247">
        <v>8.7975921630859393</v>
      </c>
      <c r="V519" s="247">
        <v>8.8660669326782209</v>
      </c>
      <c r="W519" s="247">
        <v>8.8930187225341797</v>
      </c>
      <c r="X519" s="247">
        <v>8.9751634597778303</v>
      </c>
      <c r="Y519" s="247">
        <v>9.0651559829711896</v>
      </c>
    </row>
    <row r="520" spans="1:26" x14ac:dyDescent="0.25">
      <c r="A520" s="243" t="s">
        <v>469</v>
      </c>
      <c r="B520" s="247">
        <v>25.222642898559599</v>
      </c>
      <c r="C520" s="247">
        <v>25.415189743041999</v>
      </c>
      <c r="D520" s="247">
        <v>25.1893119812012</v>
      </c>
      <c r="E520" s="247">
        <v>25.147850036621101</v>
      </c>
      <c r="F520" s="247">
        <v>24.3894958496094</v>
      </c>
      <c r="G520" s="247">
        <v>23.460399627685501</v>
      </c>
      <c r="H520" s="247">
        <v>22.990982055664102</v>
      </c>
      <c r="I520" s="247">
        <v>23.018142700195298</v>
      </c>
      <c r="J520" s="247">
        <v>22.960025787353501</v>
      </c>
      <c r="K520" s="247">
        <v>22.974227905273398</v>
      </c>
      <c r="L520" s="247">
        <v>23.1215305328369</v>
      </c>
      <c r="M520" s="247">
        <v>23.312740325927699</v>
      </c>
      <c r="N520" s="247">
        <v>23.5714206695557</v>
      </c>
      <c r="O520" s="247">
        <v>23.632020950317401</v>
      </c>
      <c r="P520" s="247">
        <v>23.589054107666001</v>
      </c>
      <c r="Q520" s="247">
        <v>23.650138854980501</v>
      </c>
      <c r="R520" s="247">
        <v>23.8146667480469</v>
      </c>
      <c r="S520" s="247">
        <v>24.0346794128418</v>
      </c>
      <c r="T520" s="247">
        <v>24.122148513793899</v>
      </c>
      <c r="U520" s="247">
        <v>24.230636596679702</v>
      </c>
      <c r="V520" s="247">
        <v>24.181154251098601</v>
      </c>
      <c r="W520" s="247">
        <v>24.130558013916001</v>
      </c>
      <c r="X520" s="247">
        <v>24.148235321044901</v>
      </c>
      <c r="Y520" s="247">
        <v>24.238166809081999</v>
      </c>
    </row>
    <row r="521" spans="1:26" x14ac:dyDescent="0.25">
      <c r="A521" s="243" t="s">
        <v>430</v>
      </c>
      <c r="B521" s="247" t="s">
        <v>430</v>
      </c>
      <c r="C521" s="247" t="s">
        <v>430</v>
      </c>
      <c r="D521" s="247" t="s">
        <v>430</v>
      </c>
      <c r="E521" s="247" t="s">
        <v>430</v>
      </c>
      <c r="F521" s="247" t="s">
        <v>430</v>
      </c>
      <c r="G521" s="247" t="s">
        <v>430</v>
      </c>
      <c r="H521" s="247" t="s">
        <v>430</v>
      </c>
      <c r="I521" s="247" t="s">
        <v>430</v>
      </c>
      <c r="J521" s="247" t="s">
        <v>430</v>
      </c>
      <c r="K521" s="247" t="s">
        <v>430</v>
      </c>
      <c r="L521" s="247" t="s">
        <v>430</v>
      </c>
      <c r="M521" s="247" t="s">
        <v>430</v>
      </c>
      <c r="N521" s="247" t="s">
        <v>430</v>
      </c>
      <c r="O521" s="247" t="s">
        <v>430</v>
      </c>
      <c r="P521" s="247" t="s">
        <v>430</v>
      </c>
      <c r="Q521" s="247" t="s">
        <v>430</v>
      </c>
      <c r="R521" s="247" t="s">
        <v>430</v>
      </c>
      <c r="S521" s="247" t="s">
        <v>430</v>
      </c>
      <c r="T521" s="247" t="s">
        <v>430</v>
      </c>
      <c r="U521" s="247" t="s">
        <v>430</v>
      </c>
      <c r="V521" s="247" t="s">
        <v>430</v>
      </c>
      <c r="W521" s="247" t="s">
        <v>430</v>
      </c>
      <c r="X521" s="247" t="s">
        <v>430</v>
      </c>
      <c r="Y521" s="247" t="s">
        <v>430</v>
      </c>
    </row>
    <row r="522" spans="1:26" x14ac:dyDescent="0.25">
      <c r="A522" s="243" t="s">
        <v>470</v>
      </c>
      <c r="B522" s="247">
        <v>15.064169883728001</v>
      </c>
      <c r="C522" s="247">
        <v>15.629265785217299</v>
      </c>
      <c r="D522" s="247">
        <v>15.835299491882299</v>
      </c>
      <c r="E522" s="247">
        <v>15.918291091918899</v>
      </c>
      <c r="F522" s="247">
        <v>15.0829524993896</v>
      </c>
      <c r="G522" s="247">
        <v>14.3196773529053</v>
      </c>
      <c r="H522" s="247">
        <v>13.910519599914601</v>
      </c>
      <c r="I522" s="247">
        <v>13.8424997329712</v>
      </c>
      <c r="J522" s="247">
        <v>13.762632369995099</v>
      </c>
      <c r="K522" s="247">
        <v>13.8186712265015</v>
      </c>
      <c r="L522" s="247">
        <v>14.058515548706101</v>
      </c>
      <c r="M522" s="247">
        <v>14.316973686218301</v>
      </c>
      <c r="N522" s="247">
        <v>14.661353111267101</v>
      </c>
      <c r="O522" s="247">
        <v>14.869439125061</v>
      </c>
      <c r="P522" s="247">
        <v>14.9301090240479</v>
      </c>
      <c r="Q522" s="247">
        <v>15.044508934021</v>
      </c>
      <c r="R522" s="247">
        <v>15.2485342025757</v>
      </c>
      <c r="S522" s="247">
        <v>15.517853736877401</v>
      </c>
      <c r="T522" s="247">
        <v>15.7009220123291</v>
      </c>
      <c r="U522" s="247">
        <v>15.889198303222701</v>
      </c>
      <c r="V522" s="247">
        <v>15.933961868286101</v>
      </c>
      <c r="W522" s="247">
        <v>15.975202560424799</v>
      </c>
      <c r="X522" s="247">
        <v>16.0630493164063</v>
      </c>
      <c r="Y522" s="247">
        <v>16.195989608764599</v>
      </c>
    </row>
    <row r="523" spans="1:26" x14ac:dyDescent="0.25">
      <c r="A523" s="243" t="s">
        <v>464</v>
      </c>
      <c r="B523" s="247">
        <v>6.5697088241577104</v>
      </c>
      <c r="C523" s="247">
        <v>7.9157042503356898</v>
      </c>
      <c r="D523" s="247">
        <v>8.3734645843505895</v>
      </c>
      <c r="E523" s="247">
        <v>8.3683490753173793</v>
      </c>
      <c r="F523" s="247">
        <v>7.7444124221801802</v>
      </c>
      <c r="G523" s="247">
        <v>7.3380589485168501</v>
      </c>
      <c r="H523" s="247">
        <v>7.0368156433105504</v>
      </c>
      <c r="I523" s="247">
        <v>6.9020848274231001</v>
      </c>
      <c r="J523" s="247">
        <v>6.8100509643554696</v>
      </c>
      <c r="K523" s="247">
        <v>6.84179735183716</v>
      </c>
      <c r="L523" s="247">
        <v>6.8974781036376998</v>
      </c>
      <c r="M523" s="247">
        <v>6.9808845520019496</v>
      </c>
      <c r="N523" s="247">
        <v>7.1057710647582999</v>
      </c>
      <c r="O523" s="247">
        <v>7.20139837265015</v>
      </c>
      <c r="P523" s="247">
        <v>7.18692874908447</v>
      </c>
      <c r="Q523" s="247">
        <v>7.1932849884033203</v>
      </c>
      <c r="R523" s="247">
        <v>7.2944316864013699</v>
      </c>
      <c r="S523" s="247">
        <v>7.4377117156982404</v>
      </c>
      <c r="T523" s="247">
        <v>7.5399260520935103</v>
      </c>
      <c r="U523" s="247">
        <v>7.6392593383789098</v>
      </c>
      <c r="V523" s="247">
        <v>7.6873850822448704</v>
      </c>
      <c r="W523" s="247">
        <v>7.6958703994751003</v>
      </c>
      <c r="X523" s="247">
        <v>7.7559337615966797</v>
      </c>
      <c r="Y523" s="247">
        <v>7.8220491409301802</v>
      </c>
    </row>
    <row r="524" spans="1:26" x14ac:dyDescent="0.25">
      <c r="A524" s="243" t="s">
        <v>465</v>
      </c>
      <c r="B524" s="247">
        <v>6.9482707977294904</v>
      </c>
      <c r="C524" s="247">
        <v>8.0266513824462908</v>
      </c>
      <c r="D524" s="247">
        <v>8.9197750091552699</v>
      </c>
      <c r="E524" s="247">
        <v>8.6532449722290004</v>
      </c>
      <c r="F524" s="247">
        <v>7.9109911918640101</v>
      </c>
      <c r="G524" s="247">
        <v>7.48618364334106</v>
      </c>
      <c r="H524" s="247">
        <v>7.32971286773682</v>
      </c>
      <c r="I524" s="247">
        <v>7.1282916069030797</v>
      </c>
      <c r="J524" s="247">
        <v>7.1344366073608398</v>
      </c>
      <c r="K524" s="247">
        <v>7.2035880088806197</v>
      </c>
      <c r="L524" s="247">
        <v>7.21549415588379</v>
      </c>
      <c r="M524" s="247">
        <v>7.2433881759643599</v>
      </c>
      <c r="N524" s="247">
        <v>7.2548027038574201</v>
      </c>
      <c r="O524" s="247">
        <v>7.2826437950134304</v>
      </c>
      <c r="P524" s="247">
        <v>7.3254833221435502</v>
      </c>
      <c r="Q524" s="247">
        <v>7.3667011260986301</v>
      </c>
      <c r="R524" s="247">
        <v>7.4382300376892099</v>
      </c>
      <c r="S524" s="247">
        <v>7.5099358558654803</v>
      </c>
      <c r="T524" s="247">
        <v>7.5474686622619602</v>
      </c>
      <c r="U524" s="247">
        <v>7.6315479278564498</v>
      </c>
      <c r="V524" s="247">
        <v>7.69354152679443</v>
      </c>
      <c r="W524" s="247">
        <v>7.7161302566528303</v>
      </c>
      <c r="X524" s="247">
        <v>7.7569241523742702</v>
      </c>
      <c r="Y524" s="247">
        <v>7.8363184928893999</v>
      </c>
    </row>
    <row r="525" spans="1:26" x14ac:dyDescent="0.25">
      <c r="A525" s="243" t="s">
        <v>466</v>
      </c>
      <c r="B525" s="247">
        <v>6.1493649482727104</v>
      </c>
      <c r="C525" s="247">
        <v>7.03082323074341</v>
      </c>
      <c r="D525" s="247">
        <v>7.7272844314575204</v>
      </c>
      <c r="E525" s="247">
        <v>7.4210705757141104</v>
      </c>
      <c r="F525" s="247">
        <v>6.8826036453247097</v>
      </c>
      <c r="G525" s="247">
        <v>6.5409913063049299</v>
      </c>
      <c r="H525" s="247">
        <v>6.4167842864990199</v>
      </c>
      <c r="I525" s="247">
        <v>6.2535924911498997</v>
      </c>
      <c r="J525" s="247">
        <v>6.2965154647827104</v>
      </c>
      <c r="K525" s="247">
        <v>6.4007697105407697</v>
      </c>
      <c r="L525" s="247">
        <v>6.4218788146972701</v>
      </c>
      <c r="M525" s="247">
        <v>6.4483299255371103</v>
      </c>
      <c r="N525" s="247">
        <v>6.4679012298584002</v>
      </c>
      <c r="O525" s="247">
        <v>6.4912290573120099</v>
      </c>
      <c r="P525" s="247">
        <v>6.52826023101807</v>
      </c>
      <c r="Q525" s="247">
        <v>6.5738272666931197</v>
      </c>
      <c r="R525" s="247">
        <v>6.6604804992675799</v>
      </c>
      <c r="S525" s="247">
        <v>6.7330570220947301</v>
      </c>
      <c r="T525" s="247">
        <v>6.75683689117432</v>
      </c>
      <c r="U525" s="247">
        <v>6.8434348106384304</v>
      </c>
      <c r="V525" s="247">
        <v>6.9099073410034197</v>
      </c>
      <c r="W525" s="247">
        <v>6.9186587333679199</v>
      </c>
      <c r="X525" s="247">
        <v>6.9633812904357901</v>
      </c>
      <c r="Y525" s="247">
        <v>7.0585165023803702</v>
      </c>
    </row>
    <row r="526" spans="1:26" x14ac:dyDescent="0.25">
      <c r="A526" s="243" t="s">
        <v>471</v>
      </c>
      <c r="B526" s="247">
        <v>4.2683343887329102</v>
      </c>
      <c r="C526" s="247">
        <v>4.9646224975585902</v>
      </c>
      <c r="D526" s="247">
        <v>5.0606441497802699</v>
      </c>
      <c r="E526" s="247">
        <v>5.3499689102172896</v>
      </c>
      <c r="F526" s="247">
        <v>5.0606269836425799</v>
      </c>
      <c r="G526" s="247">
        <v>4.6454811096191397</v>
      </c>
      <c r="H526" s="247">
        <v>4.44089698791504</v>
      </c>
      <c r="I526" s="247">
        <v>4.3064308166503897</v>
      </c>
      <c r="J526" s="247">
        <v>4.2577414512634304</v>
      </c>
      <c r="K526" s="247">
        <v>4.3118896484375</v>
      </c>
      <c r="L526" s="247">
        <v>4.3638815879821804</v>
      </c>
      <c r="M526" s="247">
        <v>4.4166550636291504</v>
      </c>
      <c r="N526" s="247">
        <v>4.4711151123046902</v>
      </c>
      <c r="O526" s="247">
        <v>4.5238728523254403</v>
      </c>
      <c r="P526" s="247">
        <v>4.5756058692932102</v>
      </c>
      <c r="Q526" s="247">
        <v>4.6275658607482901</v>
      </c>
      <c r="R526" s="247">
        <v>4.6890521049499503</v>
      </c>
      <c r="S526" s="247">
        <v>4.7516570091247603</v>
      </c>
      <c r="T526" s="247">
        <v>4.8052668571472203</v>
      </c>
      <c r="U526" s="247">
        <v>4.8599562644958496</v>
      </c>
      <c r="V526" s="247">
        <v>4.9139251708984402</v>
      </c>
      <c r="W526" s="247">
        <v>4.9674754142761204</v>
      </c>
      <c r="X526" s="247">
        <v>5.0218071937561</v>
      </c>
      <c r="Y526" s="247">
        <v>5.0773591995239302</v>
      </c>
    </row>
    <row r="527" spans="1:26" x14ac:dyDescent="0.25">
      <c r="A527" s="268" t="s">
        <v>468</v>
      </c>
      <c r="B527" s="247">
        <v>6.6170339584350604</v>
      </c>
      <c r="C527" s="247">
        <v>8.0769119262695295</v>
      </c>
      <c r="D527" s="247">
        <v>8.4474086761474592</v>
      </c>
      <c r="E527" s="247">
        <v>8.5042705535888707</v>
      </c>
      <c r="F527" s="247">
        <v>7.8856530189514196</v>
      </c>
      <c r="G527" s="247">
        <v>7.4673976898193404</v>
      </c>
      <c r="H527" s="247">
        <v>7.1177520751953098</v>
      </c>
      <c r="I527" s="247">
        <v>6.9923906326293901</v>
      </c>
      <c r="J527" s="247">
        <v>6.8716683387756303</v>
      </c>
      <c r="K527" s="247">
        <v>6.8934268951415998</v>
      </c>
      <c r="L527" s="247">
        <v>6.9598770141601598</v>
      </c>
      <c r="M527" s="247">
        <v>7.0576272010803196</v>
      </c>
      <c r="N527" s="247">
        <v>7.21203565597534</v>
      </c>
      <c r="O527" s="247">
        <v>7.32529544830322</v>
      </c>
      <c r="P527" s="247">
        <v>7.2944836616516104</v>
      </c>
      <c r="Q527" s="247">
        <v>7.2903637886047399</v>
      </c>
      <c r="R527" s="247">
        <v>7.3995337486267099</v>
      </c>
      <c r="S527" s="247">
        <v>7.56237888336182</v>
      </c>
      <c r="T527" s="247">
        <v>7.6814393997192401</v>
      </c>
      <c r="U527" s="247">
        <v>7.78521823883057</v>
      </c>
      <c r="V527" s="247">
        <v>7.8287162780761701</v>
      </c>
      <c r="W527" s="247">
        <v>7.8313083648681596</v>
      </c>
      <c r="X527" s="247">
        <v>7.8953433036804199</v>
      </c>
      <c r="Y527" s="247">
        <v>7.9576945304870597</v>
      </c>
      <c r="Z527" s="277">
        <f>Y527+($AI$357-$Y$527)/10</f>
        <v>8.0099991534203383</v>
      </c>
    </row>
    <row r="528" spans="1:26" x14ac:dyDescent="0.25">
      <c r="A528" s="270" t="s">
        <v>469</v>
      </c>
      <c r="B528" s="247">
        <v>23.353584289550799</v>
      </c>
      <c r="C528" s="247">
        <v>23.2374382019043</v>
      </c>
      <c r="D528" s="247">
        <v>23.0415229797363</v>
      </c>
      <c r="E528" s="247">
        <v>22.938554763793899</v>
      </c>
      <c r="F528" s="247">
        <v>21.8424968719482</v>
      </c>
      <c r="G528" s="247">
        <v>20.6924953460693</v>
      </c>
      <c r="H528" s="247">
        <v>20.1292018890381</v>
      </c>
      <c r="I528" s="247">
        <v>20.063879013061499</v>
      </c>
      <c r="J528" s="247">
        <v>19.9343872070313</v>
      </c>
      <c r="K528" s="247">
        <v>19.938108444213899</v>
      </c>
      <c r="L528" s="247">
        <v>20.262083053588899</v>
      </c>
      <c r="M528" s="247">
        <v>20.589830398559599</v>
      </c>
      <c r="N528" s="247">
        <v>21.038742065429702</v>
      </c>
      <c r="O528" s="247">
        <v>21.2544975280762</v>
      </c>
      <c r="P528" s="247">
        <v>21.300868988037099</v>
      </c>
      <c r="Q528" s="247">
        <v>21.4323215484619</v>
      </c>
      <c r="R528" s="247">
        <v>21.647081375122099</v>
      </c>
      <c r="S528" s="247">
        <v>21.937980651855501</v>
      </c>
      <c r="T528" s="247">
        <v>22.104045867919901</v>
      </c>
      <c r="U528" s="247">
        <v>22.281753540039102</v>
      </c>
      <c r="V528" s="247">
        <v>22.24875831604</v>
      </c>
      <c r="W528" s="247">
        <v>22.2471523284912</v>
      </c>
      <c r="X528" s="247">
        <v>22.287950515747099</v>
      </c>
      <c r="Y528" s="247">
        <v>22.4030246734619</v>
      </c>
      <c r="Z528" s="279">
        <f>Y528+($AI$358-$Y$528)/10</f>
        <v>22.313820934181763</v>
      </c>
    </row>
    <row r="529" spans="1:71" x14ac:dyDescent="0.25">
      <c r="A529" s="243" t="s">
        <v>430</v>
      </c>
      <c r="B529" s="247" t="s">
        <v>430</v>
      </c>
      <c r="C529" s="247" t="s">
        <v>430</v>
      </c>
      <c r="D529" s="247" t="s">
        <v>430</v>
      </c>
      <c r="E529" s="247" t="s">
        <v>430</v>
      </c>
      <c r="F529" s="247" t="s">
        <v>430</v>
      </c>
      <c r="G529" s="247" t="s">
        <v>430</v>
      </c>
      <c r="H529" s="247" t="s">
        <v>430</v>
      </c>
      <c r="I529" s="247" t="s">
        <v>430</v>
      </c>
      <c r="J529" s="247" t="s">
        <v>430</v>
      </c>
      <c r="K529" s="247" t="s">
        <v>430</v>
      </c>
      <c r="L529" s="247" t="s">
        <v>430</v>
      </c>
      <c r="M529" s="247" t="s">
        <v>430</v>
      </c>
      <c r="N529" s="247" t="s">
        <v>430</v>
      </c>
      <c r="O529" s="247" t="s">
        <v>430</v>
      </c>
      <c r="P529" s="247" t="s">
        <v>430</v>
      </c>
      <c r="Q529" s="247" t="s">
        <v>430</v>
      </c>
      <c r="R529" s="247" t="s">
        <v>430</v>
      </c>
      <c r="S529" s="247" t="s">
        <v>430</v>
      </c>
      <c r="T529" s="247" t="s">
        <v>430</v>
      </c>
      <c r="U529" s="247" t="s">
        <v>430</v>
      </c>
      <c r="V529" s="247" t="s">
        <v>430</v>
      </c>
      <c r="W529" s="247" t="s">
        <v>430</v>
      </c>
      <c r="X529" s="247" t="s">
        <v>430</v>
      </c>
      <c r="Y529" s="247" t="s">
        <v>430</v>
      </c>
    </row>
    <row r="530" spans="1:71" ht="13.8" thickBot="1" x14ac:dyDescent="0.3">
      <c r="A530" s="243" t="s">
        <v>472</v>
      </c>
      <c r="B530" s="247">
        <v>6.3922061920165998</v>
      </c>
      <c r="C530" s="247">
        <v>7.7839651107788104</v>
      </c>
      <c r="D530" s="247">
        <v>8.7301359176635707</v>
      </c>
      <c r="E530" s="247">
        <v>8.5276689529418892</v>
      </c>
      <c r="F530" s="247">
        <v>7.7321057319641104</v>
      </c>
      <c r="G530" s="247">
        <v>7.2916359901428196</v>
      </c>
      <c r="H530" s="247">
        <v>7.0938224792480504</v>
      </c>
      <c r="I530" s="247">
        <v>6.9649901390075701</v>
      </c>
      <c r="J530" s="247">
        <v>6.8520793914794904</v>
      </c>
      <c r="K530" s="247">
        <v>6.8315567970275897</v>
      </c>
      <c r="L530" s="247">
        <v>6.8953166007995597</v>
      </c>
      <c r="M530" s="247">
        <v>6.99013376235962</v>
      </c>
      <c r="N530" s="247">
        <v>7.1103782653808603</v>
      </c>
      <c r="O530" s="247">
        <v>7.2379879951477104</v>
      </c>
      <c r="P530" s="247">
        <v>7.276611328125</v>
      </c>
      <c r="Q530" s="247">
        <v>7.3343372344970703</v>
      </c>
      <c r="R530" s="247">
        <v>7.4634890556335396</v>
      </c>
      <c r="S530" s="247">
        <v>7.6215224266052202</v>
      </c>
      <c r="T530" s="247">
        <v>7.7529444694518999</v>
      </c>
      <c r="U530" s="247">
        <v>7.8803434371948198</v>
      </c>
      <c r="V530" s="247">
        <v>7.9471721649169904</v>
      </c>
      <c r="W530" s="247">
        <v>7.99715328216553</v>
      </c>
      <c r="X530" s="247">
        <v>8.05676174163818</v>
      </c>
      <c r="Y530" s="247">
        <v>8.1260271072387695</v>
      </c>
    </row>
    <row r="531" spans="1:71" ht="13.8" thickBot="1" x14ac:dyDescent="0.3">
      <c r="A531" s="243" t="s">
        <v>473</v>
      </c>
      <c r="B531" s="247">
        <v>4.9298634529113796</v>
      </c>
      <c r="C531" s="247">
        <v>6.4939708709716797</v>
      </c>
      <c r="D531" s="247">
        <v>7.4592456817626998</v>
      </c>
      <c r="E531" s="247">
        <v>7.2321572303771999</v>
      </c>
      <c r="F531" s="247">
        <v>6.3973078727722203</v>
      </c>
      <c r="G531" s="247">
        <v>5.9808039665222203</v>
      </c>
      <c r="H531" s="247">
        <v>5.7940292358398402</v>
      </c>
      <c r="I531" s="247">
        <v>5.64864206314087</v>
      </c>
      <c r="J531" s="247">
        <v>5.54791307449341</v>
      </c>
      <c r="K531" s="247">
        <v>5.5448842048645002</v>
      </c>
      <c r="L531" s="247">
        <v>5.5862631797790501</v>
      </c>
      <c r="M531" s="247">
        <v>5.6484580039978001</v>
      </c>
      <c r="N531" s="247">
        <v>5.7157526016235396</v>
      </c>
      <c r="O531" s="247">
        <v>5.8273496627807599</v>
      </c>
      <c r="P531" s="247">
        <v>5.8644676208496103</v>
      </c>
      <c r="Q531" s="247">
        <v>5.9049983024597203</v>
      </c>
      <c r="R531" s="247">
        <v>6.0105843544006303</v>
      </c>
      <c r="S531" s="247">
        <v>6.1420850753784197</v>
      </c>
      <c r="T531" s="247">
        <v>6.2661328315734899</v>
      </c>
      <c r="U531" s="247">
        <v>6.3902029991149902</v>
      </c>
      <c r="V531" s="247">
        <v>6.4639844894409197</v>
      </c>
      <c r="W531" s="247">
        <v>6.5222811698913601</v>
      </c>
      <c r="X531" s="247">
        <v>6.5781168937683097</v>
      </c>
      <c r="Y531" s="247">
        <v>6.6401424407959002</v>
      </c>
      <c r="AA531" s="290">
        <f>Z701+($AI$531-$Y$701)/10</f>
        <v>1.6707610713595051</v>
      </c>
      <c r="AB531" s="290">
        <f t="shared" ref="AB531:AH531" si="75">AA531+($AI$531-$Y$701)/10</f>
        <v>1.7872284374395671</v>
      </c>
      <c r="AC531" s="290">
        <f t="shared" si="75"/>
        <v>1.903695803519629</v>
      </c>
      <c r="AD531" s="290">
        <f t="shared" si="75"/>
        <v>2.0201631695996909</v>
      </c>
      <c r="AE531" s="290">
        <f t="shared" si="75"/>
        <v>2.1366305356797528</v>
      </c>
      <c r="AF531" s="290">
        <f t="shared" si="75"/>
        <v>2.2530979017598147</v>
      </c>
      <c r="AG531" s="290">
        <f t="shared" si="75"/>
        <v>2.3695652678398766</v>
      </c>
      <c r="AH531" s="290">
        <f t="shared" si="75"/>
        <v>2.4860326339199386</v>
      </c>
      <c r="AI531" s="295">
        <v>2.6025</v>
      </c>
      <c r="AJ531" s="290">
        <f>AI531+($BM$531-$AI$531)/30</f>
        <v>2.6824166666666667</v>
      </c>
      <c r="AK531" s="290">
        <f t="shared" ref="AK531:BR531" si="76">AJ531+($BM$531-$AI$531)/30</f>
        <v>2.7623333333333333</v>
      </c>
      <c r="AL531" s="290">
        <f t="shared" si="76"/>
        <v>2.8422499999999999</v>
      </c>
      <c r="AM531" s="290">
        <f t="shared" si="76"/>
        <v>2.9221666666666666</v>
      </c>
      <c r="AN531" s="290">
        <f t="shared" si="76"/>
        <v>3.0020833333333332</v>
      </c>
      <c r="AO531" s="290">
        <f t="shared" si="76"/>
        <v>3.0819999999999999</v>
      </c>
      <c r="AP531" s="290">
        <f t="shared" si="76"/>
        <v>3.1619166666666665</v>
      </c>
      <c r="AQ531" s="290">
        <f t="shared" si="76"/>
        <v>3.2418333333333331</v>
      </c>
      <c r="AR531" s="290">
        <f t="shared" si="76"/>
        <v>3.3217499999999998</v>
      </c>
      <c r="AS531" s="290">
        <f t="shared" si="76"/>
        <v>3.4016666666666664</v>
      </c>
      <c r="AT531" s="290">
        <f t="shared" si="76"/>
        <v>3.481583333333333</v>
      </c>
      <c r="AU531" s="290">
        <f t="shared" si="76"/>
        <v>3.5614999999999997</v>
      </c>
      <c r="AV531" s="290">
        <f t="shared" si="76"/>
        <v>3.6414166666666663</v>
      </c>
      <c r="AW531" s="290">
        <f t="shared" si="76"/>
        <v>3.7213333333333329</v>
      </c>
      <c r="AX531" s="290">
        <f t="shared" si="76"/>
        <v>3.8012499999999996</v>
      </c>
      <c r="AY531" s="290">
        <f t="shared" si="76"/>
        <v>3.8811666666666662</v>
      </c>
      <c r="AZ531" s="290">
        <f t="shared" si="76"/>
        <v>3.9610833333333328</v>
      </c>
      <c r="BA531" s="290">
        <f t="shared" si="76"/>
        <v>4.0409999999999995</v>
      </c>
      <c r="BB531" s="290">
        <f t="shared" si="76"/>
        <v>4.1209166666666661</v>
      </c>
      <c r="BC531" s="290">
        <f t="shared" si="76"/>
        <v>4.2008333333333328</v>
      </c>
      <c r="BD531" s="290">
        <f t="shared" si="76"/>
        <v>4.2807499999999994</v>
      </c>
      <c r="BE531" s="290">
        <f t="shared" si="76"/>
        <v>4.360666666666666</v>
      </c>
      <c r="BF531" s="290">
        <f t="shared" si="76"/>
        <v>4.4405833333333327</v>
      </c>
      <c r="BG531" s="290">
        <f t="shared" si="76"/>
        <v>4.5204999999999993</v>
      </c>
      <c r="BH531" s="290">
        <f t="shared" si="76"/>
        <v>4.6004166666666659</v>
      </c>
      <c r="BI531" s="290">
        <f t="shared" si="76"/>
        <v>4.6803333333333326</v>
      </c>
      <c r="BJ531" s="290">
        <f t="shared" si="76"/>
        <v>4.7602499999999992</v>
      </c>
      <c r="BK531" s="290">
        <f t="shared" si="76"/>
        <v>4.8401666666666658</v>
      </c>
      <c r="BL531" s="290">
        <f t="shared" si="76"/>
        <v>4.9200833333333325</v>
      </c>
      <c r="BM531" s="293">
        <v>5</v>
      </c>
      <c r="BN531" s="290">
        <f t="shared" si="76"/>
        <v>5.0799166666666666</v>
      </c>
      <c r="BO531" s="290">
        <f t="shared" si="76"/>
        <v>5.1598333333333333</v>
      </c>
      <c r="BP531" s="290">
        <f t="shared" si="76"/>
        <v>5.2397499999999999</v>
      </c>
      <c r="BQ531" s="290">
        <f t="shared" si="76"/>
        <v>5.3196666666666665</v>
      </c>
      <c r="BR531" s="290">
        <f t="shared" si="76"/>
        <v>5.3995833333333332</v>
      </c>
    </row>
    <row r="532" spans="1:71" x14ac:dyDescent="0.25">
      <c r="A532" s="243" t="s">
        <v>465</v>
      </c>
      <c r="B532" s="247">
        <v>6.5291514396667498</v>
      </c>
      <c r="C532" s="247">
        <v>8.2850980758666992</v>
      </c>
      <c r="D532" s="247">
        <v>9.8001232147216797</v>
      </c>
      <c r="E532" s="247">
        <v>9.3072748184204102</v>
      </c>
      <c r="F532" s="247">
        <v>8.1255960464477504</v>
      </c>
      <c r="G532" s="247">
        <v>7.6394152641296396</v>
      </c>
      <c r="H532" s="247">
        <v>7.5353851318359402</v>
      </c>
      <c r="I532" s="247">
        <v>7.29905128479004</v>
      </c>
      <c r="J532" s="247">
        <v>7.2437157630920401</v>
      </c>
      <c r="K532" s="247">
        <v>7.2615475654602104</v>
      </c>
      <c r="L532" s="247">
        <v>7.28952884674072</v>
      </c>
      <c r="M532" s="247">
        <v>7.3323044776916504</v>
      </c>
      <c r="N532" s="247">
        <v>7.3129158020019496</v>
      </c>
      <c r="O532" s="247">
        <v>7.4180650711059597</v>
      </c>
      <c r="P532" s="247">
        <v>7.5101509094238299</v>
      </c>
      <c r="Q532" s="247">
        <v>7.5518846511840803</v>
      </c>
      <c r="R532" s="247">
        <v>7.6326026916503897</v>
      </c>
      <c r="S532" s="247">
        <v>7.7444272041320801</v>
      </c>
      <c r="T532" s="247">
        <v>7.8752341270446804</v>
      </c>
      <c r="U532" s="247">
        <v>8.0334920883178693</v>
      </c>
      <c r="V532" s="247">
        <v>8.1469945907592791</v>
      </c>
      <c r="W532" s="247">
        <v>8.2539978027343803</v>
      </c>
      <c r="X532" s="247">
        <v>8.3047761917114293</v>
      </c>
      <c r="Y532" s="247">
        <v>8.3638219833374006</v>
      </c>
      <c r="AA532" s="293">
        <v>8.7353999999999985</v>
      </c>
      <c r="AB532" s="293">
        <v>8.7353999999999985</v>
      </c>
      <c r="AC532" s="293">
        <v>8.7353999999999985</v>
      </c>
      <c r="AD532" s="293">
        <v>8.7353999999999985</v>
      </c>
      <c r="AE532" s="293">
        <v>8.7353999999999985</v>
      </c>
      <c r="AF532" s="293">
        <v>8.7353999999999985</v>
      </c>
      <c r="AG532" s="293">
        <v>8.7353999999999985</v>
      </c>
      <c r="AH532" s="293">
        <v>8.2799999999999994</v>
      </c>
      <c r="AI532" s="293">
        <v>8.2799999999999994</v>
      </c>
      <c r="AJ532" s="283">
        <f>AI532+($AX$532-$AI$532)/15</f>
        <v>8.2855063337213686</v>
      </c>
      <c r="AK532" s="283">
        <f t="shared" ref="AK532:AW532" si="77">AJ532+($AX$532-$AI$532)/15</f>
        <v>8.2910126674427378</v>
      </c>
      <c r="AL532" s="283">
        <f t="shared" si="77"/>
        <v>8.296519001164107</v>
      </c>
      <c r="AM532" s="283">
        <f t="shared" si="77"/>
        <v>8.3020253348854762</v>
      </c>
      <c r="AN532" s="283">
        <f t="shared" si="77"/>
        <v>8.3075316686068454</v>
      </c>
      <c r="AO532" s="283">
        <f t="shared" si="77"/>
        <v>8.3130380023282147</v>
      </c>
      <c r="AP532" s="283">
        <f t="shared" si="77"/>
        <v>8.3185443360495839</v>
      </c>
      <c r="AQ532" s="283">
        <f t="shared" si="77"/>
        <v>8.3240506697709531</v>
      </c>
      <c r="AR532" s="283">
        <f t="shared" si="77"/>
        <v>8.3295570034923223</v>
      </c>
      <c r="AS532" s="283">
        <f t="shared" si="77"/>
        <v>8.3350633372136915</v>
      </c>
      <c r="AT532" s="283">
        <f t="shared" si="77"/>
        <v>8.3405696709350607</v>
      </c>
      <c r="AU532" s="283">
        <f t="shared" si="77"/>
        <v>8.34607600465643</v>
      </c>
      <c r="AV532" s="283">
        <f t="shared" si="77"/>
        <v>8.3515823383777992</v>
      </c>
      <c r="AW532" s="283">
        <f t="shared" si="77"/>
        <v>8.3570886720991684</v>
      </c>
      <c r="AX532" s="288">
        <f>AI532*$B$747</f>
        <v>8.3625950058205305</v>
      </c>
      <c r="AY532" s="283">
        <f>AX532+($BM$532-$AX$532)/15</f>
        <v>8.3654368677345836</v>
      </c>
      <c r="AZ532" s="283">
        <f t="shared" ref="AZ532:BL532" si="78">AY532+($BM$532-$AX$532)/15</f>
        <v>8.3682787296486367</v>
      </c>
      <c r="BA532" s="283">
        <f t="shared" si="78"/>
        <v>8.3711205915626898</v>
      </c>
      <c r="BB532" s="283">
        <f t="shared" si="78"/>
        <v>8.373962453476743</v>
      </c>
      <c r="BC532" s="283">
        <f t="shared" si="78"/>
        <v>8.3768043153907961</v>
      </c>
      <c r="BD532" s="283">
        <f t="shared" si="78"/>
        <v>8.3796461773048492</v>
      </c>
      <c r="BE532" s="283">
        <f t="shared" si="78"/>
        <v>8.3824880392189023</v>
      </c>
      <c r="BF532" s="283">
        <f t="shared" si="78"/>
        <v>8.3853299011329554</v>
      </c>
      <c r="BG532" s="283">
        <f t="shared" si="78"/>
        <v>8.3881717630470085</v>
      </c>
      <c r="BH532" s="283">
        <f t="shared" si="78"/>
        <v>8.3910136249610616</v>
      </c>
      <c r="BI532" s="283">
        <f t="shared" si="78"/>
        <v>8.3938554868751147</v>
      </c>
      <c r="BJ532" s="283">
        <f t="shared" si="78"/>
        <v>8.3966973487891678</v>
      </c>
      <c r="BK532" s="283">
        <f t="shared" si="78"/>
        <v>8.399539210703221</v>
      </c>
      <c r="BL532" s="283">
        <f t="shared" si="78"/>
        <v>8.4023810726172741</v>
      </c>
      <c r="BM532" s="288">
        <f>AX532*$C$747</f>
        <v>8.4052229345313236</v>
      </c>
      <c r="BN532" s="283">
        <f>BM532+($BR$532-$BM$532)/5</f>
        <v>8.4080792827007791</v>
      </c>
      <c r="BO532" s="283">
        <f>BN532+($BR$532-$BM$532)/5</f>
        <v>8.4109356308702345</v>
      </c>
      <c r="BP532" s="283">
        <f>BO532+($BR$532-$BM$532)/5</f>
        <v>8.41379197903969</v>
      </c>
      <c r="BQ532" s="283">
        <f>BP532+($BR$532-$BM$532)/5</f>
        <v>8.4166483272091455</v>
      </c>
      <c r="BR532" s="288">
        <f>BM532*$D$747</f>
        <v>8.4195046753785974</v>
      </c>
    </row>
    <row r="533" spans="1:71" x14ac:dyDescent="0.25">
      <c r="A533" s="243" t="s">
        <v>466</v>
      </c>
      <c r="B533" s="247">
        <v>6.3323707580566397</v>
      </c>
      <c r="C533" s="247">
        <v>7.2384452819824201</v>
      </c>
      <c r="D533" s="247">
        <v>7.96527099609375</v>
      </c>
      <c r="E533" s="247">
        <v>7.6527137756347701</v>
      </c>
      <c r="F533" s="247">
        <v>7.15256595611572</v>
      </c>
      <c r="G533" s="247">
        <v>6.8207654953002903</v>
      </c>
      <c r="H533" s="247">
        <v>6.8779778480529803</v>
      </c>
      <c r="I533" s="247">
        <v>6.7174663543701199</v>
      </c>
      <c r="J533" s="247">
        <v>6.78255271911621</v>
      </c>
      <c r="K533" s="247">
        <v>7.1339807510376003</v>
      </c>
      <c r="L533" s="247">
        <v>7.1601362228393599</v>
      </c>
      <c r="M533" s="247">
        <v>7.1876134872436497</v>
      </c>
      <c r="N533" s="247">
        <v>7.1760501861572301</v>
      </c>
      <c r="O533" s="247">
        <v>7.19400835037231</v>
      </c>
      <c r="P533" s="247">
        <v>7.2192950248718297</v>
      </c>
      <c r="Q533" s="247">
        <v>7.2771706581115696</v>
      </c>
      <c r="R533" s="247">
        <v>7.32332468032837</v>
      </c>
      <c r="S533" s="247">
        <v>7.37906789779663</v>
      </c>
      <c r="T533" s="247">
        <v>7.3721222877502397</v>
      </c>
      <c r="U533" s="247">
        <v>7.4461221694946298</v>
      </c>
      <c r="V533" s="247">
        <v>7.5145907402038601</v>
      </c>
      <c r="W533" s="247">
        <v>7.4954967498779297</v>
      </c>
      <c r="X533" s="247">
        <v>7.5633401870727504</v>
      </c>
      <c r="Y533" s="247">
        <v>7.7325506210327104</v>
      </c>
      <c r="AA533" s="294">
        <v>4.78</v>
      </c>
      <c r="AB533" s="294">
        <v>4.78</v>
      </c>
      <c r="AC533" s="294">
        <v>4.78</v>
      </c>
      <c r="AD533" s="294">
        <v>4.78</v>
      </c>
      <c r="AE533" s="294">
        <v>4.78</v>
      </c>
      <c r="AF533" s="294">
        <v>4.78</v>
      </c>
      <c r="AG533" s="294">
        <v>4.78</v>
      </c>
      <c r="AH533" s="294">
        <v>4.78</v>
      </c>
      <c r="AI533" s="294">
        <v>4.78</v>
      </c>
      <c r="AJ533" s="294">
        <v>4.78</v>
      </c>
      <c r="AK533" s="294">
        <v>4.78</v>
      </c>
      <c r="AL533" s="294">
        <v>4.78</v>
      </c>
      <c r="AM533" s="294">
        <v>4.78</v>
      </c>
      <c r="AN533" s="294">
        <v>4.78</v>
      </c>
      <c r="AO533" s="294">
        <v>4.78</v>
      </c>
      <c r="AP533" s="294">
        <v>4.78</v>
      </c>
      <c r="AQ533" s="294">
        <v>4.78</v>
      </c>
      <c r="AR533" s="294">
        <v>4.78</v>
      </c>
      <c r="AS533" s="294">
        <v>4.78</v>
      </c>
      <c r="AT533" s="294">
        <v>4.78</v>
      </c>
      <c r="AU533" s="294">
        <v>4.78</v>
      </c>
      <c r="AV533" s="294">
        <v>4.78</v>
      </c>
      <c r="AW533" s="294">
        <v>4.78</v>
      </c>
      <c r="AX533" s="294">
        <v>4.78</v>
      </c>
      <c r="AY533" s="294">
        <v>4.78</v>
      </c>
      <c r="AZ533" s="294">
        <v>4.78</v>
      </c>
      <c r="BA533" s="294">
        <v>4.78</v>
      </c>
      <c r="BB533" s="294">
        <v>4.78</v>
      </c>
      <c r="BC533" s="294">
        <v>4.78</v>
      </c>
      <c r="BD533" s="294">
        <v>4.78</v>
      </c>
      <c r="BE533" s="294">
        <v>4.78</v>
      </c>
      <c r="BF533" s="294">
        <v>4.78</v>
      </c>
      <c r="BG533" s="294">
        <v>4.78</v>
      </c>
      <c r="BH533" s="294">
        <v>4.78</v>
      </c>
      <c r="BI533" s="294">
        <v>4.78</v>
      </c>
      <c r="BJ533" s="294">
        <v>4.78</v>
      </c>
      <c r="BK533" s="294">
        <v>4.78</v>
      </c>
      <c r="BL533" s="294">
        <v>4.78</v>
      </c>
      <c r="BM533" s="294">
        <v>4.78</v>
      </c>
      <c r="BN533" s="294">
        <v>4.78</v>
      </c>
      <c r="BO533" s="294">
        <v>4.78</v>
      </c>
      <c r="BP533" s="294">
        <v>4.78</v>
      </c>
      <c r="BQ533" s="294">
        <v>4.78</v>
      </c>
      <c r="BR533" s="294">
        <v>4.78</v>
      </c>
      <c r="BS533" s="220"/>
    </row>
    <row r="534" spans="1:71" x14ac:dyDescent="0.25">
      <c r="A534" s="243" t="s">
        <v>467</v>
      </c>
      <c r="B534" s="247">
        <v>8.4833917617797905</v>
      </c>
      <c r="C534" s="247">
        <v>12.566796302795399</v>
      </c>
      <c r="D534" s="247">
        <v>15.1470994949341</v>
      </c>
      <c r="E534" s="247">
        <v>13.2375335693359</v>
      </c>
      <c r="F534" s="247">
        <v>11.1595468521118</v>
      </c>
      <c r="G534" s="247">
        <v>10.509430885314901</v>
      </c>
      <c r="H534" s="247">
        <v>10.3245944976807</v>
      </c>
      <c r="I534" s="247">
        <v>10.044970512390099</v>
      </c>
      <c r="J534" s="247">
        <v>10.0157480239868</v>
      </c>
      <c r="K534" s="247">
        <v>9.9449577331543004</v>
      </c>
      <c r="L534" s="247">
        <v>10.002993583679199</v>
      </c>
      <c r="M534" s="247">
        <v>10.097089767456101</v>
      </c>
      <c r="N534" s="247">
        <v>10.020875930786101</v>
      </c>
      <c r="O534" s="247">
        <v>10.2241611480713</v>
      </c>
      <c r="P534" s="247">
        <v>10.3367824554443</v>
      </c>
      <c r="Q534" s="247">
        <v>10.319104194641101</v>
      </c>
      <c r="R534" s="247">
        <v>10.409514427185099</v>
      </c>
      <c r="S534" s="247">
        <v>10.552604675293001</v>
      </c>
      <c r="T534" s="247">
        <v>10.737306594848601</v>
      </c>
      <c r="U534" s="247">
        <v>10.9299325942993</v>
      </c>
      <c r="V534" s="247">
        <v>11.0452260971069</v>
      </c>
      <c r="W534" s="247">
        <v>11.198148727416999</v>
      </c>
      <c r="X534" s="247">
        <v>11.303442955017101</v>
      </c>
      <c r="Y534" s="247">
        <v>11.352322578430201</v>
      </c>
      <c r="AA534" s="293" t="e">
        <f t="shared" ref="AA534:AG534" si="79">AA533*GJ_p_MMBtu</f>
        <v>#NAME?</v>
      </c>
      <c r="AB534" s="293" t="e">
        <f t="shared" si="79"/>
        <v>#NAME?</v>
      </c>
      <c r="AC534" s="293" t="e">
        <f t="shared" si="79"/>
        <v>#NAME?</v>
      </c>
      <c r="AD534" s="293" t="e">
        <f t="shared" si="79"/>
        <v>#NAME?</v>
      </c>
      <c r="AE534" s="293" t="e">
        <f t="shared" si="79"/>
        <v>#NAME?</v>
      </c>
      <c r="AF534" s="293" t="e">
        <f t="shared" si="79"/>
        <v>#NAME?</v>
      </c>
      <c r="AG534" s="293" t="e">
        <f t="shared" si="79"/>
        <v>#NAME?</v>
      </c>
      <c r="AH534" s="293" t="e">
        <f t="shared" ref="AH534:BM534" si="80">AH533*GJ_p_MMBtu</f>
        <v>#NAME?</v>
      </c>
      <c r="AI534" s="293" t="e">
        <f t="shared" si="80"/>
        <v>#NAME?</v>
      </c>
      <c r="AJ534" s="293" t="e">
        <f t="shared" si="80"/>
        <v>#NAME?</v>
      </c>
      <c r="AK534" s="293" t="e">
        <f t="shared" si="80"/>
        <v>#NAME?</v>
      </c>
      <c r="AL534" s="293" t="e">
        <f t="shared" si="80"/>
        <v>#NAME?</v>
      </c>
      <c r="AM534" s="293" t="e">
        <f t="shared" si="80"/>
        <v>#NAME?</v>
      </c>
      <c r="AN534" s="293" t="e">
        <f t="shared" si="80"/>
        <v>#NAME?</v>
      </c>
      <c r="AO534" s="293" t="e">
        <f t="shared" si="80"/>
        <v>#NAME?</v>
      </c>
      <c r="AP534" s="293" t="e">
        <f t="shared" si="80"/>
        <v>#NAME?</v>
      </c>
      <c r="AQ534" s="293" t="e">
        <f t="shared" si="80"/>
        <v>#NAME?</v>
      </c>
      <c r="AR534" s="293" t="e">
        <f t="shared" si="80"/>
        <v>#NAME?</v>
      </c>
      <c r="AS534" s="293" t="e">
        <f t="shared" si="80"/>
        <v>#NAME?</v>
      </c>
      <c r="AT534" s="293" t="e">
        <f t="shared" si="80"/>
        <v>#NAME?</v>
      </c>
      <c r="AU534" s="293" t="e">
        <f t="shared" si="80"/>
        <v>#NAME?</v>
      </c>
      <c r="AV534" s="293" t="e">
        <f t="shared" si="80"/>
        <v>#NAME?</v>
      </c>
      <c r="AW534" s="293" t="e">
        <f t="shared" si="80"/>
        <v>#NAME?</v>
      </c>
      <c r="AX534" s="293" t="e">
        <f t="shared" si="80"/>
        <v>#NAME?</v>
      </c>
      <c r="AY534" s="293" t="e">
        <f t="shared" si="80"/>
        <v>#NAME?</v>
      </c>
      <c r="AZ534" s="293" t="e">
        <f t="shared" si="80"/>
        <v>#NAME?</v>
      </c>
      <c r="BA534" s="293" t="e">
        <f t="shared" si="80"/>
        <v>#NAME?</v>
      </c>
      <c r="BB534" s="293" t="e">
        <f t="shared" si="80"/>
        <v>#NAME?</v>
      </c>
      <c r="BC534" s="293" t="e">
        <f t="shared" si="80"/>
        <v>#NAME?</v>
      </c>
      <c r="BD534" s="293" t="e">
        <f t="shared" si="80"/>
        <v>#NAME?</v>
      </c>
      <c r="BE534" s="293" t="e">
        <f t="shared" si="80"/>
        <v>#NAME?</v>
      </c>
      <c r="BF534" s="293" t="e">
        <f t="shared" si="80"/>
        <v>#NAME?</v>
      </c>
      <c r="BG534" s="293" t="e">
        <f t="shared" si="80"/>
        <v>#NAME?</v>
      </c>
      <c r="BH534" s="293" t="e">
        <f t="shared" si="80"/>
        <v>#NAME?</v>
      </c>
      <c r="BI534" s="293" t="e">
        <f t="shared" si="80"/>
        <v>#NAME?</v>
      </c>
      <c r="BJ534" s="293" t="e">
        <f t="shared" si="80"/>
        <v>#NAME?</v>
      </c>
      <c r="BK534" s="293" t="e">
        <f t="shared" si="80"/>
        <v>#NAME?</v>
      </c>
      <c r="BL534" s="293" t="e">
        <f t="shared" si="80"/>
        <v>#NAME?</v>
      </c>
      <c r="BM534" s="293" t="e">
        <f t="shared" si="80"/>
        <v>#NAME?</v>
      </c>
      <c r="BN534" s="293" t="e">
        <f>BN533*GJ_p_MMBtu</f>
        <v>#NAME?</v>
      </c>
      <c r="BO534" s="293" t="e">
        <f>BO533*GJ_p_MMBtu</f>
        <v>#NAME?</v>
      </c>
      <c r="BP534" s="293" t="e">
        <f>BP533*GJ_p_MMBtu</f>
        <v>#NAME?</v>
      </c>
      <c r="BQ534" s="293" t="e">
        <f>BQ533*GJ_p_MMBtu</f>
        <v>#NAME?</v>
      </c>
      <c r="BR534" s="293" t="e">
        <f>BR533*GJ_p_MMBtu</f>
        <v>#NAME?</v>
      </c>
    </row>
    <row r="535" spans="1:71" ht="51" customHeight="1" x14ac:dyDescent="0.25">
      <c r="A535" s="243" t="s">
        <v>471</v>
      </c>
      <c r="B535" s="247">
        <v>3.9384419918060298</v>
      </c>
      <c r="C535" s="247">
        <v>4.5867881774902299</v>
      </c>
      <c r="D535" s="247">
        <v>4.6800308227539098</v>
      </c>
      <c r="E535" s="247">
        <v>4.9388971328735396</v>
      </c>
      <c r="F535" s="247">
        <v>4.6724338531494096</v>
      </c>
      <c r="G535" s="247">
        <v>4.2573971748352104</v>
      </c>
      <c r="H535" s="247">
        <v>4.0660681724548304</v>
      </c>
      <c r="I535" s="247">
        <v>3.9201312065124498</v>
      </c>
      <c r="J535" s="247">
        <v>3.8699574470520002</v>
      </c>
      <c r="K535" s="247">
        <v>3.9242179393768302</v>
      </c>
      <c r="L535" s="247">
        <v>3.9701111316680899</v>
      </c>
      <c r="M535" s="247">
        <v>4.0123748779296902</v>
      </c>
      <c r="N535" s="247">
        <v>4.03127193450928</v>
      </c>
      <c r="O535" s="247">
        <v>4.0987625122070304</v>
      </c>
      <c r="P535" s="247">
        <v>4.1393604278564498</v>
      </c>
      <c r="Q535" s="247">
        <v>4.1877317428588903</v>
      </c>
      <c r="R535" s="247">
        <v>4.2278647422790501</v>
      </c>
      <c r="S535" s="247">
        <v>4.2813539505004901</v>
      </c>
      <c r="T535" s="247">
        <v>4.3376803398132298</v>
      </c>
      <c r="U535" s="247">
        <v>4.4096555709838903</v>
      </c>
      <c r="V535" s="247">
        <v>4.4638853073120099</v>
      </c>
      <c r="W535" s="247">
        <v>4.5156707763671902</v>
      </c>
      <c r="X535" s="247">
        <v>4.5648870468139604</v>
      </c>
      <c r="Y535" s="247">
        <v>4.6165790557861301</v>
      </c>
      <c r="AA535" s="247"/>
      <c r="AB535" s="247"/>
      <c r="AC535" s="247"/>
      <c r="AD535" s="247"/>
      <c r="AE535" s="247"/>
      <c r="AF535" s="247"/>
      <c r="AG535" s="247"/>
      <c r="AH535" s="247"/>
    </row>
    <row r="536" spans="1:71" x14ac:dyDescent="0.25">
      <c r="A536" s="268" t="s">
        <v>474</v>
      </c>
      <c r="B536" s="247">
        <v>3.88655662536621</v>
      </c>
      <c r="C536" s="247">
        <v>5.55936574935913</v>
      </c>
      <c r="D536" s="247">
        <v>6.0491561889648402</v>
      </c>
      <c r="E536" s="247">
        <v>6.0767245292663601</v>
      </c>
      <c r="F536" s="247">
        <v>5.4288315773010298</v>
      </c>
      <c r="G536" s="247">
        <v>4.9784579277038601</v>
      </c>
      <c r="H536" s="247">
        <v>4.6095819473266602</v>
      </c>
      <c r="I536" s="247">
        <v>4.5152282714843803</v>
      </c>
      <c r="J536" s="247">
        <v>4.3734540939331099</v>
      </c>
      <c r="K536" s="247">
        <v>4.3719940185546902</v>
      </c>
      <c r="L536" s="247">
        <v>4.4435229301452601</v>
      </c>
      <c r="M536" s="247">
        <v>4.5411396026611301</v>
      </c>
      <c r="N536" s="247">
        <v>4.7005810737609899</v>
      </c>
      <c r="O536" s="247">
        <v>4.81768798828125</v>
      </c>
      <c r="P536" s="247">
        <v>4.7900476455688503</v>
      </c>
      <c r="Q536" s="247">
        <v>4.8231658935546902</v>
      </c>
      <c r="R536" s="247">
        <v>4.9558763504028303</v>
      </c>
      <c r="S536" s="247">
        <v>5.1147346496581996</v>
      </c>
      <c r="T536" s="247">
        <v>5.2329874038696298</v>
      </c>
      <c r="U536" s="247">
        <v>5.3250308036804199</v>
      </c>
      <c r="V536" s="247">
        <v>5.3559622764587402</v>
      </c>
      <c r="W536" s="247">
        <v>5.3499736785888699</v>
      </c>
      <c r="X536" s="247">
        <v>5.4079699516296396</v>
      </c>
      <c r="Y536" s="247">
        <v>5.4724006652831996</v>
      </c>
      <c r="Z536" s="277">
        <f>Y536+($AI$366-$Y$536)/10</f>
        <v>5.502911815190215</v>
      </c>
    </row>
    <row r="537" spans="1:71" x14ac:dyDescent="0.25">
      <c r="A537" s="243" t="s">
        <v>475</v>
      </c>
      <c r="B537" s="247">
        <v>1.88388228416443</v>
      </c>
      <c r="C537" s="247">
        <v>1.8499996662139899</v>
      </c>
      <c r="D537" s="247">
        <v>1.9631321430206301</v>
      </c>
      <c r="E537" s="247">
        <v>1.9065624475479099</v>
      </c>
      <c r="F537" s="247">
        <v>1.8876701593398999</v>
      </c>
      <c r="G537" s="247">
        <v>1.8568421602249101</v>
      </c>
      <c r="H537" s="247">
        <v>1.8503668308258101</v>
      </c>
      <c r="I537" s="247">
        <v>1.8461718559265099</v>
      </c>
      <c r="J537" s="247">
        <v>1.81827020645142</v>
      </c>
      <c r="K537" s="247">
        <v>1.79229772090912</v>
      </c>
      <c r="L537" s="247">
        <v>1.7775920629501301</v>
      </c>
      <c r="M537" s="247">
        <v>1.7720992565155</v>
      </c>
      <c r="N537" s="247">
        <v>1.7673192024230999</v>
      </c>
      <c r="O537" s="247">
        <v>1.76388168334961</v>
      </c>
      <c r="P537" s="247">
        <v>1.7582092285156301</v>
      </c>
      <c r="Q537" s="247">
        <v>1.7531107664108301</v>
      </c>
      <c r="R537" s="247">
        <v>1.7537478208541899</v>
      </c>
      <c r="S537" s="247">
        <v>1.7550060749053999</v>
      </c>
      <c r="T537" s="247">
        <v>1.75110328197479</v>
      </c>
      <c r="U537" s="247">
        <v>1.741095662117</v>
      </c>
      <c r="V537" s="247">
        <v>1.72283828258514</v>
      </c>
      <c r="W537" s="247">
        <v>1.7066173553466799</v>
      </c>
      <c r="X537" s="247">
        <v>1.6973831653595</v>
      </c>
      <c r="Y537" s="247">
        <v>1.68216860294342</v>
      </c>
    </row>
    <row r="538" spans="1:71" x14ac:dyDescent="0.25">
      <c r="A538" s="243" t="s">
        <v>476</v>
      </c>
      <c r="B538" s="247">
        <v>1.5976041555404701</v>
      </c>
      <c r="C538" s="247">
        <v>1.5543407201767001</v>
      </c>
      <c r="D538" s="247">
        <v>1.5665656328201301</v>
      </c>
      <c r="E538" s="247">
        <v>1.6037170886993399</v>
      </c>
      <c r="F538" s="247">
        <v>1.59409379959106</v>
      </c>
      <c r="G538" s="247">
        <v>1.5766631364822401</v>
      </c>
      <c r="H538" s="247">
        <v>1.5775339603424099</v>
      </c>
      <c r="I538" s="247">
        <v>1.5708864927291899</v>
      </c>
      <c r="J538" s="247">
        <v>1.5649564266204801</v>
      </c>
      <c r="K538" s="247">
        <v>1.56413578987122</v>
      </c>
      <c r="L538" s="247">
        <v>1.5547889471054099</v>
      </c>
      <c r="M538" s="247">
        <v>1.54732978343964</v>
      </c>
      <c r="N538" s="247">
        <v>1.54787278175354</v>
      </c>
      <c r="O538" s="247">
        <v>1.5495419502258301</v>
      </c>
      <c r="P538" s="247">
        <v>1.5494637489318801</v>
      </c>
      <c r="Q538" s="247">
        <v>1.5568271875381501</v>
      </c>
      <c r="R538" s="247">
        <v>1.55967605113983</v>
      </c>
      <c r="S538" s="247">
        <v>1.5613601207733201</v>
      </c>
      <c r="T538" s="247">
        <v>1.5625598430633501</v>
      </c>
      <c r="U538" s="247">
        <v>1.5681461095809901</v>
      </c>
      <c r="V538" s="247">
        <v>1.5708984136581401</v>
      </c>
      <c r="W538" s="247">
        <v>1.6035954952239999</v>
      </c>
      <c r="X538" s="247">
        <v>1.60524129867554</v>
      </c>
      <c r="Y538" s="247">
        <v>1.6024739742279099</v>
      </c>
    </row>
    <row r="539" spans="1:71" x14ac:dyDescent="0.25">
      <c r="A539" s="270" t="s">
        <v>469</v>
      </c>
      <c r="B539" s="247">
        <v>14.734835624694799</v>
      </c>
      <c r="C539" s="247">
        <v>15.0261535644531</v>
      </c>
      <c r="D539" s="247">
        <v>15.7151737213135</v>
      </c>
      <c r="E539" s="247">
        <v>15.5977983474731</v>
      </c>
      <c r="F539" s="247">
        <v>15.0554456710815</v>
      </c>
      <c r="G539" s="247">
        <v>14.415571212768601</v>
      </c>
      <c r="H539" s="247">
        <v>14.123340606689499</v>
      </c>
      <c r="I539" s="247">
        <v>14.033378601074199</v>
      </c>
      <c r="J539" s="247">
        <v>13.8423414230347</v>
      </c>
      <c r="K539" s="247">
        <v>13.6992740631104</v>
      </c>
      <c r="L539" s="247">
        <v>13.8484916687012</v>
      </c>
      <c r="M539" s="247">
        <v>14.089280128479</v>
      </c>
      <c r="N539" s="247">
        <v>14.438159942626999</v>
      </c>
      <c r="O539" s="247">
        <v>14.622407913208001</v>
      </c>
      <c r="P539" s="247">
        <v>14.680962562561</v>
      </c>
      <c r="Q539" s="247">
        <v>14.817166328430201</v>
      </c>
      <c r="R539" s="247">
        <v>15.035754203796399</v>
      </c>
      <c r="S539" s="247">
        <v>15.3131446838379</v>
      </c>
      <c r="T539" s="247">
        <v>15.467190742492701</v>
      </c>
      <c r="U539" s="247">
        <v>15.608844757080099</v>
      </c>
      <c r="V539" s="247">
        <v>15.623446464538601</v>
      </c>
      <c r="W539" s="247">
        <v>15.6070909500122</v>
      </c>
      <c r="X539" s="247">
        <v>15.6627254486084</v>
      </c>
      <c r="Y539" s="247">
        <v>15.7515544891357</v>
      </c>
      <c r="Z539" s="279">
        <f>Y539+($AI$369-$Y$539)/10</f>
        <v>15.681619149325263</v>
      </c>
    </row>
    <row r="540" spans="1:71" x14ac:dyDescent="0.25">
      <c r="A540" s="243" t="s">
        <v>430</v>
      </c>
      <c r="B540" s="247" t="s">
        <v>430</v>
      </c>
      <c r="C540" s="247" t="s">
        <v>430</v>
      </c>
      <c r="D540" s="247" t="s">
        <v>430</v>
      </c>
      <c r="E540" s="247" t="s">
        <v>430</v>
      </c>
      <c r="F540" s="247" t="s">
        <v>430</v>
      </c>
      <c r="G540" s="247" t="s">
        <v>430</v>
      </c>
      <c r="H540" s="247" t="s">
        <v>430</v>
      </c>
      <c r="I540" s="247" t="s">
        <v>430</v>
      </c>
      <c r="J540" s="247" t="s">
        <v>430</v>
      </c>
      <c r="K540" s="247" t="s">
        <v>430</v>
      </c>
      <c r="L540" s="247" t="s">
        <v>430</v>
      </c>
      <c r="M540" s="247" t="s">
        <v>430</v>
      </c>
      <c r="N540" s="247" t="s">
        <v>430</v>
      </c>
      <c r="O540" s="247" t="s">
        <v>430</v>
      </c>
      <c r="P540" s="247" t="s">
        <v>430</v>
      </c>
      <c r="Q540" s="247" t="s">
        <v>430</v>
      </c>
      <c r="R540" s="247" t="s">
        <v>430</v>
      </c>
      <c r="S540" s="247" t="s">
        <v>430</v>
      </c>
      <c r="T540" s="247" t="s">
        <v>430</v>
      </c>
      <c r="U540" s="247" t="s">
        <v>430</v>
      </c>
      <c r="V540" s="247" t="s">
        <v>430</v>
      </c>
      <c r="W540" s="247" t="s">
        <v>430</v>
      </c>
      <c r="X540" s="247" t="s">
        <v>430</v>
      </c>
      <c r="Y540" s="247" t="s">
        <v>430</v>
      </c>
    </row>
    <row r="541" spans="1:71" x14ac:dyDescent="0.25">
      <c r="A541" s="243" t="s">
        <v>477</v>
      </c>
      <c r="B541" s="247">
        <v>10.068477630615201</v>
      </c>
      <c r="C541" s="247">
        <v>11.4567165374756</v>
      </c>
      <c r="D541" s="247">
        <v>12.984972000122101</v>
      </c>
      <c r="E541" s="247">
        <v>12.646059036254901</v>
      </c>
      <c r="F541" s="247">
        <v>12.0215864181519</v>
      </c>
      <c r="G541" s="247">
        <v>11.451254844665501</v>
      </c>
      <c r="H541" s="247">
        <v>11.2903280258179</v>
      </c>
      <c r="I541" s="247">
        <v>11.054517745971699</v>
      </c>
      <c r="J541" s="247">
        <v>10.953487396240201</v>
      </c>
      <c r="K541" s="247">
        <v>10.9616088867188</v>
      </c>
      <c r="L541" s="247">
        <v>10.9120273590088</v>
      </c>
      <c r="M541" s="247">
        <v>10.9370317459106</v>
      </c>
      <c r="N541" s="247">
        <v>10.932166099548301</v>
      </c>
      <c r="O541" s="247">
        <v>10.949841499328601</v>
      </c>
      <c r="P541" s="247">
        <v>10.9948740005493</v>
      </c>
      <c r="Q541" s="247">
        <v>11.046938896179199</v>
      </c>
      <c r="R541" s="247">
        <v>11.074780464172401</v>
      </c>
      <c r="S541" s="247">
        <v>11.117128372192401</v>
      </c>
      <c r="T541" s="247">
        <v>11.155697822570801</v>
      </c>
      <c r="U541" s="247">
        <v>11.209436416626</v>
      </c>
      <c r="V541" s="247">
        <v>11.2737817764282</v>
      </c>
      <c r="W541" s="247">
        <v>11.3331050872803</v>
      </c>
      <c r="X541" s="247">
        <v>11.350456237793001</v>
      </c>
      <c r="Y541" s="247">
        <v>11.462995529174799</v>
      </c>
    </row>
    <row r="542" spans="1:71" x14ac:dyDescent="0.25">
      <c r="A542" s="243" t="s">
        <v>473</v>
      </c>
      <c r="B542" s="247">
        <v>10.0396184921265</v>
      </c>
      <c r="C542" s="247">
        <v>11.4297380447388</v>
      </c>
      <c r="D542" s="247">
        <v>12.961000442504901</v>
      </c>
      <c r="E542" s="247">
        <v>12.6219329833984</v>
      </c>
      <c r="F542" s="247">
        <v>11.9984340667725</v>
      </c>
      <c r="G542" s="247">
        <v>11.4290685653687</v>
      </c>
      <c r="H542" s="247">
        <v>11.2685947418213</v>
      </c>
      <c r="I542" s="247">
        <v>11.0320892333984</v>
      </c>
      <c r="J542" s="247">
        <v>10.930870056152299</v>
      </c>
      <c r="K542" s="247">
        <v>10.938961982727101</v>
      </c>
      <c r="L542" s="247">
        <v>10.8886499404907</v>
      </c>
      <c r="M542" s="247">
        <v>10.913072586059601</v>
      </c>
      <c r="N542" s="247">
        <v>10.9073333740234</v>
      </c>
      <c r="O542" s="247">
        <v>10.9247722625732</v>
      </c>
      <c r="P542" s="247">
        <v>10.969937324523899</v>
      </c>
      <c r="Q542" s="247">
        <v>11.021965980529799</v>
      </c>
      <c r="R542" s="247">
        <v>11.049379348754901</v>
      </c>
      <c r="S542" s="247">
        <v>11.0911350250244</v>
      </c>
      <c r="T542" s="247">
        <v>11.129392623901399</v>
      </c>
      <c r="U542" s="247">
        <v>11.182910919189499</v>
      </c>
      <c r="V542" s="247">
        <v>11.247509956359901</v>
      </c>
      <c r="W542" s="247">
        <v>11.307147026061999</v>
      </c>
      <c r="X542" s="247">
        <v>11.324338912963899</v>
      </c>
      <c r="Y542" s="247">
        <v>11.436959266662599</v>
      </c>
    </row>
    <row r="543" spans="1:71" x14ac:dyDescent="0.25">
      <c r="A543" s="243" t="s">
        <v>465</v>
      </c>
      <c r="B543" s="247">
        <v>10.0409812927246</v>
      </c>
      <c r="C543" s="247">
        <v>11.431476593017599</v>
      </c>
      <c r="D543" s="247">
        <v>12.9638833999634</v>
      </c>
      <c r="E543" s="247">
        <v>12.6248769760132</v>
      </c>
      <c r="F543" s="247">
        <v>12.0015964508057</v>
      </c>
      <c r="G543" s="247">
        <v>11.432228088378899</v>
      </c>
      <c r="H543" s="247">
        <v>11.2722625732422</v>
      </c>
      <c r="I543" s="247">
        <v>11.0358724594116</v>
      </c>
      <c r="J543" s="247">
        <v>10.934929847717299</v>
      </c>
      <c r="K543" s="247">
        <v>10.9432172775269</v>
      </c>
      <c r="L543" s="247">
        <v>10.892875671386699</v>
      </c>
      <c r="M543" s="247">
        <v>10.9173030853271</v>
      </c>
      <c r="N543" s="247">
        <v>10.911340713501</v>
      </c>
      <c r="O543" s="247">
        <v>10.928663253784199</v>
      </c>
      <c r="P543" s="247">
        <v>10.9740562438965</v>
      </c>
      <c r="Q543" s="247">
        <v>11.026309967041</v>
      </c>
      <c r="R543" s="247">
        <v>11.0536193847656</v>
      </c>
      <c r="S543" s="247">
        <v>11.0952548980713</v>
      </c>
      <c r="T543" s="247">
        <v>11.1333513259888</v>
      </c>
      <c r="U543" s="247">
        <v>11.1867895126343</v>
      </c>
      <c r="V543" s="247">
        <v>11.251508712768601</v>
      </c>
      <c r="W543" s="247">
        <v>11.3113117218018</v>
      </c>
      <c r="X543" s="247">
        <v>11.328408241271999</v>
      </c>
      <c r="Y543" s="247">
        <v>11.4412240982056</v>
      </c>
    </row>
    <row r="544" spans="1:71" x14ac:dyDescent="0.25">
      <c r="A544" s="274" t="s">
        <v>478</v>
      </c>
      <c r="B544" s="247">
        <v>9.5535230636596697</v>
      </c>
      <c r="C544" s="247">
        <v>10.9202365875244</v>
      </c>
      <c r="D544" s="247">
        <v>12.0208587646484</v>
      </c>
      <c r="E544" s="247">
        <v>11.5461339950562</v>
      </c>
      <c r="F544" s="247">
        <v>11.286841392517101</v>
      </c>
      <c r="G544" s="247">
        <v>11.003821372985801</v>
      </c>
      <c r="H544" s="247">
        <v>10.8476676940918</v>
      </c>
      <c r="I544" s="247">
        <v>10.675346374511699</v>
      </c>
      <c r="J544" s="247">
        <v>10.7599039077759</v>
      </c>
      <c r="K544" s="247">
        <v>10.8244476318359</v>
      </c>
      <c r="L544" s="247">
        <v>10.807107925415</v>
      </c>
      <c r="M544" s="247">
        <v>10.788902282714799</v>
      </c>
      <c r="N544" s="247">
        <v>10.7359352111816</v>
      </c>
      <c r="O544" s="247">
        <v>10.7108716964722</v>
      </c>
      <c r="P544" s="247">
        <v>10.6978845596313</v>
      </c>
      <c r="Q544" s="247">
        <v>10.720422744751</v>
      </c>
      <c r="R544" s="247">
        <v>10.715018272399901</v>
      </c>
      <c r="S544" s="247">
        <v>10.7237329483032</v>
      </c>
      <c r="T544" s="247">
        <v>10.658562660217299</v>
      </c>
      <c r="U544" s="247">
        <v>10.6896152496338</v>
      </c>
      <c r="V544" s="247">
        <v>10.7133436203003</v>
      </c>
      <c r="W544" s="247">
        <v>10.6396188735962</v>
      </c>
      <c r="X544" s="247">
        <v>10.6814889907837</v>
      </c>
      <c r="Y544" s="247">
        <v>10.8466644287109</v>
      </c>
      <c r="Z544" s="281">
        <f>Y544+($AI$374-$Y$544)/10</f>
        <v>11.215393895691953</v>
      </c>
    </row>
    <row r="545" spans="1:26" x14ac:dyDescent="0.25">
      <c r="A545" s="243" t="s">
        <v>479</v>
      </c>
      <c r="B545" s="247">
        <v>6.0538434982299796</v>
      </c>
      <c r="C545" s="247">
        <v>6.4578518867492702</v>
      </c>
      <c r="D545" s="247">
        <v>8.1168746948242205</v>
      </c>
      <c r="E545" s="247">
        <v>7.6875572204589799</v>
      </c>
      <c r="F545" s="247">
        <v>7.0150871276855504</v>
      </c>
      <c r="G545" s="247">
        <v>6.5790328979492196</v>
      </c>
      <c r="H545" s="247">
        <v>6.5712537765502903</v>
      </c>
      <c r="I545" s="247">
        <v>6.42602443695068</v>
      </c>
      <c r="J545" s="247">
        <v>6.2476048469543501</v>
      </c>
      <c r="K545" s="247">
        <v>6.2184038162231401</v>
      </c>
      <c r="L545" s="247">
        <v>6.2436552047729501</v>
      </c>
      <c r="M545" s="247">
        <v>6.2858424186706499</v>
      </c>
      <c r="N545" s="247">
        <v>6.2737250328064</v>
      </c>
      <c r="O545" s="247">
        <v>6.2926135063171396</v>
      </c>
      <c r="P545" s="247">
        <v>6.3336305618286097</v>
      </c>
      <c r="Q545" s="247">
        <v>6.3623290061950701</v>
      </c>
      <c r="R545" s="247">
        <v>6.4419050216674796</v>
      </c>
      <c r="S545" s="247">
        <v>6.5377755165100098</v>
      </c>
      <c r="T545" s="247">
        <v>6.5789065361022896</v>
      </c>
      <c r="U545" s="247">
        <v>6.7034192085266104</v>
      </c>
      <c r="V545" s="247">
        <v>6.8036813735961896</v>
      </c>
      <c r="W545" s="247">
        <v>6.8691210746765101</v>
      </c>
      <c r="X545" s="247">
        <v>6.8930430412292498</v>
      </c>
      <c r="Y545" s="247">
        <v>6.9258189201354998</v>
      </c>
    </row>
    <row r="546" spans="1:26" x14ac:dyDescent="0.25">
      <c r="A546" s="274" t="s">
        <v>480</v>
      </c>
      <c r="B546" s="247">
        <v>11.3207235336304</v>
      </c>
      <c r="C546" s="247">
        <v>12.9284992218018</v>
      </c>
      <c r="D546" s="247">
        <v>14.6530704498291</v>
      </c>
      <c r="E546" s="247">
        <v>14.346965789794901</v>
      </c>
      <c r="F546" s="247">
        <v>13.634911537170399</v>
      </c>
      <c r="G546" s="247">
        <v>12.9354457855225</v>
      </c>
      <c r="H546" s="247">
        <v>12.7248182296753</v>
      </c>
      <c r="I546" s="247">
        <v>12.444727897644</v>
      </c>
      <c r="J546" s="247">
        <v>12.3216390609741</v>
      </c>
      <c r="K546" s="247">
        <v>12.333900451660201</v>
      </c>
      <c r="L546" s="247">
        <v>12.228641510009799</v>
      </c>
      <c r="M546" s="247">
        <v>12.2244319915771</v>
      </c>
      <c r="N546" s="247">
        <v>12.232741355896</v>
      </c>
      <c r="O546" s="247">
        <v>12.2594261169434</v>
      </c>
      <c r="P546" s="247">
        <v>12.3207359313965</v>
      </c>
      <c r="Q546" s="247">
        <v>12.3872022628784</v>
      </c>
      <c r="R546" s="247">
        <v>12.4125566482544</v>
      </c>
      <c r="S546" s="247">
        <v>12.451280593872101</v>
      </c>
      <c r="T546" s="247">
        <v>12.520702362060501</v>
      </c>
      <c r="U546" s="247">
        <v>12.5581102371216</v>
      </c>
      <c r="V546" s="247">
        <v>12.622034072876</v>
      </c>
      <c r="W546" s="247">
        <v>12.7203483581543</v>
      </c>
      <c r="X546" s="247">
        <v>12.7153625488281</v>
      </c>
      <c r="Y546" s="247">
        <v>12.8139133453369</v>
      </c>
      <c r="Z546" s="281">
        <f>Y546+($AI$376-$Y$546)/10</f>
        <v>13.239838295522954</v>
      </c>
    </row>
    <row r="547" spans="1:26" x14ac:dyDescent="0.25">
      <c r="A547" s="243" t="s">
        <v>471</v>
      </c>
      <c r="B547" s="247">
        <v>3.83150410652161</v>
      </c>
      <c r="C547" s="247">
        <v>4.4939312934875497</v>
      </c>
      <c r="D547" s="247">
        <v>4.5839381217956499</v>
      </c>
      <c r="E547" s="247">
        <v>4.8374905586242702</v>
      </c>
      <c r="F547" s="247">
        <v>4.5451078414917001</v>
      </c>
      <c r="G547" s="247">
        <v>4.1204147338867196</v>
      </c>
      <c r="H547" s="247">
        <v>3.9213058948516801</v>
      </c>
      <c r="I547" s="247">
        <v>3.7859048843383798</v>
      </c>
      <c r="J547" s="247">
        <v>3.7380118370056201</v>
      </c>
      <c r="K547" s="247">
        <v>3.79148626327515</v>
      </c>
      <c r="L547" s="247">
        <v>3.8454215526580802</v>
      </c>
      <c r="M547" s="247">
        <v>3.8996179103851301</v>
      </c>
      <c r="N547" s="247">
        <v>3.9557838439941402</v>
      </c>
      <c r="O547" s="247">
        <v>4.0096635818481401</v>
      </c>
      <c r="P547" s="247">
        <v>4.0587000846862802</v>
      </c>
      <c r="Q547" s="247">
        <v>4.1115031242370597</v>
      </c>
      <c r="R547" s="247">
        <v>4.1679596900939897</v>
      </c>
      <c r="S547" s="247">
        <v>4.2270021438598597</v>
      </c>
      <c r="T547" s="247">
        <v>4.2823433876037598</v>
      </c>
      <c r="U547" s="247">
        <v>4.3368558883667001</v>
      </c>
      <c r="V547" s="247">
        <v>4.3924484252929696</v>
      </c>
      <c r="W547" s="247">
        <v>4.4465680122375497</v>
      </c>
      <c r="X547" s="247">
        <v>4.5027370452880904</v>
      </c>
      <c r="Y547" s="247">
        <v>4.5619544982910201</v>
      </c>
    </row>
    <row r="548" spans="1:26" x14ac:dyDescent="0.25">
      <c r="A548" s="243" t="s">
        <v>481</v>
      </c>
      <c r="B548" s="247">
        <v>15.146578788757299</v>
      </c>
      <c r="C548" s="247">
        <v>16.654964447021499</v>
      </c>
      <c r="D548" s="247">
        <v>20.603065490722699</v>
      </c>
      <c r="E548" s="247">
        <v>20.419296264648398</v>
      </c>
      <c r="F548" s="247">
        <v>16.382719039916999</v>
      </c>
      <c r="G548" s="247">
        <v>15.8189392089844</v>
      </c>
      <c r="H548" s="247">
        <v>15.6014108657837</v>
      </c>
      <c r="I548" s="247">
        <v>15.311073303222701</v>
      </c>
      <c r="J548" s="247">
        <v>15.2448682785034</v>
      </c>
      <c r="K548" s="247">
        <v>15.179443359375</v>
      </c>
      <c r="L548" s="247">
        <v>15.2014074325562</v>
      </c>
      <c r="M548" s="247">
        <v>15.2481698989868</v>
      </c>
      <c r="N548" s="247">
        <v>15.181710243225099</v>
      </c>
      <c r="O548" s="247">
        <v>15.278540611267101</v>
      </c>
      <c r="P548" s="247">
        <v>15.3825387954712</v>
      </c>
      <c r="Q548" s="247">
        <v>15.370577812194799</v>
      </c>
      <c r="R548" s="247">
        <v>15.3893880844116</v>
      </c>
      <c r="S548" s="247">
        <v>15.510032653808601</v>
      </c>
      <c r="T548" s="247">
        <v>15.6597127914429</v>
      </c>
      <c r="U548" s="247">
        <v>15.774450302124</v>
      </c>
      <c r="V548" s="247">
        <v>15.847083091735801</v>
      </c>
      <c r="W548" s="247">
        <v>16.037206649780298</v>
      </c>
      <c r="X548" s="247">
        <v>16.107362747192401</v>
      </c>
      <c r="Y548" s="247">
        <v>16.244932174682599</v>
      </c>
    </row>
    <row r="549" spans="1:26" x14ac:dyDescent="0.25">
      <c r="A549" s="243" t="s">
        <v>482</v>
      </c>
      <c r="B549" s="247">
        <v>7.2317700386047399</v>
      </c>
      <c r="C549" s="247">
        <v>9.0444478988647496</v>
      </c>
      <c r="D549" s="247">
        <v>9.7142534255981392</v>
      </c>
      <c r="E549" s="247">
        <v>9.7951860427856392</v>
      </c>
      <c r="F549" s="247">
        <v>9.2951183319091797</v>
      </c>
      <c r="G549" s="247">
        <v>8.9833269119262695</v>
      </c>
      <c r="H549" s="247">
        <v>8.7195968627929705</v>
      </c>
      <c r="I549" s="247">
        <v>8.6326360702514595</v>
      </c>
      <c r="J549" s="247">
        <v>8.5613536834716797</v>
      </c>
      <c r="K549" s="247">
        <v>8.6190090179443395</v>
      </c>
      <c r="L549" s="247">
        <v>8.7080965042114293</v>
      </c>
      <c r="M549" s="247">
        <v>8.8271207809448207</v>
      </c>
      <c r="N549" s="247">
        <v>8.9910020828247106</v>
      </c>
      <c r="O549" s="247">
        <v>9.1132879257202095</v>
      </c>
      <c r="P549" s="247">
        <v>9.1042909622192401</v>
      </c>
      <c r="Q549" s="247">
        <v>9.1039905548095703</v>
      </c>
      <c r="R549" s="247">
        <v>9.2009325027465803</v>
      </c>
      <c r="S549" s="247">
        <v>9.3432521820068395</v>
      </c>
      <c r="T549" s="247">
        <v>9.4465293884277308</v>
      </c>
      <c r="U549" s="247">
        <v>9.5402717590331996</v>
      </c>
      <c r="V549" s="247">
        <v>9.5791873931884801</v>
      </c>
      <c r="W549" s="247">
        <v>9.5845136642456108</v>
      </c>
      <c r="X549" s="247">
        <v>9.6436891555786097</v>
      </c>
      <c r="Y549" s="247">
        <v>9.694091796875</v>
      </c>
    </row>
    <row r="550" spans="1:26" x14ac:dyDescent="0.25">
      <c r="A550" s="276" t="s">
        <v>487</v>
      </c>
      <c r="B550" s="247">
        <v>14.6543264389038</v>
      </c>
      <c r="C550" s="247">
        <v>16.232709884643601</v>
      </c>
      <c r="D550" s="247">
        <v>19.6646022796631</v>
      </c>
      <c r="E550" s="247">
        <v>19.5902194976807</v>
      </c>
      <c r="F550" s="247">
        <v>19.473403930664102</v>
      </c>
      <c r="G550" s="247">
        <v>18.312351226806602</v>
      </c>
      <c r="H550" s="247">
        <v>18.154972076416001</v>
      </c>
      <c r="I550" s="247">
        <v>17.744245529174801</v>
      </c>
      <c r="J550" s="247">
        <v>17.108533859252901</v>
      </c>
      <c r="K550" s="247">
        <v>16.985416412353501</v>
      </c>
      <c r="L550" s="247">
        <v>16.891477584838899</v>
      </c>
      <c r="M550" s="247">
        <v>17.106473922729499</v>
      </c>
      <c r="N550" s="247">
        <v>17.298709869384801</v>
      </c>
      <c r="O550" s="247">
        <v>17.370653152465799</v>
      </c>
      <c r="P550" s="247">
        <v>17.404756546020501</v>
      </c>
      <c r="Q550" s="247">
        <v>17.4316711425781</v>
      </c>
      <c r="R550" s="247">
        <v>17.495216369628899</v>
      </c>
      <c r="S550" s="247">
        <v>17.111986160278299</v>
      </c>
      <c r="T550" s="247">
        <v>17.221326828002901</v>
      </c>
      <c r="U550" s="247">
        <v>17.6731853485107</v>
      </c>
      <c r="V550" s="247">
        <v>17.676996231079102</v>
      </c>
      <c r="W550" s="247">
        <v>17.866504669189499</v>
      </c>
      <c r="X550" s="247">
        <v>17.993064880371101</v>
      </c>
      <c r="Y550" s="247">
        <v>18.128524780273398</v>
      </c>
      <c r="Z550" s="283">
        <f>Y550+($AI$380-$Y$550)/10</f>
        <v>18.036478922002154</v>
      </c>
    </row>
    <row r="551" spans="1:26" x14ac:dyDescent="0.25">
      <c r="A551" s="243" t="s">
        <v>469</v>
      </c>
      <c r="B551" s="247">
        <v>20.034517288208001</v>
      </c>
      <c r="C551" s="247">
        <v>20.636144638061499</v>
      </c>
      <c r="D551" s="247">
        <v>21.1998176574707</v>
      </c>
      <c r="E551" s="247">
        <v>20.923387527465799</v>
      </c>
      <c r="F551" s="247">
        <v>19.967187881469702</v>
      </c>
      <c r="G551" s="247">
        <v>19.089002609252901</v>
      </c>
      <c r="H551" s="247">
        <v>18.799640655517599</v>
      </c>
      <c r="I551" s="247">
        <v>18.828804016113299</v>
      </c>
      <c r="J551" s="247">
        <v>18.807792663574201</v>
      </c>
      <c r="K551" s="247">
        <v>18.831340789794901</v>
      </c>
      <c r="L551" s="247">
        <v>19.0241508483887</v>
      </c>
      <c r="M551" s="247">
        <v>19.232509613037099</v>
      </c>
      <c r="N551" s="247">
        <v>19.521226882934599</v>
      </c>
      <c r="O551" s="247">
        <v>19.590469360351602</v>
      </c>
      <c r="P551" s="247">
        <v>19.544775009155298</v>
      </c>
      <c r="Q551" s="247">
        <v>19.5792236328125</v>
      </c>
      <c r="R551" s="247">
        <v>19.706111907958999</v>
      </c>
      <c r="S551" s="247">
        <v>19.899772644043001</v>
      </c>
      <c r="T551" s="247">
        <v>19.988050460815401</v>
      </c>
      <c r="U551" s="247">
        <v>20.054973602294901</v>
      </c>
      <c r="V551" s="247">
        <v>19.979206085205099</v>
      </c>
      <c r="W551" s="247">
        <v>19.890190124511701</v>
      </c>
      <c r="X551" s="247">
        <v>19.9172687530518</v>
      </c>
      <c r="Y551" s="247">
        <v>19.9590148925781</v>
      </c>
    </row>
    <row r="552" spans="1:26" x14ac:dyDescent="0.25">
      <c r="A552" s="243" t="s">
        <v>430</v>
      </c>
      <c r="B552" s="247" t="s">
        <v>430</v>
      </c>
      <c r="C552" s="247" t="s">
        <v>430</v>
      </c>
      <c r="D552" s="247" t="s">
        <v>430</v>
      </c>
      <c r="E552" s="247" t="s">
        <v>430</v>
      </c>
      <c r="F552" s="247" t="s">
        <v>430</v>
      </c>
      <c r="G552" s="247" t="s">
        <v>430</v>
      </c>
      <c r="H552" s="247" t="s">
        <v>430</v>
      </c>
      <c r="I552" s="247" t="s">
        <v>430</v>
      </c>
      <c r="J552" s="247" t="s">
        <v>430</v>
      </c>
      <c r="K552" s="247" t="s">
        <v>430</v>
      </c>
      <c r="L552" s="247" t="s">
        <v>430</v>
      </c>
      <c r="M552" s="247" t="s">
        <v>430</v>
      </c>
      <c r="N552" s="247" t="s">
        <v>430</v>
      </c>
      <c r="O552" s="247" t="s">
        <v>430</v>
      </c>
      <c r="P552" s="247" t="s">
        <v>430</v>
      </c>
      <c r="Q552" s="247" t="s">
        <v>430</v>
      </c>
      <c r="R552" s="247" t="s">
        <v>430</v>
      </c>
      <c r="S552" s="247" t="s">
        <v>430</v>
      </c>
      <c r="T552" s="247" t="s">
        <v>430</v>
      </c>
      <c r="U552" s="247" t="s">
        <v>430</v>
      </c>
      <c r="V552" s="247" t="s">
        <v>430</v>
      </c>
      <c r="W552" s="247" t="s">
        <v>430</v>
      </c>
      <c r="X552" s="247" t="s">
        <v>430</v>
      </c>
      <c r="Y552" s="247" t="s">
        <v>430</v>
      </c>
    </row>
    <row r="553" spans="1:26" x14ac:dyDescent="0.25">
      <c r="A553" s="243" t="s">
        <v>488</v>
      </c>
      <c r="B553" s="247">
        <v>10.2607097625732</v>
      </c>
      <c r="C553" s="247">
        <v>11.4965677261353</v>
      </c>
      <c r="D553" s="247">
        <v>12.498481750488301</v>
      </c>
      <c r="E553" s="247">
        <v>12.3126974105835</v>
      </c>
      <c r="F553" s="247">
        <v>11.5857706069946</v>
      </c>
      <c r="G553" s="247">
        <v>11.0374755859375</v>
      </c>
      <c r="H553" s="247">
        <v>10.8027191162109</v>
      </c>
      <c r="I553" s="247">
        <v>10.6485815048218</v>
      </c>
      <c r="J553" s="247">
        <v>10.5555610656738</v>
      </c>
      <c r="K553" s="247">
        <v>10.564617156982401</v>
      </c>
      <c r="L553" s="247">
        <v>10.6249675750732</v>
      </c>
      <c r="M553" s="247">
        <v>10.7333173751831</v>
      </c>
      <c r="N553" s="247">
        <v>10.851320266723601</v>
      </c>
      <c r="O553" s="247">
        <v>10.9544372558594</v>
      </c>
      <c r="P553" s="247">
        <v>11.0046529769897</v>
      </c>
      <c r="Q553" s="247">
        <v>11.070010185241699</v>
      </c>
      <c r="R553" s="247">
        <v>11.175311088561999</v>
      </c>
      <c r="S553" s="247">
        <v>11.313448905944799</v>
      </c>
      <c r="T553" s="247">
        <v>11.4217777252197</v>
      </c>
      <c r="U553" s="247">
        <v>11.534593582153301</v>
      </c>
      <c r="V553" s="247">
        <v>11.6029949188232</v>
      </c>
      <c r="W553" s="247">
        <v>11.660957336425801</v>
      </c>
      <c r="X553" s="247">
        <v>11.7183265686035</v>
      </c>
      <c r="Y553" s="247">
        <v>11.827390670776399</v>
      </c>
    </row>
    <row r="554" spans="1:26" x14ac:dyDescent="0.25">
      <c r="A554" s="243" t="s">
        <v>473</v>
      </c>
      <c r="B554" s="247">
        <v>7.8488264083862296</v>
      </c>
      <c r="C554" s="247">
        <v>9.3171482086181605</v>
      </c>
      <c r="D554" s="247">
        <v>10.5270042419434</v>
      </c>
      <c r="E554" s="247">
        <v>10.2914838790894</v>
      </c>
      <c r="F554" s="247">
        <v>9.5772314071655291</v>
      </c>
      <c r="G554" s="247">
        <v>9.0944671630859393</v>
      </c>
      <c r="H554" s="247">
        <v>8.8957033157348597</v>
      </c>
      <c r="I554" s="247">
        <v>8.7092790603637695</v>
      </c>
      <c r="J554" s="247">
        <v>8.6138839721679705</v>
      </c>
      <c r="K554" s="247">
        <v>8.6225843429565394</v>
      </c>
      <c r="L554" s="247">
        <v>8.6363019943237305</v>
      </c>
      <c r="M554" s="247">
        <v>8.7009534835815394</v>
      </c>
      <c r="N554" s="247">
        <v>8.7555856704711896</v>
      </c>
      <c r="O554" s="247">
        <v>8.8331260681152308</v>
      </c>
      <c r="P554" s="247">
        <v>8.8750228881835902</v>
      </c>
      <c r="Q554" s="247">
        <v>8.9212465286254901</v>
      </c>
      <c r="R554" s="247">
        <v>8.9933633804321307</v>
      </c>
      <c r="S554" s="247">
        <v>9.0904560089111293</v>
      </c>
      <c r="T554" s="247">
        <v>9.1763067245483398</v>
      </c>
      <c r="U554" s="247">
        <v>9.2688179016113299</v>
      </c>
      <c r="V554" s="247">
        <v>9.3425512313842791</v>
      </c>
      <c r="W554" s="247">
        <v>9.4030828475952095</v>
      </c>
      <c r="X554" s="247">
        <v>9.4481410980224592</v>
      </c>
      <c r="Y554" s="247">
        <v>9.5455484390258807</v>
      </c>
    </row>
    <row r="555" spans="1:26" x14ac:dyDescent="0.25">
      <c r="A555" s="243" t="s">
        <v>469</v>
      </c>
      <c r="B555" s="247">
        <v>21.599882125854499</v>
      </c>
      <c r="C555" s="247">
        <v>21.735733032226602</v>
      </c>
      <c r="D555" s="247">
        <v>21.728578567504901</v>
      </c>
      <c r="E555" s="247">
        <v>21.659519195556602</v>
      </c>
      <c r="F555" s="247">
        <v>20.859115600585898</v>
      </c>
      <c r="G555" s="247">
        <v>19.947565078735401</v>
      </c>
      <c r="H555" s="247">
        <v>19.5044040679932</v>
      </c>
      <c r="I555" s="247">
        <v>19.468164443969702</v>
      </c>
      <c r="J555" s="247">
        <v>19.363897323608398</v>
      </c>
      <c r="K555" s="247">
        <v>19.340778350830099</v>
      </c>
      <c r="L555" s="247">
        <v>19.565423965454102</v>
      </c>
      <c r="M555" s="247">
        <v>19.829431533813501</v>
      </c>
      <c r="N555" s="247">
        <v>20.184032440185501</v>
      </c>
      <c r="O555" s="247">
        <v>20.348131179809599</v>
      </c>
      <c r="P555" s="247">
        <v>20.384618759155298</v>
      </c>
      <c r="Q555" s="247">
        <v>20.4941310882568</v>
      </c>
      <c r="R555" s="247">
        <v>20.6934413909912</v>
      </c>
      <c r="S555" s="247">
        <v>20.961088180541999</v>
      </c>
      <c r="T555" s="247">
        <v>21.1064147949219</v>
      </c>
      <c r="U555" s="247">
        <v>21.2582683563232</v>
      </c>
      <c r="V555" s="247">
        <v>21.2429523468018</v>
      </c>
      <c r="W555" s="247">
        <v>21.2300205230713</v>
      </c>
      <c r="X555" s="247">
        <v>21.277418136596701</v>
      </c>
      <c r="Y555" s="247">
        <v>21.3841457366943</v>
      </c>
    </row>
    <row r="556" spans="1:26" x14ac:dyDescent="0.25">
      <c r="A556" s="243" t="s">
        <v>430</v>
      </c>
      <c r="B556" s="247" t="s">
        <v>430</v>
      </c>
      <c r="C556" s="247" t="s">
        <v>430</v>
      </c>
      <c r="D556" s="247" t="s">
        <v>430</v>
      </c>
      <c r="E556" s="247" t="s">
        <v>430</v>
      </c>
      <c r="F556" s="247" t="s">
        <v>430</v>
      </c>
      <c r="G556" s="247" t="s">
        <v>430</v>
      </c>
      <c r="H556" s="247" t="s">
        <v>430</v>
      </c>
      <c r="I556" s="247" t="s">
        <v>430</v>
      </c>
      <c r="J556" s="247" t="s">
        <v>430</v>
      </c>
      <c r="K556" s="247" t="s">
        <v>430</v>
      </c>
      <c r="L556" s="247" t="s">
        <v>430</v>
      </c>
      <c r="M556" s="247" t="s">
        <v>430</v>
      </c>
      <c r="N556" s="247" t="s">
        <v>430</v>
      </c>
      <c r="O556" s="247" t="s">
        <v>430</v>
      </c>
      <c r="P556" s="247" t="s">
        <v>430</v>
      </c>
      <c r="Q556" s="247" t="s">
        <v>430</v>
      </c>
      <c r="R556" s="247" t="s">
        <v>430</v>
      </c>
      <c r="S556" s="247" t="s">
        <v>430</v>
      </c>
      <c r="T556" s="247" t="s">
        <v>430</v>
      </c>
      <c r="U556" s="247" t="s">
        <v>430</v>
      </c>
      <c r="V556" s="247" t="s">
        <v>430</v>
      </c>
      <c r="W556" s="247" t="s">
        <v>430</v>
      </c>
      <c r="X556" s="247" t="s">
        <v>430</v>
      </c>
      <c r="Y556" s="247" t="s">
        <v>430</v>
      </c>
    </row>
    <row r="557" spans="1:26" x14ac:dyDescent="0.25">
      <c r="A557" s="243" t="s">
        <v>489</v>
      </c>
      <c r="B557" s="247" t="s">
        <v>430</v>
      </c>
      <c r="C557" s="247" t="s">
        <v>430</v>
      </c>
      <c r="D557" s="247" t="s">
        <v>430</v>
      </c>
      <c r="E557" s="247" t="s">
        <v>430</v>
      </c>
      <c r="F557" s="247" t="s">
        <v>430</v>
      </c>
      <c r="G557" s="247" t="s">
        <v>430</v>
      </c>
      <c r="H557" s="247" t="s">
        <v>430</v>
      </c>
      <c r="I557" s="247" t="s">
        <v>430</v>
      </c>
      <c r="J557" s="247" t="s">
        <v>430</v>
      </c>
      <c r="K557" s="247" t="s">
        <v>430</v>
      </c>
      <c r="L557" s="247" t="s">
        <v>430</v>
      </c>
      <c r="M557" s="247" t="s">
        <v>430</v>
      </c>
      <c r="N557" s="247" t="s">
        <v>430</v>
      </c>
      <c r="O557" s="247" t="s">
        <v>430</v>
      </c>
      <c r="P557" s="247" t="s">
        <v>430</v>
      </c>
      <c r="Q557" s="247" t="s">
        <v>430</v>
      </c>
      <c r="R557" s="247" t="s">
        <v>430</v>
      </c>
      <c r="S557" s="247" t="s">
        <v>430</v>
      </c>
      <c r="T557" s="247" t="s">
        <v>430</v>
      </c>
      <c r="U557" s="247" t="s">
        <v>430</v>
      </c>
      <c r="V557" s="247" t="s">
        <v>430</v>
      </c>
      <c r="W557" s="247" t="s">
        <v>430</v>
      </c>
      <c r="X557" s="247" t="s">
        <v>430</v>
      </c>
      <c r="Y557" s="247" t="s">
        <v>430</v>
      </c>
    </row>
    <row r="558" spans="1:26" x14ac:dyDescent="0.25">
      <c r="A558" s="243" t="s">
        <v>490</v>
      </c>
      <c r="B558" s="247">
        <v>1.8996955156326301</v>
      </c>
      <c r="C558" s="247">
        <v>2.2409727573394802</v>
      </c>
      <c r="D558" s="247">
        <v>2.4238619804382302</v>
      </c>
      <c r="E558" s="247">
        <v>2.3792355060577401</v>
      </c>
      <c r="F558" s="247">
        <v>2.2243471145629901</v>
      </c>
      <c r="G558" s="247">
        <v>2.11745405197144</v>
      </c>
      <c r="H558" s="247">
        <v>2.0720956325531001</v>
      </c>
      <c r="I558" s="247">
        <v>2.06648945808411</v>
      </c>
      <c r="J558" s="247">
        <v>2.0576293468475302</v>
      </c>
      <c r="K558" s="247">
        <v>2.0898380279540998</v>
      </c>
      <c r="L558" s="247">
        <v>2.13185787200928</v>
      </c>
      <c r="M558" s="247">
        <v>2.1827101707458501</v>
      </c>
      <c r="N558" s="247">
        <v>2.2442750930786102</v>
      </c>
      <c r="O558" s="247">
        <v>2.2846662998199498</v>
      </c>
      <c r="P558" s="247">
        <v>2.2886507511138898</v>
      </c>
      <c r="Q558" s="247">
        <v>2.31255102157593</v>
      </c>
      <c r="R558" s="247">
        <v>2.3658699989318799</v>
      </c>
      <c r="S558" s="247">
        <v>2.41897773742676</v>
      </c>
      <c r="T558" s="247">
        <v>2.4451649188995401</v>
      </c>
      <c r="U558" s="247">
        <v>2.4616906642913801</v>
      </c>
      <c r="V558" s="247">
        <v>2.4596512317657502</v>
      </c>
      <c r="W558" s="247">
        <v>2.4499151706695601</v>
      </c>
      <c r="X558" s="247">
        <v>2.46315670013428</v>
      </c>
      <c r="Y558" s="247">
        <v>2.4591720104217498</v>
      </c>
    </row>
    <row r="559" spans="1:26" x14ac:dyDescent="0.25">
      <c r="A559" s="243" t="s">
        <v>492</v>
      </c>
      <c r="B559" s="247">
        <v>4.3748912811279297</v>
      </c>
      <c r="C559" s="247">
        <v>5.2786889076232901</v>
      </c>
      <c r="D559" s="247">
        <v>5.9517397880554199</v>
      </c>
      <c r="E559" s="247">
        <v>5.8145914077758798</v>
      </c>
      <c r="F559" s="247">
        <v>5.36482858657837</v>
      </c>
      <c r="G559" s="247">
        <v>4.9555935859680202</v>
      </c>
      <c r="H559" s="247">
        <v>4.76583051681519</v>
      </c>
      <c r="I559" s="247">
        <v>4.6106519699096697</v>
      </c>
      <c r="J559" s="247">
        <v>4.5544371604919398</v>
      </c>
      <c r="K559" s="247">
        <v>4.5760931968689</v>
      </c>
      <c r="L559" s="247">
        <v>4.6005949974060103</v>
      </c>
      <c r="M559" s="247">
        <v>4.65545606613159</v>
      </c>
      <c r="N559" s="247">
        <v>4.7050404548645002</v>
      </c>
      <c r="O559" s="247">
        <v>4.76641750335693</v>
      </c>
      <c r="P559" s="247">
        <v>4.8219771385192898</v>
      </c>
      <c r="Q559" s="247">
        <v>4.8744759559631303</v>
      </c>
      <c r="R559" s="247">
        <v>4.9555630683898899</v>
      </c>
      <c r="S559" s="247">
        <v>5.0235657691955602</v>
      </c>
      <c r="T559" s="247">
        <v>5.0990805625915501</v>
      </c>
      <c r="U559" s="247">
        <v>5.1768889427185103</v>
      </c>
      <c r="V559" s="247">
        <v>5.2447147369384801</v>
      </c>
      <c r="W559" s="247">
        <v>5.3197603225707999</v>
      </c>
      <c r="X559" s="247">
        <v>5.3696103096008301</v>
      </c>
      <c r="Y559" s="247">
        <v>5.4173326492309597</v>
      </c>
    </row>
    <row r="560" spans="1:26" x14ac:dyDescent="0.25">
      <c r="A560" s="243" t="s">
        <v>466</v>
      </c>
      <c r="B560" s="247">
        <v>5.6938004493713397</v>
      </c>
      <c r="C560" s="247">
        <v>6.4773354530334499</v>
      </c>
      <c r="D560" s="247">
        <v>7.1750502586364702</v>
      </c>
      <c r="E560" s="247">
        <v>6.8899459838867196</v>
      </c>
      <c r="F560" s="247">
        <v>6.2672758102417001</v>
      </c>
      <c r="G560" s="247">
        <v>5.8609590530395499</v>
      </c>
      <c r="H560" s="247">
        <v>5.6430783271789604</v>
      </c>
      <c r="I560" s="247">
        <v>5.4534807205200204</v>
      </c>
      <c r="J560" s="247">
        <v>5.3617582321167001</v>
      </c>
      <c r="K560" s="247">
        <v>5.3288640975952104</v>
      </c>
      <c r="L560" s="247">
        <v>5.3712139129638699</v>
      </c>
      <c r="M560" s="247">
        <v>5.41644287109375</v>
      </c>
      <c r="N560" s="247">
        <v>5.4747476577758798</v>
      </c>
      <c r="O560" s="247">
        <v>5.5268063545227104</v>
      </c>
      <c r="P560" s="247">
        <v>5.5894103050231898</v>
      </c>
      <c r="Q560" s="247">
        <v>5.6297807693481401</v>
      </c>
      <c r="R560" s="247">
        <v>5.7926478385925302</v>
      </c>
      <c r="S560" s="247">
        <v>5.9167857170104998</v>
      </c>
      <c r="T560" s="247">
        <v>6.0082931518554696</v>
      </c>
      <c r="U560" s="247">
        <v>6.11431789398193</v>
      </c>
      <c r="V560" s="247">
        <v>6.21482229232788</v>
      </c>
      <c r="W560" s="247">
        <v>6.2930455207824698</v>
      </c>
      <c r="X560" s="247">
        <v>6.3174986839294398</v>
      </c>
      <c r="Y560" s="247">
        <v>6.3298768997192401</v>
      </c>
    </row>
    <row r="561" spans="1:26" x14ac:dyDescent="0.25">
      <c r="A561" s="243" t="s">
        <v>471</v>
      </c>
      <c r="B561" s="247">
        <v>3.9850425720214799</v>
      </c>
      <c r="C561" s="247">
        <v>4.7911210060119602</v>
      </c>
      <c r="D561" s="247">
        <v>5.5054435729980504</v>
      </c>
      <c r="E561" s="247">
        <v>5.3836607933044398</v>
      </c>
      <c r="F561" s="247">
        <v>4.9928164482116699</v>
      </c>
      <c r="G561" s="247">
        <v>4.5735058784484899</v>
      </c>
      <c r="H561" s="247">
        <v>4.37508344650269</v>
      </c>
      <c r="I561" s="247">
        <v>4.2357888221740696</v>
      </c>
      <c r="J561" s="247">
        <v>4.1871180534362802</v>
      </c>
      <c r="K561" s="247">
        <v>4.2367839813232404</v>
      </c>
      <c r="L561" s="247">
        <v>4.2823972702026403</v>
      </c>
      <c r="M561" s="247">
        <v>4.3351020812988299</v>
      </c>
      <c r="N561" s="247">
        <v>4.38077735900879</v>
      </c>
      <c r="O561" s="247">
        <v>4.4392328262329102</v>
      </c>
      <c r="P561" s="247">
        <v>4.4927945137023899</v>
      </c>
      <c r="Q561" s="247">
        <v>4.5466628074645996</v>
      </c>
      <c r="R561" s="247">
        <v>4.5988087654113796</v>
      </c>
      <c r="S561" s="247">
        <v>4.6550941467285201</v>
      </c>
      <c r="T561" s="247">
        <v>4.7130184173584002</v>
      </c>
      <c r="U561" s="247">
        <v>4.7694864273071298</v>
      </c>
      <c r="V561" s="247">
        <v>4.8261427879333496</v>
      </c>
      <c r="W561" s="247">
        <v>4.8835220336914098</v>
      </c>
      <c r="X561" s="247">
        <v>4.9410810470581099</v>
      </c>
      <c r="Y561" s="247">
        <v>5.0030183792114302</v>
      </c>
    </row>
    <row r="562" spans="1:26" x14ac:dyDescent="0.25">
      <c r="A562" s="268" t="s">
        <v>468</v>
      </c>
      <c r="B562" s="247">
        <v>3.6857740879058798</v>
      </c>
      <c r="C562" s="247">
        <v>5.4593739509582502</v>
      </c>
      <c r="D562" s="247">
        <v>5.9836626052856401</v>
      </c>
      <c r="E562" s="247">
        <v>5.9217834472656303</v>
      </c>
      <c r="F562" s="247">
        <v>5.2677536010742196</v>
      </c>
      <c r="G562" s="247">
        <v>4.83196926116943</v>
      </c>
      <c r="H562" s="247">
        <v>4.4959845542907697</v>
      </c>
      <c r="I562" s="247">
        <v>4.3869647979736301</v>
      </c>
      <c r="J562" s="247">
        <v>4.2738447189331099</v>
      </c>
      <c r="K562" s="247">
        <v>4.3073697090148899</v>
      </c>
      <c r="L562" s="247">
        <v>4.4138617515564</v>
      </c>
      <c r="M562" s="247">
        <v>4.5377993583679199</v>
      </c>
      <c r="N562" s="247">
        <v>4.6997785568237296</v>
      </c>
      <c r="O562" s="247">
        <v>4.8059244155883798</v>
      </c>
      <c r="P562" s="247">
        <v>4.7723231315612802</v>
      </c>
      <c r="Q562" s="247">
        <v>4.7962751388549796</v>
      </c>
      <c r="R562" s="247">
        <v>4.93237209320068</v>
      </c>
      <c r="S562" s="247">
        <v>5.0951194763183603</v>
      </c>
      <c r="T562" s="247">
        <v>5.2029786109924299</v>
      </c>
      <c r="U562" s="247">
        <v>5.2939982414245597</v>
      </c>
      <c r="V562" s="247">
        <v>5.3285460472106898</v>
      </c>
      <c r="W562" s="247">
        <v>5.3187093734741202</v>
      </c>
      <c r="X562" s="247">
        <v>5.3844461441040004</v>
      </c>
      <c r="Y562" s="247">
        <v>5.4420223236084002</v>
      </c>
      <c r="Z562" s="277">
        <f>Y562+($AI$392-$Y$562)/10</f>
        <v>5.4722581683132612</v>
      </c>
    </row>
    <row r="563" spans="1:26" x14ac:dyDescent="0.25">
      <c r="A563" s="272" t="s">
        <v>476</v>
      </c>
      <c r="B563" s="247">
        <v>1.2699717283248899</v>
      </c>
      <c r="C563" s="247">
        <v>1.27919089794159</v>
      </c>
      <c r="D563" s="247">
        <v>1.2833664417266799</v>
      </c>
      <c r="E563" s="247">
        <v>1.28942894935608</v>
      </c>
      <c r="F563" s="247">
        <v>1.29215919971466</v>
      </c>
      <c r="G563" s="247">
        <v>1.28011155128479</v>
      </c>
      <c r="H563" s="247">
        <v>1.2771430015564</v>
      </c>
      <c r="I563" s="247">
        <v>1.2664887905120801</v>
      </c>
      <c r="J563" s="247">
        <v>1.2516112327575699</v>
      </c>
      <c r="K563" s="247">
        <v>1.2440552711486801</v>
      </c>
      <c r="L563" s="247">
        <v>1.2386393547058101</v>
      </c>
      <c r="M563" s="247">
        <v>1.23525643348694</v>
      </c>
      <c r="N563" s="247">
        <v>1.23468470573425</v>
      </c>
      <c r="O563" s="247">
        <v>1.2341449260711701</v>
      </c>
      <c r="P563" s="247">
        <v>1.23174548149109</v>
      </c>
      <c r="Q563" s="247">
        <v>1.2347780466079701</v>
      </c>
      <c r="R563" s="247">
        <v>1.23870933055878</v>
      </c>
      <c r="S563" s="247">
        <v>1.2427853345871001</v>
      </c>
      <c r="T563" s="247">
        <v>1.24646520614624</v>
      </c>
      <c r="U563" s="247">
        <v>1.2552444934845</v>
      </c>
      <c r="V563" s="247">
        <v>1.26424860954285</v>
      </c>
      <c r="W563" s="247">
        <v>1.2944931983947801</v>
      </c>
      <c r="X563" s="247">
        <v>1.3030458688736</v>
      </c>
      <c r="Y563" s="247">
        <v>1.30599772930145</v>
      </c>
      <c r="Z563" s="285">
        <f>Y563+($AI$393-$Y$563)/10</f>
        <v>1.3088234854404943</v>
      </c>
    </row>
    <row r="564" spans="1:26" x14ac:dyDescent="0.25">
      <c r="A564" s="243" t="s">
        <v>430</v>
      </c>
      <c r="B564" s="247" t="s">
        <v>430</v>
      </c>
      <c r="C564" s="247" t="s">
        <v>430</v>
      </c>
      <c r="D564" s="247" t="s">
        <v>430</v>
      </c>
      <c r="E564" s="247" t="s">
        <v>430</v>
      </c>
      <c r="F564" s="247" t="s">
        <v>430</v>
      </c>
      <c r="G564" s="247" t="s">
        <v>430</v>
      </c>
      <c r="H564" s="247" t="s">
        <v>430</v>
      </c>
      <c r="I564" s="247" t="s">
        <v>430</v>
      </c>
      <c r="J564" s="247" t="s">
        <v>430</v>
      </c>
      <c r="K564" s="247" t="s">
        <v>430</v>
      </c>
      <c r="L564" s="247" t="s">
        <v>430</v>
      </c>
      <c r="M564" s="247" t="s">
        <v>430</v>
      </c>
      <c r="N564" s="247" t="s">
        <v>430</v>
      </c>
      <c r="O564" s="247" t="s">
        <v>430</v>
      </c>
      <c r="P564" s="247" t="s">
        <v>430</v>
      </c>
      <c r="Q564" s="247" t="s">
        <v>430</v>
      </c>
      <c r="R564" s="247" t="s">
        <v>430</v>
      </c>
      <c r="S564" s="247" t="s">
        <v>430</v>
      </c>
      <c r="T564" s="247" t="s">
        <v>430</v>
      </c>
      <c r="U564" s="247" t="s">
        <v>430</v>
      </c>
      <c r="V564" s="247" t="s">
        <v>430</v>
      </c>
      <c r="W564" s="247" t="s">
        <v>430</v>
      </c>
      <c r="X564" s="247" t="s">
        <v>430</v>
      </c>
      <c r="Y564" s="247" t="s">
        <v>430</v>
      </c>
    </row>
    <row r="565" spans="1:26" x14ac:dyDescent="0.25">
      <c r="A565" s="243" t="s">
        <v>493</v>
      </c>
      <c r="B565" s="247" t="s">
        <v>430</v>
      </c>
      <c r="C565" s="247" t="s">
        <v>430</v>
      </c>
      <c r="D565" s="247" t="s">
        <v>430</v>
      </c>
      <c r="E565" s="247" t="s">
        <v>430</v>
      </c>
      <c r="F565" s="247" t="s">
        <v>430</v>
      </c>
      <c r="G565" s="247" t="s">
        <v>430</v>
      </c>
      <c r="H565" s="247" t="s">
        <v>430</v>
      </c>
      <c r="I565" s="247" t="s">
        <v>430</v>
      </c>
      <c r="J565" s="247" t="s">
        <v>430</v>
      </c>
      <c r="K565" s="247" t="s">
        <v>430</v>
      </c>
      <c r="L565" s="247" t="s">
        <v>430</v>
      </c>
      <c r="M565" s="247" t="s">
        <v>430</v>
      </c>
      <c r="N565" s="247" t="s">
        <v>430</v>
      </c>
      <c r="O565" s="247" t="s">
        <v>430</v>
      </c>
      <c r="P565" s="247" t="s">
        <v>430</v>
      </c>
      <c r="Q565" s="247" t="s">
        <v>430</v>
      </c>
      <c r="R565" s="247" t="s">
        <v>430</v>
      </c>
      <c r="S565" s="247" t="s">
        <v>430</v>
      </c>
      <c r="T565" s="247" t="s">
        <v>430</v>
      </c>
      <c r="U565" s="247" t="s">
        <v>430</v>
      </c>
      <c r="V565" s="247" t="s">
        <v>430</v>
      </c>
      <c r="W565" s="247" t="s">
        <v>430</v>
      </c>
      <c r="X565" s="247" t="s">
        <v>430</v>
      </c>
      <c r="Y565" s="247" t="s">
        <v>430</v>
      </c>
    </row>
    <row r="566" spans="1:26" x14ac:dyDescent="0.25">
      <c r="A566" s="243" t="s">
        <v>494</v>
      </c>
      <c r="B566" s="247">
        <v>9.0916013717651403</v>
      </c>
      <c r="C566" s="247">
        <v>10.5092258453369</v>
      </c>
      <c r="D566" s="247">
        <v>12.005053520202599</v>
      </c>
      <c r="E566" s="247">
        <v>11.630154609680201</v>
      </c>
      <c r="F566" s="247">
        <v>10.867414474487299</v>
      </c>
      <c r="G566" s="247">
        <v>10.341483116149901</v>
      </c>
      <c r="H566" s="247">
        <v>10.206826210021999</v>
      </c>
      <c r="I566" s="247">
        <v>9.9809312820434606</v>
      </c>
      <c r="J566" s="247">
        <v>9.9117403030395508</v>
      </c>
      <c r="K566" s="247">
        <v>9.9329805374145508</v>
      </c>
      <c r="L566" s="247">
        <v>9.9184780120849592</v>
      </c>
      <c r="M566" s="247">
        <v>9.9575662612915004</v>
      </c>
      <c r="N566" s="247">
        <v>9.9538516998290998</v>
      </c>
      <c r="O566" s="247">
        <v>10.000968933105501</v>
      </c>
      <c r="P566" s="247">
        <v>10.066521644592299</v>
      </c>
      <c r="Q566" s="247">
        <v>10.122728347778301</v>
      </c>
      <c r="R566" s="247">
        <v>10.166119575500501</v>
      </c>
      <c r="S566" s="247">
        <v>10.2242088317871</v>
      </c>
      <c r="T566" s="247">
        <v>10.2887620925903</v>
      </c>
      <c r="U566" s="247">
        <v>10.370365142822299</v>
      </c>
      <c r="V566" s="247">
        <v>10.451409339904799</v>
      </c>
      <c r="W566" s="247">
        <v>10.528607368469199</v>
      </c>
      <c r="X566" s="247">
        <v>10.560112953186</v>
      </c>
      <c r="Y566" s="247">
        <v>10.6600894927979</v>
      </c>
    </row>
    <row r="567" spans="1:26" x14ac:dyDescent="0.25">
      <c r="A567" s="243" t="s">
        <v>495</v>
      </c>
      <c r="B567" s="247">
        <v>8.7129955291747994</v>
      </c>
      <c r="C567" s="247">
        <v>9.89868068695068</v>
      </c>
      <c r="D567" s="247">
        <v>10.9323616027832</v>
      </c>
      <c r="E567" s="247">
        <v>10.516496658325201</v>
      </c>
      <c r="F567" s="247">
        <v>10.0722150802612</v>
      </c>
      <c r="G567" s="247">
        <v>9.7644062042236293</v>
      </c>
      <c r="H567" s="247">
        <v>9.6708259582519496</v>
      </c>
      <c r="I567" s="247">
        <v>9.5059432983398402</v>
      </c>
      <c r="J567" s="247">
        <v>9.5328626632690394</v>
      </c>
      <c r="K567" s="247">
        <v>9.6073579788208008</v>
      </c>
      <c r="L567" s="247">
        <v>9.6717586517334002</v>
      </c>
      <c r="M567" s="247">
        <v>9.7472448348999006</v>
      </c>
      <c r="N567" s="247">
        <v>9.7227439880371094</v>
      </c>
      <c r="O567" s="247">
        <v>9.7185726165771502</v>
      </c>
      <c r="P567" s="247">
        <v>9.7264575958252006</v>
      </c>
      <c r="Q567" s="247">
        <v>9.7659683227539098</v>
      </c>
      <c r="R567" s="247">
        <v>9.7933034896850604</v>
      </c>
      <c r="S567" s="247">
        <v>9.8243274688720703</v>
      </c>
      <c r="T567" s="247">
        <v>9.7878532409668004</v>
      </c>
      <c r="U567" s="247">
        <v>9.8349857330322301</v>
      </c>
      <c r="V567" s="247">
        <v>9.8761272430419904</v>
      </c>
      <c r="W567" s="247">
        <v>9.8313732147216797</v>
      </c>
      <c r="X567" s="247">
        <v>9.8799133300781303</v>
      </c>
      <c r="Y567" s="247">
        <v>10.0311069488525</v>
      </c>
    </row>
    <row r="568" spans="1:26" x14ac:dyDescent="0.25">
      <c r="A568" s="243" t="s">
        <v>496</v>
      </c>
      <c r="B568" s="247">
        <v>6.0538434982299796</v>
      </c>
      <c r="C568" s="247">
        <v>6.4578518867492702</v>
      </c>
      <c r="D568" s="247">
        <v>8.1168746948242205</v>
      </c>
      <c r="E568" s="247">
        <v>7.6875572204589799</v>
      </c>
      <c r="F568" s="247">
        <v>7.0150871276855504</v>
      </c>
      <c r="G568" s="247">
        <v>6.5790328979492196</v>
      </c>
      <c r="H568" s="247">
        <v>6.5712537765502903</v>
      </c>
      <c r="I568" s="247">
        <v>6.42602443695068</v>
      </c>
      <c r="J568" s="247">
        <v>6.2476048469543501</v>
      </c>
      <c r="K568" s="247">
        <v>6.2184038162231401</v>
      </c>
      <c r="L568" s="247">
        <v>6.2436552047729501</v>
      </c>
      <c r="M568" s="247">
        <v>6.2858424186706499</v>
      </c>
      <c r="N568" s="247">
        <v>6.2737250328064</v>
      </c>
      <c r="O568" s="247">
        <v>6.2926135063171396</v>
      </c>
      <c r="P568" s="247">
        <v>6.3336305618286097</v>
      </c>
      <c r="Q568" s="247">
        <v>6.3623290061950701</v>
      </c>
      <c r="R568" s="247">
        <v>6.4419050216674796</v>
      </c>
      <c r="S568" s="247">
        <v>6.5377755165100098</v>
      </c>
      <c r="T568" s="247">
        <v>6.5789065361022896</v>
      </c>
      <c r="U568" s="247">
        <v>6.7034192085266104</v>
      </c>
      <c r="V568" s="247">
        <v>6.8036813735961896</v>
      </c>
      <c r="W568" s="247">
        <v>6.8691210746765101</v>
      </c>
      <c r="X568" s="247">
        <v>6.8930430412292498</v>
      </c>
      <c r="Y568" s="247">
        <v>6.9258189201354998</v>
      </c>
    </row>
    <row r="569" spans="1:26" x14ac:dyDescent="0.25">
      <c r="A569" s="243" t="s">
        <v>497</v>
      </c>
      <c r="B569" s="247">
        <v>9.5166797637939506</v>
      </c>
      <c r="C569" s="247">
        <v>13.0396432876587</v>
      </c>
      <c r="D569" s="247">
        <v>15.6858806610107</v>
      </c>
      <c r="E569" s="247">
        <v>14.0742273330688</v>
      </c>
      <c r="F569" s="247">
        <v>12.086350440979</v>
      </c>
      <c r="G569" s="247">
        <v>11.4653730392456</v>
      </c>
      <c r="H569" s="247">
        <v>11.285403251647899</v>
      </c>
      <c r="I569" s="247">
        <v>11.0092105865479</v>
      </c>
      <c r="J569" s="247">
        <v>10.989564895629901</v>
      </c>
      <c r="K569" s="247">
        <v>10.925596237182599</v>
      </c>
      <c r="L569" s="247">
        <v>10.987684249877899</v>
      </c>
      <c r="M569" s="247">
        <v>11.0838632583618</v>
      </c>
      <c r="N569" s="247">
        <v>11.0187425613403</v>
      </c>
      <c r="O569" s="247">
        <v>11.2084665298462</v>
      </c>
      <c r="P569" s="247">
        <v>11.3385829925537</v>
      </c>
      <c r="Q569" s="247">
        <v>11.336560249328601</v>
      </c>
      <c r="R569" s="247">
        <v>11.412732124328601</v>
      </c>
      <c r="S569" s="247">
        <v>11.5561437606812</v>
      </c>
      <c r="T569" s="247">
        <v>11.7385349273682</v>
      </c>
      <c r="U569" s="247">
        <v>11.9240121841431</v>
      </c>
      <c r="V569" s="247">
        <v>12.033415794372599</v>
      </c>
      <c r="W569" s="247">
        <v>12.184607505798301</v>
      </c>
      <c r="X569" s="247">
        <v>12.2847499847412</v>
      </c>
      <c r="Y569" s="247">
        <v>12.335958480835</v>
      </c>
    </row>
    <row r="570" spans="1:26" x14ac:dyDescent="0.25">
      <c r="A570" s="243" t="s">
        <v>498</v>
      </c>
      <c r="B570" s="247">
        <v>11.3185987472534</v>
      </c>
      <c r="C570" s="247">
        <v>12.9258327484131</v>
      </c>
      <c r="D570" s="247">
        <v>14.650143623352101</v>
      </c>
      <c r="E570" s="247">
        <v>14.3442440032959</v>
      </c>
      <c r="F570" s="247">
        <v>13.623025894165</v>
      </c>
      <c r="G570" s="247">
        <v>12.923449516296399</v>
      </c>
      <c r="H570" s="247">
        <v>12.7128458023071</v>
      </c>
      <c r="I570" s="247">
        <v>12.432819366455099</v>
      </c>
      <c r="J570" s="247">
        <v>12.310016632080099</v>
      </c>
      <c r="K570" s="247">
        <v>12.3222455978394</v>
      </c>
      <c r="L570" s="247">
        <v>12.2171115875244</v>
      </c>
      <c r="M570" s="247">
        <v>12.2130832672119</v>
      </c>
      <c r="N570" s="247">
        <v>12.22132396698</v>
      </c>
      <c r="O570" s="247">
        <v>12.248191833496101</v>
      </c>
      <c r="P570" s="247">
        <v>12.309587478637701</v>
      </c>
      <c r="Q570" s="247">
        <v>12.376181602478001</v>
      </c>
      <c r="R570" s="247">
        <v>12.4016332626343</v>
      </c>
      <c r="S570" s="247">
        <v>12.440443038940399</v>
      </c>
      <c r="T570" s="247">
        <v>12.509931564331101</v>
      </c>
      <c r="U570" s="247">
        <v>12.547391891479499</v>
      </c>
      <c r="V570" s="247">
        <v>12.611403465271</v>
      </c>
      <c r="W570" s="247">
        <v>12.7098541259766</v>
      </c>
      <c r="X570" s="247">
        <v>12.7049369812012</v>
      </c>
      <c r="Y570" s="247">
        <v>12.8036108016968</v>
      </c>
    </row>
    <row r="571" spans="1:26" x14ac:dyDescent="0.25">
      <c r="A571" s="243" t="s">
        <v>499</v>
      </c>
      <c r="B571" s="247">
        <v>3.9308724403381299</v>
      </c>
      <c r="C571" s="247">
        <v>4.6628575325012198</v>
      </c>
      <c r="D571" s="247">
        <v>5.07232666015625</v>
      </c>
      <c r="E571" s="247">
        <v>5.1433629989623997</v>
      </c>
      <c r="F571" s="247">
        <v>4.8060836791992196</v>
      </c>
      <c r="G571" s="247">
        <v>4.3862032890319798</v>
      </c>
      <c r="H571" s="247">
        <v>4.1832194328308097</v>
      </c>
      <c r="I571" s="247">
        <v>4.0440359115600604</v>
      </c>
      <c r="J571" s="247">
        <v>3.9943466186523402</v>
      </c>
      <c r="K571" s="247">
        <v>4.04720115661621</v>
      </c>
      <c r="L571" s="247">
        <v>4.0966601371765101</v>
      </c>
      <c r="M571" s="247">
        <v>4.1477751731872603</v>
      </c>
      <c r="N571" s="247">
        <v>4.19142723083496</v>
      </c>
      <c r="O571" s="247">
        <v>4.2503523826599103</v>
      </c>
      <c r="P571" s="247">
        <v>4.3018612861633301</v>
      </c>
      <c r="Q571" s="247">
        <v>4.3527650833129901</v>
      </c>
      <c r="R571" s="247">
        <v>4.4055538177490199</v>
      </c>
      <c r="S571" s="247">
        <v>4.4662823677062997</v>
      </c>
      <c r="T571" s="247">
        <v>4.5225110054016104</v>
      </c>
      <c r="U571" s="247">
        <v>4.5828208923339799</v>
      </c>
      <c r="V571" s="247">
        <v>4.6386957168579102</v>
      </c>
      <c r="W571" s="247">
        <v>4.6918659210205096</v>
      </c>
      <c r="X571" s="247">
        <v>4.7469024658203098</v>
      </c>
      <c r="Y571" s="247">
        <v>4.8068332672119096</v>
      </c>
    </row>
    <row r="572" spans="1:26" x14ac:dyDescent="0.25">
      <c r="A572" s="243" t="s">
        <v>500</v>
      </c>
      <c r="B572" s="247">
        <v>5.1461992263793901</v>
      </c>
      <c r="C572" s="247">
        <v>6.8558807373046902</v>
      </c>
      <c r="D572" s="247">
        <v>7.3508329391479501</v>
      </c>
      <c r="E572" s="247">
        <v>7.3838677406311</v>
      </c>
      <c r="F572" s="247">
        <v>6.7167663574218803</v>
      </c>
      <c r="G572" s="247">
        <v>6.2544136047363299</v>
      </c>
      <c r="H572" s="247">
        <v>5.8490047454834002</v>
      </c>
      <c r="I572" s="247">
        <v>5.6922402381896999</v>
      </c>
      <c r="J572" s="247">
        <v>5.5182204246520996</v>
      </c>
      <c r="K572" s="247">
        <v>5.4887638092040998</v>
      </c>
      <c r="L572" s="247">
        <v>5.5592789649963397</v>
      </c>
      <c r="M572" s="247">
        <v>5.6574964523315403</v>
      </c>
      <c r="N572" s="247">
        <v>5.8102455139160201</v>
      </c>
      <c r="O572" s="247">
        <v>5.9230461120605504</v>
      </c>
      <c r="P572" s="247">
        <v>5.8875889778137198</v>
      </c>
      <c r="Q572" s="247">
        <v>5.8938632011413601</v>
      </c>
      <c r="R572" s="247">
        <v>6.0147280693054199</v>
      </c>
      <c r="S572" s="247">
        <v>6.1772904396057102</v>
      </c>
      <c r="T572" s="247">
        <v>6.2973737716674796</v>
      </c>
      <c r="U572" s="247">
        <v>6.40012407302856</v>
      </c>
      <c r="V572" s="247">
        <v>6.4435343742370597</v>
      </c>
      <c r="W572" s="247">
        <v>6.4505195617675799</v>
      </c>
      <c r="X572" s="247">
        <v>6.5169725418090803</v>
      </c>
      <c r="Y572" s="247">
        <v>6.5874438285827601</v>
      </c>
    </row>
    <row r="573" spans="1:26" x14ac:dyDescent="0.25">
      <c r="A573" s="243" t="s">
        <v>501</v>
      </c>
      <c r="B573" s="247">
        <v>1.2938040494918801</v>
      </c>
      <c r="C573" s="247">
        <v>1.29924309253693</v>
      </c>
      <c r="D573" s="247">
        <v>1.30395972728729</v>
      </c>
      <c r="E573" s="247">
        <v>1.3117660284042401</v>
      </c>
      <c r="F573" s="247">
        <v>1.3130011558532699</v>
      </c>
      <c r="G573" s="247">
        <v>1.3001606464386</v>
      </c>
      <c r="H573" s="247">
        <v>1.2972036600112899</v>
      </c>
      <c r="I573" s="247">
        <v>1.28666663169861</v>
      </c>
      <c r="J573" s="247">
        <v>1.2722240686416599</v>
      </c>
      <c r="K573" s="247">
        <v>1.2649568319320701</v>
      </c>
      <c r="L573" s="247">
        <v>1.25909507274628</v>
      </c>
      <c r="M573" s="247">
        <v>1.25531446933746</v>
      </c>
      <c r="N573" s="247">
        <v>1.25464415550232</v>
      </c>
      <c r="O573" s="247">
        <v>1.25405156612396</v>
      </c>
      <c r="P573" s="247">
        <v>1.2516055107116699</v>
      </c>
      <c r="Q573" s="247">
        <v>1.25465047359467</v>
      </c>
      <c r="R573" s="247">
        <v>1.2582825422287001</v>
      </c>
      <c r="S573" s="247">
        <v>1.2619441747665401</v>
      </c>
      <c r="T573" s="247">
        <v>1.26514172554016</v>
      </c>
      <c r="U573" s="247">
        <v>1.27338314056396</v>
      </c>
      <c r="V573" s="247">
        <v>1.2817230224609399</v>
      </c>
      <c r="W573" s="247">
        <v>1.31160092353821</v>
      </c>
      <c r="X573" s="247">
        <v>1.3194112777710001</v>
      </c>
      <c r="Y573" s="247">
        <v>1.3217089176178001</v>
      </c>
    </row>
    <row r="574" spans="1:26" x14ac:dyDescent="0.25">
      <c r="A574" s="243" t="s">
        <v>502</v>
      </c>
      <c r="B574" s="247">
        <v>14.6543264389038</v>
      </c>
      <c r="C574" s="247">
        <v>16.232709884643601</v>
      </c>
      <c r="D574" s="247">
        <v>19.6646022796631</v>
      </c>
      <c r="E574" s="247">
        <v>19.5902194976807</v>
      </c>
      <c r="F574" s="247">
        <v>19.473403930664102</v>
      </c>
      <c r="G574" s="247">
        <v>18.312351226806602</v>
      </c>
      <c r="H574" s="247">
        <v>18.154972076416001</v>
      </c>
      <c r="I574" s="247">
        <v>17.744245529174801</v>
      </c>
      <c r="J574" s="247">
        <v>17.108533859252901</v>
      </c>
      <c r="K574" s="247">
        <v>16.985416412353501</v>
      </c>
      <c r="L574" s="247">
        <v>16.891477584838899</v>
      </c>
      <c r="M574" s="247">
        <v>17.106473922729499</v>
      </c>
      <c r="N574" s="247">
        <v>17.298709869384801</v>
      </c>
      <c r="O574" s="247">
        <v>17.370653152465799</v>
      </c>
      <c r="P574" s="247">
        <v>17.404756546020501</v>
      </c>
      <c r="Q574" s="247">
        <v>17.4316711425781</v>
      </c>
      <c r="R574" s="247">
        <v>17.495216369628899</v>
      </c>
      <c r="S574" s="247">
        <v>17.111986160278299</v>
      </c>
      <c r="T574" s="247">
        <v>17.221326828002901</v>
      </c>
      <c r="U574" s="247">
        <v>17.6731853485107</v>
      </c>
      <c r="V574" s="247">
        <v>17.676996231079102</v>
      </c>
      <c r="W574" s="247">
        <v>17.866504669189499</v>
      </c>
      <c r="X574" s="247">
        <v>17.993064880371101</v>
      </c>
      <c r="Y574" s="247">
        <v>18.128524780273398</v>
      </c>
    </row>
    <row r="575" spans="1:26" x14ac:dyDescent="0.25">
      <c r="A575" s="243" t="s">
        <v>469</v>
      </c>
      <c r="B575" s="247">
        <v>21.599882125854499</v>
      </c>
      <c r="C575" s="247">
        <v>21.735733032226602</v>
      </c>
      <c r="D575" s="247">
        <v>21.728578567504901</v>
      </c>
      <c r="E575" s="247">
        <v>21.659519195556602</v>
      </c>
      <c r="F575" s="247">
        <v>20.859115600585898</v>
      </c>
      <c r="G575" s="247">
        <v>19.947565078735401</v>
      </c>
      <c r="H575" s="247">
        <v>19.5044040679932</v>
      </c>
      <c r="I575" s="247">
        <v>19.468164443969702</v>
      </c>
      <c r="J575" s="247">
        <v>19.363897323608398</v>
      </c>
      <c r="K575" s="247">
        <v>19.340778350830099</v>
      </c>
      <c r="L575" s="247">
        <v>19.565423965454102</v>
      </c>
      <c r="M575" s="247">
        <v>19.829431533813501</v>
      </c>
      <c r="N575" s="247">
        <v>20.184032440185501</v>
      </c>
      <c r="O575" s="247">
        <v>20.348131179809599</v>
      </c>
      <c r="P575" s="247">
        <v>20.384618759155298</v>
      </c>
      <c r="Q575" s="247">
        <v>20.4941310882568</v>
      </c>
      <c r="R575" s="247">
        <v>20.6934413909912</v>
      </c>
      <c r="S575" s="247">
        <v>20.961088180541999</v>
      </c>
      <c r="T575" s="247">
        <v>21.1064147949219</v>
      </c>
      <c r="U575" s="247">
        <v>21.2582683563232</v>
      </c>
      <c r="V575" s="247">
        <v>21.2429523468018</v>
      </c>
      <c r="W575" s="247">
        <v>21.2300205230713</v>
      </c>
      <c r="X575" s="247">
        <v>21.277418136596701</v>
      </c>
      <c r="Y575" s="247">
        <v>21.3841457366943</v>
      </c>
    </row>
    <row r="576" spans="1:26" x14ac:dyDescent="0.25">
      <c r="A576" s="243" t="s">
        <v>430</v>
      </c>
      <c r="B576" s="247" t="s">
        <v>430</v>
      </c>
      <c r="C576" s="247" t="s">
        <v>430</v>
      </c>
      <c r="D576" s="247" t="s">
        <v>430</v>
      </c>
      <c r="E576" s="247" t="s">
        <v>430</v>
      </c>
      <c r="F576" s="247" t="s">
        <v>430</v>
      </c>
      <c r="G576" s="247" t="s">
        <v>430</v>
      </c>
      <c r="H576" s="247" t="s">
        <v>430</v>
      </c>
      <c r="I576" s="247" t="s">
        <v>430</v>
      </c>
      <c r="J576" s="247" t="s">
        <v>430</v>
      </c>
      <c r="K576" s="247" t="s">
        <v>430</v>
      </c>
      <c r="L576" s="247" t="s">
        <v>430</v>
      </c>
      <c r="M576" s="247" t="s">
        <v>430</v>
      </c>
      <c r="N576" s="247" t="s">
        <v>430</v>
      </c>
      <c r="O576" s="247" t="s">
        <v>430</v>
      </c>
      <c r="P576" s="247" t="s">
        <v>430</v>
      </c>
      <c r="Q576" s="247" t="s">
        <v>430</v>
      </c>
      <c r="R576" s="247" t="s">
        <v>430</v>
      </c>
      <c r="S576" s="247" t="s">
        <v>430</v>
      </c>
      <c r="T576" s="247" t="s">
        <v>430</v>
      </c>
      <c r="U576" s="247" t="s">
        <v>430</v>
      </c>
      <c r="V576" s="247" t="s">
        <v>430</v>
      </c>
      <c r="W576" s="247" t="s">
        <v>430</v>
      </c>
      <c r="X576" s="247" t="s">
        <v>430</v>
      </c>
      <c r="Y576" s="247" t="s">
        <v>430</v>
      </c>
    </row>
    <row r="577" spans="1:25" x14ac:dyDescent="0.25">
      <c r="A577" s="243" t="s">
        <v>503</v>
      </c>
      <c r="B577" s="247" t="s">
        <v>430</v>
      </c>
      <c r="C577" s="247" t="s">
        <v>430</v>
      </c>
      <c r="D577" s="247" t="s">
        <v>430</v>
      </c>
      <c r="E577" s="247" t="s">
        <v>430</v>
      </c>
      <c r="F577" s="247" t="s">
        <v>430</v>
      </c>
      <c r="G577" s="247" t="s">
        <v>430</v>
      </c>
      <c r="H577" s="247" t="s">
        <v>430</v>
      </c>
      <c r="I577" s="247" t="s">
        <v>430</v>
      </c>
      <c r="J577" s="247" t="s">
        <v>430</v>
      </c>
      <c r="K577" s="247" t="s">
        <v>430</v>
      </c>
      <c r="L577" s="247" t="s">
        <v>430</v>
      </c>
      <c r="M577" s="247" t="s">
        <v>430</v>
      </c>
      <c r="N577" s="247" t="s">
        <v>430</v>
      </c>
      <c r="O577" s="247" t="s">
        <v>430</v>
      </c>
      <c r="P577" s="247" t="s">
        <v>430</v>
      </c>
      <c r="Q577" s="247" t="s">
        <v>430</v>
      </c>
      <c r="R577" s="247" t="s">
        <v>430</v>
      </c>
      <c r="S577" s="247" t="s">
        <v>430</v>
      </c>
      <c r="T577" s="247" t="s">
        <v>430</v>
      </c>
      <c r="U577" s="247" t="s">
        <v>430</v>
      </c>
      <c r="V577" s="247" t="s">
        <v>430</v>
      </c>
      <c r="W577" s="247" t="s">
        <v>430</v>
      </c>
      <c r="X577" s="247" t="s">
        <v>430</v>
      </c>
      <c r="Y577" s="247" t="s">
        <v>430</v>
      </c>
    </row>
    <row r="578" spans="1:25" x14ac:dyDescent="0.25">
      <c r="A578" s="243" t="s">
        <v>504</v>
      </c>
      <c r="B578" s="247" t="s">
        <v>430</v>
      </c>
      <c r="C578" s="247" t="s">
        <v>430</v>
      </c>
      <c r="D578" s="247" t="s">
        <v>430</v>
      </c>
      <c r="E578" s="247" t="s">
        <v>430</v>
      </c>
      <c r="F578" s="247" t="s">
        <v>430</v>
      </c>
      <c r="G578" s="247" t="s">
        <v>430</v>
      </c>
      <c r="H578" s="247" t="s">
        <v>430</v>
      </c>
      <c r="I578" s="247" t="s">
        <v>430</v>
      </c>
      <c r="J578" s="247" t="s">
        <v>430</v>
      </c>
      <c r="K578" s="247" t="s">
        <v>430</v>
      </c>
      <c r="L578" s="247" t="s">
        <v>430</v>
      </c>
      <c r="M578" s="247" t="s">
        <v>430</v>
      </c>
      <c r="N578" s="247" t="s">
        <v>430</v>
      </c>
      <c r="O578" s="247" t="s">
        <v>430</v>
      </c>
      <c r="P578" s="247" t="s">
        <v>430</v>
      </c>
      <c r="Q578" s="247" t="s">
        <v>430</v>
      </c>
      <c r="R578" s="247" t="s">
        <v>430</v>
      </c>
      <c r="S578" s="247" t="s">
        <v>430</v>
      </c>
      <c r="T578" s="247" t="s">
        <v>430</v>
      </c>
      <c r="U578" s="247" t="s">
        <v>430</v>
      </c>
      <c r="V578" s="247" t="s">
        <v>430</v>
      </c>
      <c r="W578" s="247" t="s">
        <v>430</v>
      </c>
      <c r="X578" s="247" t="s">
        <v>430</v>
      </c>
      <c r="Y578" s="247" t="s">
        <v>430</v>
      </c>
    </row>
    <row r="579" spans="1:25" x14ac:dyDescent="0.25">
      <c r="A579" s="243" t="s">
        <v>463</v>
      </c>
      <c r="B579" s="247">
        <v>163.90481567382801</v>
      </c>
      <c r="C579" s="247">
        <v>177.16523742675801</v>
      </c>
      <c r="D579" s="247">
        <v>181.72630310058599</v>
      </c>
      <c r="E579" s="247">
        <v>185.23806762695301</v>
      </c>
      <c r="F579" s="247">
        <v>178.77069091796901</v>
      </c>
      <c r="G579" s="247">
        <v>174.57431030273401</v>
      </c>
      <c r="H579" s="247">
        <v>173.49729919433599</v>
      </c>
      <c r="I579" s="247">
        <v>174.68045043945301</v>
      </c>
      <c r="J579" s="247">
        <v>175.87545776367199</v>
      </c>
      <c r="K579" s="247">
        <v>177.93170166015599</v>
      </c>
      <c r="L579" s="247">
        <v>181.97520446777301</v>
      </c>
      <c r="M579" s="247">
        <v>185.45910644531301</v>
      </c>
      <c r="N579" s="247">
        <v>189.89924621582</v>
      </c>
      <c r="O579" s="247">
        <v>193.20950317382801</v>
      </c>
      <c r="P579" s="247">
        <v>195.50482177734401</v>
      </c>
      <c r="Q579" s="247">
        <v>197.60719299316401</v>
      </c>
      <c r="R579" s="247">
        <v>201.40017700195301</v>
      </c>
      <c r="S579" s="247">
        <v>205.80612182617199</v>
      </c>
      <c r="T579" s="247">
        <v>209.76078796386699</v>
      </c>
      <c r="U579" s="247">
        <v>212.75457763671901</v>
      </c>
      <c r="V579" s="247">
        <v>215.110427856445</v>
      </c>
      <c r="W579" s="247">
        <v>217.42091369628901</v>
      </c>
      <c r="X579" s="247">
        <v>220.97119140625</v>
      </c>
      <c r="Y579" s="247">
        <v>223.85739135742199</v>
      </c>
    </row>
    <row r="580" spans="1:25" x14ac:dyDescent="0.25">
      <c r="A580" s="243" t="s">
        <v>470</v>
      </c>
      <c r="B580" s="247">
        <v>122.690147399902</v>
      </c>
      <c r="C580" s="247">
        <v>128.153732299805</v>
      </c>
      <c r="D580" s="247">
        <v>130.48348999023401</v>
      </c>
      <c r="E580" s="247">
        <v>132.28971862793</v>
      </c>
      <c r="F580" s="247">
        <v>128.48481750488301</v>
      </c>
      <c r="G580" s="247">
        <v>125.5166015625</v>
      </c>
      <c r="H580" s="247">
        <v>125.36106109619099</v>
      </c>
      <c r="I580" s="247">
        <v>127.820442199707</v>
      </c>
      <c r="J580" s="247">
        <v>129.92327880859401</v>
      </c>
      <c r="K580" s="247">
        <v>133.10743713378901</v>
      </c>
      <c r="L580" s="247">
        <v>137.92835998535199</v>
      </c>
      <c r="M580" s="247">
        <v>142.925369262695</v>
      </c>
      <c r="N580" s="247">
        <v>148.816970825195</v>
      </c>
      <c r="O580" s="247">
        <v>153.52194213867199</v>
      </c>
      <c r="P580" s="247">
        <v>157.03869628906301</v>
      </c>
      <c r="Q580" s="247">
        <v>161.345138549805</v>
      </c>
      <c r="R580" s="247">
        <v>166.52362060546901</v>
      </c>
      <c r="S580" s="247">
        <v>172.33033752441401</v>
      </c>
      <c r="T580" s="247">
        <v>177.27947998046901</v>
      </c>
      <c r="U580" s="247">
        <v>182.50421142578099</v>
      </c>
      <c r="V580" s="247">
        <v>186.391357421875</v>
      </c>
      <c r="W580" s="247">
        <v>190.50810241699199</v>
      </c>
      <c r="X580" s="247">
        <v>195.38455200195301</v>
      </c>
      <c r="Y580" s="247">
        <v>200.92575073242199</v>
      </c>
    </row>
    <row r="581" spans="1:25" x14ac:dyDescent="0.25">
      <c r="A581" s="243" t="s">
        <v>505</v>
      </c>
      <c r="B581" s="247">
        <v>124.39901733398401</v>
      </c>
      <c r="C581" s="247">
        <v>147.11244201660199</v>
      </c>
      <c r="D581" s="247">
        <v>168.10716247558599</v>
      </c>
      <c r="E581" s="247">
        <v>167.31402587890599</v>
      </c>
      <c r="F581" s="247">
        <v>151.68084716796901</v>
      </c>
      <c r="G581" s="247">
        <v>143.54243469238301</v>
      </c>
      <c r="H581" s="247">
        <v>141.56742858886699</v>
      </c>
      <c r="I581" s="247">
        <v>140.77819824218801</v>
      </c>
      <c r="J581" s="247">
        <v>139.57333374023401</v>
      </c>
      <c r="K581" s="247">
        <v>140.39901733398401</v>
      </c>
      <c r="L581" s="247">
        <v>142.75350952148401</v>
      </c>
      <c r="M581" s="247">
        <v>145.42568969726599</v>
      </c>
      <c r="N581" s="247">
        <v>149.20526123046901</v>
      </c>
      <c r="O581" s="247">
        <v>152.35485839843801</v>
      </c>
      <c r="P581" s="247">
        <v>153.50325012207</v>
      </c>
      <c r="Q581" s="247">
        <v>156.35830688476599</v>
      </c>
      <c r="R581" s="247">
        <v>160.767654418945</v>
      </c>
      <c r="S581" s="247">
        <v>165.76315307617199</v>
      </c>
      <c r="T581" s="247">
        <v>169.931716918945</v>
      </c>
      <c r="U581" s="247">
        <v>173.961990356445</v>
      </c>
      <c r="V581" s="247">
        <v>176.65931701660199</v>
      </c>
      <c r="W581" s="247">
        <v>179.21453857421901</v>
      </c>
      <c r="X581" s="247">
        <v>182.00726318359401</v>
      </c>
      <c r="Y581" s="247">
        <v>184.95687866210901</v>
      </c>
    </row>
    <row r="582" spans="1:25" x14ac:dyDescent="0.25">
      <c r="A582" s="243" t="s">
        <v>477</v>
      </c>
      <c r="B582" s="247">
        <v>263.72879028320301</v>
      </c>
      <c r="C582" s="247">
        <v>302.59255981445301</v>
      </c>
      <c r="D582" s="247">
        <v>352.23770141601602</v>
      </c>
      <c r="E582" s="247">
        <v>351.05020141601602</v>
      </c>
      <c r="F582" s="247">
        <v>340.83407592773398</v>
      </c>
      <c r="G582" s="247">
        <v>332.5693359375</v>
      </c>
      <c r="H582" s="247">
        <v>335.96701049804699</v>
      </c>
      <c r="I582" s="247">
        <v>336.85531616210898</v>
      </c>
      <c r="J582" s="247">
        <v>341.13198852539102</v>
      </c>
      <c r="K582" s="247">
        <v>348.16427612304699</v>
      </c>
      <c r="L582" s="247">
        <v>352.90618896484398</v>
      </c>
      <c r="M582" s="247">
        <v>359.69818115234398</v>
      </c>
      <c r="N582" s="247">
        <v>365.95080566406301</v>
      </c>
      <c r="O582" s="247">
        <v>372.46246337890602</v>
      </c>
      <c r="P582" s="247">
        <v>379.283447265625</v>
      </c>
      <c r="Q582" s="247">
        <v>387.02755737304699</v>
      </c>
      <c r="R582" s="247">
        <v>393.88119506835898</v>
      </c>
      <c r="S582" s="247">
        <v>401.07183837890602</v>
      </c>
      <c r="T582" s="247">
        <v>407.83190917968801</v>
      </c>
      <c r="U582" s="247">
        <v>415.10699462890602</v>
      </c>
      <c r="V582" s="247">
        <v>423.06927490234398</v>
      </c>
      <c r="W582" s="247">
        <v>431.36416625976602</v>
      </c>
      <c r="X582" s="247">
        <v>438.52017211914102</v>
      </c>
      <c r="Y582" s="247">
        <v>449.30920410156301</v>
      </c>
    </row>
    <row r="583" spans="1:25" x14ac:dyDescent="0.25">
      <c r="A583" s="243" t="s">
        <v>506</v>
      </c>
      <c r="B583" s="247">
        <v>674.72277832031295</v>
      </c>
      <c r="C583" s="247">
        <v>755.02398681640602</v>
      </c>
      <c r="D583" s="247">
        <v>832.5546875</v>
      </c>
      <c r="E583" s="247">
        <v>835.89202880859398</v>
      </c>
      <c r="F583" s="247">
        <v>799.77044677734398</v>
      </c>
      <c r="G583" s="247">
        <v>776.20269775390602</v>
      </c>
      <c r="H583" s="247">
        <v>776.392822265625</v>
      </c>
      <c r="I583" s="247">
        <v>780.13439941406295</v>
      </c>
      <c r="J583" s="247">
        <v>786.50402832031295</v>
      </c>
      <c r="K583" s="247">
        <v>799.60241699218795</v>
      </c>
      <c r="L583" s="247">
        <v>815.563232421875</v>
      </c>
      <c r="M583" s="247">
        <v>833.50836181640602</v>
      </c>
      <c r="N583" s="247">
        <v>853.872314453125</v>
      </c>
      <c r="O583" s="247">
        <v>871.54876708984398</v>
      </c>
      <c r="P583" s="247">
        <v>885.33020019531295</v>
      </c>
      <c r="Q583" s="247">
        <v>902.33819580078102</v>
      </c>
      <c r="R583" s="247">
        <v>922.57263183593795</v>
      </c>
      <c r="S583" s="247">
        <v>944.971435546875</v>
      </c>
      <c r="T583" s="247">
        <v>964.80389404296898</v>
      </c>
      <c r="U583" s="247">
        <v>984.32775878906295</v>
      </c>
      <c r="V583" s="247">
        <v>1001.23034667969</v>
      </c>
      <c r="W583" s="247">
        <v>1018.50769042969</v>
      </c>
      <c r="X583" s="247">
        <v>1036.88317871094</v>
      </c>
      <c r="Y583" s="247">
        <v>1059.04919433594</v>
      </c>
    </row>
    <row r="584" spans="1:25" x14ac:dyDescent="0.25">
      <c r="A584" s="243" t="s">
        <v>507</v>
      </c>
      <c r="B584" s="247">
        <v>1.1704622767865699E-2</v>
      </c>
      <c r="C584" s="247">
        <v>1.72001253813505E-2</v>
      </c>
      <c r="D584" s="247">
        <v>2.0739471539855E-2</v>
      </c>
      <c r="E584" s="247">
        <v>2.2893460467457799E-2</v>
      </c>
      <c r="F584" s="247">
        <v>2.3359816521406201E-2</v>
      </c>
      <c r="G584" s="247">
        <v>2.56899110972881E-2</v>
      </c>
      <c r="H584" s="247">
        <v>2.8361881151795401E-2</v>
      </c>
      <c r="I584" s="247">
        <v>3.0972529202699699E-2</v>
      </c>
      <c r="J584" s="247">
        <v>3.4895084798336001E-2</v>
      </c>
      <c r="K584" s="247">
        <v>3.86636592447758E-2</v>
      </c>
      <c r="L584" s="247">
        <v>4.1480015963315998E-2</v>
      </c>
      <c r="M584" s="247">
        <v>4.3943785130977603E-2</v>
      </c>
      <c r="N584" s="247">
        <v>4.6801801770925501E-2</v>
      </c>
      <c r="O584" s="247">
        <v>4.9450792372226701E-2</v>
      </c>
      <c r="P584" s="247">
        <v>5.3890265524387401E-2</v>
      </c>
      <c r="Q584" s="247">
        <v>5.8303136378526701E-2</v>
      </c>
      <c r="R584" s="247">
        <v>6.2215700745582601E-2</v>
      </c>
      <c r="S584" s="247">
        <v>6.0202639549970599E-2</v>
      </c>
      <c r="T584" s="247">
        <v>6.6687978804111495E-2</v>
      </c>
      <c r="U584" s="247">
        <v>6.8060472607612596E-2</v>
      </c>
      <c r="V584" s="247">
        <v>7.0131160318851499E-2</v>
      </c>
      <c r="W584" s="247">
        <v>7.4032962322235094E-2</v>
      </c>
      <c r="X584" s="247">
        <v>7.6179362833499895E-2</v>
      </c>
      <c r="Y584" s="247">
        <v>7.9960107803344699E-2</v>
      </c>
    </row>
    <row r="585" spans="1:25" x14ac:dyDescent="0.25">
      <c r="A585" s="243" t="s">
        <v>508</v>
      </c>
      <c r="B585" s="247">
        <v>674.73449707031295</v>
      </c>
      <c r="C585" s="247">
        <v>755.04119873046898</v>
      </c>
      <c r="D585" s="247">
        <v>832.575439453125</v>
      </c>
      <c r="E585" s="247">
        <v>835.91491699218795</v>
      </c>
      <c r="F585" s="247">
        <v>799.79382324218795</v>
      </c>
      <c r="G585" s="247">
        <v>776.22839355468795</v>
      </c>
      <c r="H585" s="247">
        <v>776.42120361328102</v>
      </c>
      <c r="I585" s="247">
        <v>780.16534423828102</v>
      </c>
      <c r="J585" s="247">
        <v>786.53894042968795</v>
      </c>
      <c r="K585" s="247">
        <v>799.64105224609398</v>
      </c>
      <c r="L585" s="247">
        <v>815.604736328125</v>
      </c>
      <c r="M585" s="247">
        <v>833.55230712890602</v>
      </c>
      <c r="N585" s="247">
        <v>853.91912841796898</v>
      </c>
      <c r="O585" s="247">
        <v>871.59820556640602</v>
      </c>
      <c r="P585" s="247">
        <v>885.38409423828102</v>
      </c>
      <c r="Q585" s="247">
        <v>902.396484375</v>
      </c>
      <c r="R585" s="247">
        <v>922.63482666015602</v>
      </c>
      <c r="S585" s="247">
        <v>945.03161621093795</v>
      </c>
      <c r="T585" s="247">
        <v>964.87060546875</v>
      </c>
      <c r="U585" s="247">
        <v>984.39581298828102</v>
      </c>
      <c r="V585" s="247">
        <v>1001.30047607422</v>
      </c>
      <c r="W585" s="247">
        <v>1018.58172607422</v>
      </c>
      <c r="X585" s="247">
        <v>1036.95935058594</v>
      </c>
      <c r="Y585" s="247">
        <v>1059.12915039063</v>
      </c>
    </row>
    <row r="586" spans="1:25" x14ac:dyDescent="0.25">
      <c r="A586" s="287" t="s">
        <v>1063</v>
      </c>
      <c r="B586" s="247" t="s">
        <v>582</v>
      </c>
      <c r="C586" s="247"/>
      <c r="D586" s="247"/>
      <c r="E586" s="247"/>
      <c r="F586" s="247"/>
      <c r="G586" s="247"/>
      <c r="H586" s="247"/>
      <c r="I586" s="247"/>
      <c r="J586" s="247"/>
      <c r="K586" s="247"/>
      <c r="L586" s="247"/>
      <c r="M586" s="247"/>
      <c r="N586" s="247"/>
      <c r="O586" s="247"/>
      <c r="P586" s="247"/>
      <c r="Q586" s="247"/>
      <c r="R586" s="247"/>
      <c r="S586" s="247"/>
      <c r="T586" s="247"/>
      <c r="U586" s="247"/>
      <c r="V586" s="247"/>
      <c r="W586" s="247"/>
      <c r="X586" s="247"/>
      <c r="Y586" s="247"/>
    </row>
    <row r="587" spans="1:25" x14ac:dyDescent="0.25">
      <c r="A587" s="276" t="s">
        <v>310</v>
      </c>
      <c r="B587" s="247" t="s">
        <v>582</v>
      </c>
      <c r="C587" s="247"/>
      <c r="D587" s="247"/>
      <c r="E587" s="247"/>
      <c r="F587" s="247"/>
      <c r="G587" s="247"/>
      <c r="H587" s="247"/>
      <c r="I587" s="247"/>
      <c r="J587" s="247"/>
      <c r="K587" s="247"/>
      <c r="L587" s="247"/>
      <c r="M587" s="247"/>
      <c r="N587" s="247"/>
      <c r="O587" s="247"/>
      <c r="P587" s="247"/>
      <c r="Q587" s="247"/>
      <c r="R587" s="247"/>
      <c r="S587" s="247"/>
      <c r="T587" s="247"/>
      <c r="U587" s="247"/>
      <c r="V587" s="247"/>
      <c r="W587" s="247"/>
      <c r="X587" s="247"/>
      <c r="Y587" s="247"/>
    </row>
    <row r="588" spans="1:25" x14ac:dyDescent="0.25">
      <c r="A588" s="243" t="s">
        <v>430</v>
      </c>
      <c r="B588" s="247" t="s">
        <v>430</v>
      </c>
      <c r="C588" s="247" t="s">
        <v>430</v>
      </c>
      <c r="D588" s="247" t="s">
        <v>430</v>
      </c>
      <c r="E588" s="247" t="s">
        <v>430</v>
      </c>
      <c r="F588" s="247" t="s">
        <v>430</v>
      </c>
      <c r="G588" s="247" t="s">
        <v>430</v>
      </c>
      <c r="H588" s="247" t="s">
        <v>430</v>
      </c>
      <c r="I588" s="247" t="s">
        <v>430</v>
      </c>
      <c r="J588" s="247" t="s">
        <v>430</v>
      </c>
      <c r="K588" s="247" t="s">
        <v>430</v>
      </c>
      <c r="L588" s="247" t="s">
        <v>430</v>
      </c>
      <c r="M588" s="247" t="s">
        <v>430</v>
      </c>
      <c r="N588" s="247" t="s">
        <v>430</v>
      </c>
      <c r="O588" s="247" t="s">
        <v>430</v>
      </c>
      <c r="P588" s="247" t="s">
        <v>430</v>
      </c>
      <c r="Q588" s="247" t="s">
        <v>430</v>
      </c>
      <c r="R588" s="247" t="s">
        <v>430</v>
      </c>
      <c r="S588" s="247" t="s">
        <v>430</v>
      </c>
      <c r="T588" s="247" t="s">
        <v>430</v>
      </c>
      <c r="U588" s="247" t="s">
        <v>430</v>
      </c>
      <c r="V588" s="247" t="s">
        <v>430</v>
      </c>
      <c r="W588" s="247" t="s">
        <v>430</v>
      </c>
      <c r="X588" s="247" t="s">
        <v>430</v>
      </c>
      <c r="Y588" s="247" t="s">
        <v>430</v>
      </c>
    </row>
    <row r="589" spans="1:25" x14ac:dyDescent="0.25">
      <c r="A589" s="243" t="s">
        <v>509</v>
      </c>
      <c r="B589" s="247"/>
      <c r="C589" s="247"/>
      <c r="D589" s="247"/>
      <c r="E589" s="247"/>
      <c r="F589" s="247"/>
      <c r="G589" s="247"/>
      <c r="H589" s="247"/>
      <c r="I589" s="247"/>
      <c r="J589" s="247"/>
      <c r="K589" s="247"/>
      <c r="L589" s="247"/>
      <c r="M589" s="247"/>
      <c r="N589" s="247"/>
      <c r="O589" s="247"/>
      <c r="P589" s="247"/>
      <c r="Q589" s="247"/>
      <c r="R589" s="247"/>
      <c r="S589" s="247"/>
      <c r="T589" s="247"/>
      <c r="U589" s="247"/>
      <c r="V589" s="247"/>
      <c r="W589" s="247"/>
      <c r="X589" s="247"/>
      <c r="Y589" s="247"/>
    </row>
    <row r="590" spans="1:25" x14ac:dyDescent="0.25">
      <c r="A590" s="243" t="s">
        <v>510</v>
      </c>
      <c r="B590" s="247"/>
      <c r="C590" s="247"/>
      <c r="D590" s="247"/>
      <c r="E590" s="247"/>
      <c r="F590" s="247"/>
      <c r="G590" s="247"/>
      <c r="H590" s="247"/>
      <c r="I590" s="247"/>
      <c r="J590" s="247"/>
      <c r="K590" s="247"/>
      <c r="L590" s="247"/>
      <c r="M590" s="247"/>
      <c r="N590" s="247"/>
      <c r="O590" s="247"/>
      <c r="P590" s="247"/>
      <c r="Q590" s="247"/>
      <c r="R590" s="247"/>
      <c r="S590" s="247"/>
      <c r="T590" s="247"/>
      <c r="U590" s="247"/>
      <c r="V590" s="247"/>
      <c r="W590" s="247"/>
      <c r="X590" s="247"/>
      <c r="Y590" s="247"/>
    </row>
    <row r="591" spans="1:25" x14ac:dyDescent="0.25">
      <c r="A591" s="243" t="s">
        <v>511</v>
      </c>
      <c r="B591" s="247"/>
      <c r="C591" s="247"/>
      <c r="D591" s="247"/>
      <c r="E591" s="247"/>
      <c r="F591" s="247"/>
      <c r="G591" s="247"/>
      <c r="H591" s="247"/>
      <c r="I591" s="247"/>
      <c r="J591" s="247"/>
      <c r="K591" s="247"/>
      <c r="L591" s="247"/>
      <c r="M591" s="247"/>
      <c r="N591" s="247"/>
      <c r="O591" s="247"/>
      <c r="P591" s="247"/>
      <c r="Q591" s="247"/>
      <c r="R591" s="247"/>
      <c r="S591" s="247"/>
      <c r="T591" s="247"/>
      <c r="U591" s="247"/>
      <c r="V591" s="247"/>
      <c r="W591" s="247"/>
      <c r="X591" s="247"/>
      <c r="Y591" s="247"/>
    </row>
    <row r="592" spans="1:25" x14ac:dyDescent="0.25">
      <c r="A592" s="243" t="s">
        <v>512</v>
      </c>
      <c r="B592" s="247"/>
      <c r="C592" s="247"/>
      <c r="D592" s="247"/>
      <c r="E592" s="247"/>
      <c r="F592" s="247"/>
      <c r="G592" s="247"/>
      <c r="H592" s="247"/>
      <c r="I592" s="247"/>
      <c r="J592" s="247"/>
      <c r="K592" s="247"/>
      <c r="L592" s="247"/>
      <c r="M592" s="247"/>
      <c r="N592" s="247"/>
      <c r="O592" s="247"/>
      <c r="P592" s="247"/>
      <c r="Q592" s="247"/>
      <c r="R592" s="247"/>
      <c r="S592" s="247"/>
      <c r="T592" s="247"/>
      <c r="U592" s="247"/>
      <c r="V592" s="247"/>
      <c r="W592" s="247"/>
      <c r="X592" s="247"/>
      <c r="Y592" s="247"/>
    </row>
    <row r="593" spans="1:25" x14ac:dyDescent="0.25">
      <c r="A593" s="243" t="s">
        <v>513</v>
      </c>
      <c r="B593" s="247"/>
      <c r="C593" s="247"/>
      <c r="D593" s="247"/>
      <c r="E593" s="247"/>
      <c r="F593" s="247"/>
      <c r="G593" s="247"/>
      <c r="H593" s="247"/>
      <c r="I593" s="247"/>
      <c r="J593" s="247"/>
      <c r="K593" s="247"/>
      <c r="L593" s="247"/>
      <c r="M593" s="247"/>
      <c r="N593" s="247"/>
      <c r="O593" s="247"/>
      <c r="P593" s="247"/>
      <c r="Q593" s="247"/>
      <c r="R593" s="247"/>
      <c r="S593" s="247"/>
      <c r="T593" s="247"/>
      <c r="U593" s="247"/>
      <c r="V593" s="247"/>
      <c r="W593" s="247"/>
      <c r="X593" s="247"/>
      <c r="Y593" s="247"/>
    </row>
    <row r="594" spans="1:25" x14ac:dyDescent="0.25">
      <c r="A594" s="243" t="s">
        <v>514</v>
      </c>
      <c r="B594" s="247"/>
      <c r="C594" s="247"/>
      <c r="D594" s="247"/>
      <c r="E594" s="247"/>
      <c r="F594" s="247"/>
      <c r="G594" s="247"/>
      <c r="H594" s="247"/>
      <c r="I594" s="247"/>
      <c r="J594" s="247"/>
      <c r="K594" s="247"/>
      <c r="L594" s="247"/>
      <c r="M594" s="247"/>
      <c r="N594" s="247"/>
      <c r="O594" s="247"/>
      <c r="P594" s="247"/>
      <c r="Q594" s="247"/>
      <c r="R594" s="247"/>
      <c r="S594" s="247"/>
      <c r="T594" s="247"/>
      <c r="U594" s="247"/>
      <c r="V594" s="247"/>
      <c r="W594" s="247"/>
      <c r="X594" s="247"/>
      <c r="Y594" s="247"/>
    </row>
    <row r="595" spans="1:25" x14ac:dyDescent="0.25">
      <c r="A595" s="243" t="s">
        <v>515</v>
      </c>
      <c r="B595" s="247"/>
      <c r="C595" s="247"/>
      <c r="D595" s="247"/>
      <c r="E595" s="247"/>
      <c r="F595" s="247"/>
      <c r="G595" s="247"/>
      <c r="H595" s="247"/>
      <c r="I595" s="247"/>
      <c r="J595" s="247"/>
      <c r="K595" s="247"/>
      <c r="L595" s="247"/>
      <c r="M595" s="247"/>
      <c r="N595" s="247"/>
      <c r="O595" s="247"/>
      <c r="P595" s="247"/>
      <c r="Q595" s="247"/>
      <c r="R595" s="247"/>
      <c r="S595" s="247"/>
      <c r="T595" s="247"/>
      <c r="U595" s="247"/>
      <c r="V595" s="247"/>
      <c r="W595" s="247"/>
      <c r="X595" s="247"/>
      <c r="Y595" s="247"/>
    </row>
    <row r="596" spans="1:25" x14ac:dyDescent="0.25">
      <c r="A596" s="243" t="s">
        <v>516</v>
      </c>
      <c r="B596" s="247"/>
      <c r="C596" s="247"/>
      <c r="D596" s="247"/>
      <c r="E596" s="247"/>
      <c r="F596" s="247"/>
      <c r="G596" s="247"/>
      <c r="H596" s="247"/>
      <c r="I596" s="247"/>
      <c r="J596" s="247"/>
      <c r="K596" s="247"/>
      <c r="L596" s="247"/>
      <c r="M596" s="247"/>
      <c r="N596" s="247"/>
      <c r="O596" s="247"/>
      <c r="P596" s="247"/>
      <c r="Q596" s="247"/>
      <c r="R596" s="247"/>
      <c r="S596" s="247"/>
      <c r="T596" s="247"/>
      <c r="U596" s="247"/>
      <c r="V596" s="247"/>
      <c r="W596" s="247"/>
      <c r="X596" s="247"/>
      <c r="Y596" s="247"/>
    </row>
    <row r="597" spans="1:25" x14ac:dyDescent="0.25">
      <c r="A597" s="243" t="s">
        <v>517</v>
      </c>
      <c r="B597" s="247"/>
      <c r="C597" s="247"/>
      <c r="D597" s="247"/>
      <c r="E597" s="247"/>
      <c r="F597" s="247"/>
      <c r="G597" s="247"/>
      <c r="H597" s="247"/>
      <c r="I597" s="247"/>
      <c r="J597" s="247"/>
      <c r="K597" s="247"/>
      <c r="L597" s="247"/>
      <c r="M597" s="247"/>
      <c r="N597" s="247"/>
      <c r="O597" s="247"/>
      <c r="P597" s="247"/>
      <c r="Q597" s="247"/>
      <c r="R597" s="247"/>
      <c r="S597" s="247"/>
      <c r="T597" s="247"/>
      <c r="U597" s="247"/>
      <c r="V597" s="247"/>
      <c r="W597" s="247"/>
      <c r="X597" s="247"/>
      <c r="Y597" s="247"/>
    </row>
    <row r="598" spans="1:25" x14ac:dyDescent="0.25">
      <c r="A598" s="243" t="s">
        <v>522</v>
      </c>
      <c r="B598" s="247"/>
      <c r="C598" s="247"/>
      <c r="D598" s="247"/>
      <c r="E598" s="247"/>
      <c r="F598" s="247"/>
      <c r="G598" s="247"/>
      <c r="H598" s="247"/>
      <c r="I598" s="247"/>
      <c r="J598" s="247"/>
      <c r="K598" s="247"/>
      <c r="L598" s="247"/>
      <c r="M598" s="247"/>
      <c r="N598" s="247"/>
      <c r="O598" s="247"/>
      <c r="P598" s="247"/>
      <c r="Q598" s="247"/>
      <c r="R598" s="247"/>
      <c r="S598" s="247"/>
      <c r="T598" s="247"/>
      <c r="U598" s="247"/>
      <c r="V598" s="247"/>
      <c r="W598" s="247"/>
      <c r="X598" s="247"/>
      <c r="Y598" s="247"/>
    </row>
    <row r="599" spans="1:25" x14ac:dyDescent="0.25">
      <c r="A599" s="243" t="s">
        <v>532</v>
      </c>
      <c r="B599" s="247"/>
      <c r="C599" s="247"/>
      <c r="D599" s="247"/>
      <c r="E599" s="247"/>
      <c r="F599" s="247"/>
      <c r="G599" s="247"/>
      <c r="H599" s="247"/>
      <c r="I599" s="247"/>
      <c r="J599" s="247"/>
      <c r="K599" s="247"/>
      <c r="L599" s="247"/>
      <c r="M599" s="247"/>
      <c r="N599" s="247"/>
      <c r="O599" s="247"/>
      <c r="P599" s="247"/>
      <c r="Q599" s="247"/>
      <c r="R599" s="247"/>
      <c r="S599" s="247"/>
      <c r="T599" s="247"/>
      <c r="U599" s="247"/>
      <c r="V599" s="247"/>
      <c r="W599" s="247"/>
      <c r="X599" s="247"/>
      <c r="Y599" s="247"/>
    </row>
    <row r="600" spans="1:25" x14ac:dyDescent="0.25">
      <c r="A600" s="243" t="s">
        <v>533</v>
      </c>
      <c r="B600" s="247"/>
      <c r="C600" s="247"/>
      <c r="D600" s="247"/>
      <c r="E600" s="247"/>
      <c r="F600" s="247"/>
      <c r="G600" s="247"/>
      <c r="H600" s="247"/>
      <c r="I600" s="247"/>
      <c r="J600" s="247"/>
      <c r="K600" s="247"/>
      <c r="L600" s="247"/>
      <c r="M600" s="247"/>
      <c r="N600" s="247"/>
      <c r="O600" s="247"/>
      <c r="P600" s="247"/>
      <c r="Q600" s="247"/>
      <c r="R600" s="247"/>
      <c r="S600" s="247"/>
      <c r="T600" s="247"/>
      <c r="U600" s="247"/>
      <c r="V600" s="247"/>
      <c r="W600" s="247"/>
      <c r="X600" s="247"/>
      <c r="Y600" s="247"/>
    </row>
    <row r="601" spans="1:25" x14ac:dyDescent="0.25">
      <c r="A601" s="243" t="s">
        <v>534</v>
      </c>
      <c r="B601" s="247"/>
      <c r="C601" s="247"/>
      <c r="D601" s="247"/>
      <c r="E601" s="247"/>
      <c r="F601" s="247"/>
      <c r="G601" s="247"/>
      <c r="H601" s="247"/>
      <c r="I601" s="247"/>
      <c r="J601" s="247"/>
      <c r="K601" s="247"/>
      <c r="L601" s="247"/>
      <c r="M601" s="247"/>
      <c r="N601" s="247"/>
      <c r="O601" s="247"/>
      <c r="P601" s="247"/>
      <c r="Q601" s="247"/>
      <c r="R601" s="247"/>
      <c r="S601" s="247"/>
      <c r="T601" s="247"/>
      <c r="U601" s="247"/>
      <c r="V601" s="247"/>
      <c r="W601" s="247"/>
      <c r="X601" s="247"/>
      <c r="Y601" s="247"/>
    </row>
    <row r="602" spans="1:25" x14ac:dyDescent="0.25">
      <c r="A602" s="243" t="s">
        <v>535</v>
      </c>
      <c r="B602" s="247"/>
      <c r="C602" s="247"/>
      <c r="D602" s="247"/>
      <c r="E602" s="247"/>
      <c r="F602" s="247"/>
      <c r="G602" s="247"/>
      <c r="H602" s="247"/>
      <c r="I602" s="247"/>
      <c r="J602" s="247"/>
      <c r="K602" s="247"/>
      <c r="L602" s="247"/>
      <c r="M602" s="247"/>
      <c r="N602" s="247"/>
      <c r="O602" s="247"/>
      <c r="P602" s="247"/>
      <c r="Q602" s="247"/>
      <c r="R602" s="247"/>
      <c r="S602" s="247"/>
      <c r="T602" s="247"/>
      <c r="U602" s="247"/>
      <c r="V602" s="247"/>
      <c r="W602" s="247"/>
      <c r="X602" s="247"/>
      <c r="Y602" s="247"/>
    </row>
    <row r="603" spans="1:25" x14ac:dyDescent="0.25">
      <c r="A603" s="243" t="s">
        <v>536</v>
      </c>
      <c r="B603" s="247"/>
      <c r="C603" s="247"/>
      <c r="D603" s="247"/>
      <c r="E603" s="247"/>
      <c r="F603" s="247"/>
      <c r="G603" s="247"/>
      <c r="H603" s="247"/>
      <c r="I603" s="247"/>
      <c r="J603" s="247"/>
      <c r="K603" s="247"/>
      <c r="L603" s="247"/>
      <c r="M603" s="247"/>
      <c r="N603" s="247"/>
      <c r="O603" s="247"/>
      <c r="P603" s="247"/>
      <c r="Q603" s="247"/>
      <c r="R603" s="247"/>
      <c r="S603" s="247"/>
      <c r="T603" s="247"/>
      <c r="U603" s="247"/>
      <c r="V603" s="247"/>
      <c r="W603" s="247"/>
      <c r="X603" s="247"/>
      <c r="Y603" s="247"/>
    </row>
    <row r="604" spans="1:25" x14ac:dyDescent="0.25">
      <c r="A604" s="243" t="s">
        <v>537</v>
      </c>
      <c r="B604" s="247"/>
      <c r="C604" s="247"/>
      <c r="D604" s="247"/>
      <c r="E604" s="247"/>
      <c r="F604" s="247"/>
      <c r="G604" s="247"/>
      <c r="H604" s="247"/>
      <c r="I604" s="247"/>
      <c r="J604" s="247"/>
      <c r="K604" s="247"/>
      <c r="L604" s="247"/>
      <c r="M604" s="247"/>
      <c r="N604" s="247"/>
      <c r="O604" s="247"/>
      <c r="P604" s="247"/>
      <c r="Q604" s="247"/>
      <c r="R604" s="247"/>
      <c r="S604" s="247"/>
      <c r="T604" s="247"/>
      <c r="U604" s="247"/>
      <c r="V604" s="247"/>
      <c r="W604" s="247"/>
      <c r="X604" s="247"/>
      <c r="Y604" s="247"/>
    </row>
    <row r="605" spans="1:25" x14ac:dyDescent="0.25">
      <c r="A605" s="243" t="s">
        <v>538</v>
      </c>
      <c r="B605" s="247"/>
      <c r="C605" s="247"/>
      <c r="D605" s="247"/>
      <c r="E605" s="247"/>
      <c r="F605" s="247"/>
      <c r="G605" s="247"/>
      <c r="H605" s="247"/>
      <c r="I605" s="247"/>
      <c r="J605" s="247"/>
      <c r="K605" s="247"/>
      <c r="L605" s="247"/>
      <c r="M605" s="247"/>
      <c r="N605" s="247"/>
      <c r="O605" s="247"/>
      <c r="P605" s="247"/>
      <c r="Q605" s="247"/>
      <c r="R605" s="247"/>
      <c r="S605" s="247"/>
      <c r="T605" s="247"/>
      <c r="U605" s="247"/>
      <c r="V605" s="247"/>
      <c r="W605" s="247"/>
      <c r="X605" s="247"/>
      <c r="Y605" s="247"/>
    </row>
    <row r="606" spans="1:25" x14ac:dyDescent="0.25">
      <c r="A606" s="243" t="s">
        <v>541</v>
      </c>
      <c r="B606" s="247"/>
      <c r="C606" s="247"/>
      <c r="D606" s="247"/>
      <c r="E606" s="247"/>
      <c r="F606" s="247"/>
      <c r="G606" s="247"/>
      <c r="H606" s="247"/>
      <c r="I606" s="247"/>
      <c r="J606" s="247"/>
      <c r="K606" s="247"/>
      <c r="L606" s="247"/>
      <c r="M606" s="247"/>
      <c r="N606" s="247"/>
      <c r="O606" s="247"/>
      <c r="P606" s="247"/>
      <c r="Q606" s="247"/>
      <c r="R606" s="247"/>
      <c r="S606" s="247"/>
      <c r="T606" s="247"/>
      <c r="U606" s="247"/>
      <c r="V606" s="247"/>
      <c r="W606" s="247"/>
      <c r="X606" s="247"/>
      <c r="Y606" s="247"/>
    </row>
    <row r="607" spans="1:25" x14ac:dyDescent="0.25">
      <c r="A607" s="243" t="s">
        <v>542</v>
      </c>
      <c r="B607" s="247"/>
      <c r="C607" s="247"/>
      <c r="D607" s="247"/>
      <c r="E607" s="247"/>
      <c r="F607" s="247"/>
      <c r="G607" s="247"/>
      <c r="H607" s="247"/>
      <c r="I607" s="247"/>
      <c r="J607" s="247"/>
      <c r="K607" s="247"/>
      <c r="L607" s="247"/>
      <c r="M607" s="247"/>
      <c r="N607" s="247"/>
      <c r="O607" s="247"/>
      <c r="P607" s="247"/>
      <c r="Q607" s="247"/>
      <c r="R607" s="247"/>
      <c r="S607" s="247"/>
      <c r="T607" s="247"/>
      <c r="U607" s="247"/>
      <c r="V607" s="247"/>
      <c r="W607" s="247"/>
      <c r="X607" s="247"/>
      <c r="Y607" s="247"/>
    </row>
    <row r="608" spans="1:25" x14ac:dyDescent="0.25">
      <c r="A608" s="243" t="s">
        <v>543</v>
      </c>
      <c r="B608" s="247"/>
      <c r="C608" s="247"/>
      <c r="D608" s="247"/>
      <c r="E608" s="247"/>
      <c r="F608" s="247"/>
      <c r="G608" s="247"/>
      <c r="H608" s="247"/>
      <c r="I608" s="247"/>
      <c r="J608" s="247"/>
      <c r="K608" s="247"/>
      <c r="L608" s="247"/>
      <c r="M608" s="247"/>
      <c r="N608" s="247"/>
      <c r="O608" s="247"/>
      <c r="P608" s="247"/>
      <c r="Q608" s="247"/>
      <c r="R608" s="247"/>
      <c r="S608" s="247"/>
      <c r="T608" s="247"/>
      <c r="U608" s="247"/>
      <c r="V608" s="247"/>
      <c r="W608" s="247"/>
      <c r="X608" s="247"/>
      <c r="Y608" s="247"/>
    </row>
    <row r="609" spans="1:26" x14ac:dyDescent="0.25">
      <c r="A609" s="243" t="s">
        <v>544</v>
      </c>
      <c r="B609" s="247"/>
      <c r="C609" s="247"/>
      <c r="D609" s="247"/>
      <c r="E609" s="247"/>
      <c r="F609" s="247"/>
      <c r="G609" s="247"/>
      <c r="H609" s="247"/>
      <c r="I609" s="247"/>
      <c r="J609" s="247"/>
      <c r="K609" s="247"/>
      <c r="L609" s="247"/>
      <c r="M609" s="247"/>
      <c r="N609" s="247"/>
      <c r="O609" s="247"/>
      <c r="P609" s="247"/>
      <c r="Q609" s="247"/>
      <c r="R609" s="247"/>
      <c r="S609" s="247"/>
      <c r="T609" s="247"/>
      <c r="U609" s="247"/>
      <c r="V609" s="247"/>
      <c r="W609" s="247"/>
      <c r="X609" s="247"/>
      <c r="Y609" s="247"/>
    </row>
    <row r="610" spans="1:26" x14ac:dyDescent="0.25">
      <c r="A610" s="243" t="s">
        <v>545</v>
      </c>
      <c r="B610" s="247"/>
      <c r="C610" s="247"/>
      <c r="D610" s="247"/>
      <c r="E610" s="247"/>
      <c r="F610" s="247"/>
      <c r="G610" s="247"/>
      <c r="H610" s="247"/>
      <c r="I610" s="247"/>
      <c r="J610" s="247"/>
      <c r="K610" s="247"/>
      <c r="L610" s="247"/>
      <c r="M610" s="247"/>
      <c r="N610" s="247"/>
      <c r="O610" s="247"/>
      <c r="P610" s="247"/>
      <c r="Q610" s="247"/>
      <c r="R610" s="247"/>
      <c r="S610" s="247"/>
      <c r="T610" s="247"/>
      <c r="U610" s="247"/>
      <c r="V610" s="247"/>
      <c r="W610" s="247"/>
      <c r="X610" s="247"/>
      <c r="Y610" s="247"/>
    </row>
    <row r="611" spans="1:26" x14ac:dyDescent="0.25">
      <c r="A611" s="243" t="s">
        <v>546</v>
      </c>
      <c r="B611" s="247"/>
      <c r="C611" s="247"/>
      <c r="D611" s="247"/>
      <c r="E611" s="247"/>
      <c r="F611" s="247"/>
      <c r="G611" s="247"/>
      <c r="H611" s="247"/>
      <c r="I611" s="247"/>
      <c r="J611" s="247"/>
      <c r="K611" s="247"/>
      <c r="L611" s="247"/>
      <c r="M611" s="247"/>
      <c r="N611" s="247"/>
      <c r="O611" s="247"/>
      <c r="P611" s="247"/>
      <c r="Q611" s="247"/>
      <c r="R611" s="247"/>
      <c r="S611" s="247"/>
      <c r="T611" s="247"/>
      <c r="U611" s="247"/>
      <c r="V611" s="247"/>
      <c r="W611" s="247"/>
      <c r="X611" s="247"/>
      <c r="Y611" s="247"/>
    </row>
    <row r="612" spans="1:26" x14ac:dyDescent="0.25">
      <c r="A612" s="243" t="s">
        <v>547</v>
      </c>
      <c r="B612" s="247"/>
      <c r="C612" s="247"/>
      <c r="D612" s="247"/>
      <c r="E612" s="247"/>
      <c r="F612" s="247"/>
      <c r="G612" s="247"/>
      <c r="H612" s="247"/>
      <c r="I612" s="247"/>
      <c r="J612" s="247"/>
      <c r="K612" s="247"/>
      <c r="L612" s="247"/>
      <c r="M612" s="247"/>
      <c r="N612" s="247"/>
      <c r="O612" s="247"/>
      <c r="P612" s="247"/>
      <c r="Q612" s="247"/>
      <c r="R612" s="247"/>
      <c r="S612" s="247"/>
      <c r="T612" s="247"/>
      <c r="U612" s="247"/>
      <c r="V612" s="247"/>
      <c r="W612" s="247"/>
      <c r="X612" s="247"/>
      <c r="Y612" s="247"/>
    </row>
    <row r="613" spans="1:26" x14ac:dyDescent="0.25">
      <c r="A613" s="243" t="s">
        <v>548</v>
      </c>
      <c r="B613" s="247"/>
      <c r="C613" s="247"/>
      <c r="D613" s="247"/>
      <c r="E613" s="247"/>
      <c r="F613" s="247"/>
      <c r="G613" s="247"/>
      <c r="H613" s="247"/>
      <c r="I613" s="247"/>
      <c r="J613" s="247"/>
      <c r="K613" s="247"/>
      <c r="L613" s="247"/>
      <c r="M613" s="247"/>
      <c r="N613" s="247"/>
      <c r="O613" s="247"/>
      <c r="P613" s="247"/>
      <c r="Q613" s="247"/>
      <c r="R613" s="247"/>
      <c r="S613" s="247"/>
      <c r="T613" s="247"/>
      <c r="U613" s="247"/>
      <c r="V613" s="247"/>
      <c r="W613" s="247"/>
      <c r="X613" s="247"/>
      <c r="Y613" s="247"/>
    </row>
    <row r="614" spans="1:26" ht="13.8" thickBot="1" x14ac:dyDescent="0.3">
      <c r="A614" s="248" t="s">
        <v>549</v>
      </c>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row>
    <row r="615" spans="1:26" x14ac:dyDescent="0.25">
      <c r="A615" s="37"/>
      <c r="B615" s="37"/>
      <c r="C615" s="37"/>
      <c r="D615" s="37"/>
      <c r="E615" s="37"/>
      <c r="F615" s="37"/>
      <c r="G615" s="37"/>
      <c r="H615" s="37"/>
      <c r="I615" s="37"/>
      <c r="J615" s="37"/>
      <c r="K615" s="37"/>
      <c r="L615" s="37"/>
      <c r="M615" s="37"/>
      <c r="N615" s="37"/>
      <c r="O615" s="37"/>
      <c r="P615" s="37"/>
      <c r="Q615" s="37"/>
      <c r="R615" s="37"/>
      <c r="S615" s="37"/>
      <c r="T615" s="37"/>
      <c r="U615" s="37"/>
      <c r="V615" s="37"/>
      <c r="W615" s="37"/>
      <c r="X615" s="37"/>
      <c r="Y615" s="37"/>
      <c r="Z615" s="37"/>
    </row>
    <row r="616" spans="1:26" x14ac:dyDescent="0.25">
      <c r="A616" s="37"/>
      <c r="B616" s="37"/>
      <c r="C616" s="37"/>
      <c r="D616" s="37"/>
      <c r="E616" s="37"/>
      <c r="F616" s="37"/>
      <c r="G616" s="37"/>
      <c r="H616" s="37"/>
      <c r="I616" s="37"/>
      <c r="J616" s="37"/>
      <c r="K616" s="37"/>
      <c r="L616" s="37"/>
      <c r="M616" s="37"/>
      <c r="N616" s="37"/>
      <c r="O616" s="37"/>
      <c r="P616" s="37"/>
      <c r="Q616" s="37"/>
      <c r="R616" s="37"/>
      <c r="S616" s="37"/>
      <c r="T616" s="37"/>
      <c r="U616" s="37"/>
      <c r="V616" s="37"/>
      <c r="W616" s="37"/>
      <c r="X616" s="37"/>
      <c r="Y616" s="37"/>
      <c r="Z616" s="37"/>
    </row>
    <row r="617" spans="1:26" ht="13.8" thickBot="1" x14ac:dyDescent="0.3">
      <c r="A617" s="37"/>
      <c r="B617" s="37"/>
      <c r="C617" s="37"/>
      <c r="D617" s="37"/>
      <c r="E617" s="37"/>
      <c r="F617" s="37"/>
      <c r="G617" s="37"/>
      <c r="H617" s="37"/>
      <c r="I617" s="37"/>
      <c r="J617" s="37"/>
      <c r="K617" s="37"/>
      <c r="L617" s="37"/>
      <c r="M617" s="37"/>
      <c r="N617" s="37"/>
      <c r="O617" s="37"/>
      <c r="P617" s="37"/>
      <c r="Q617" s="37"/>
      <c r="R617" s="37"/>
      <c r="S617" s="37"/>
      <c r="T617" s="37"/>
      <c r="U617" s="37"/>
      <c r="V617" s="37"/>
      <c r="W617" s="37"/>
      <c r="X617" s="37"/>
      <c r="Y617" s="37"/>
      <c r="Z617" s="37"/>
    </row>
    <row r="618" spans="1:26" x14ac:dyDescent="0.25">
      <c r="A618" s="250" t="s">
        <v>550</v>
      </c>
      <c r="B618" s="251"/>
      <c r="C618" s="251" t="s">
        <v>848</v>
      </c>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row>
    <row r="619" spans="1:26" x14ac:dyDescent="0.25">
      <c r="A619" s="252" t="s">
        <v>551</v>
      </c>
      <c r="B619" s="244"/>
      <c r="C619" s="1677" t="s">
        <v>853</v>
      </c>
      <c r="D619" s="1677"/>
      <c r="E619" s="1677"/>
      <c r="F619" s="1677"/>
      <c r="G619" s="1677"/>
      <c r="H619" s="1677"/>
      <c r="I619" s="1677"/>
      <c r="J619" s="1677"/>
      <c r="K619" s="1677"/>
      <c r="L619" s="1677"/>
      <c r="M619" s="1677"/>
      <c r="N619" s="1677"/>
      <c r="O619" s="1677"/>
      <c r="P619" s="1677"/>
      <c r="Q619" s="1677"/>
      <c r="R619" s="1677"/>
      <c r="S619" s="1677"/>
      <c r="T619" s="1677"/>
      <c r="U619" s="1677"/>
      <c r="V619" s="1677"/>
      <c r="W619" s="1677"/>
      <c r="X619" s="1677"/>
      <c r="Y619" s="1677"/>
    </row>
    <row r="620" spans="1:26" x14ac:dyDescent="0.25">
      <c r="A620" s="243" t="s">
        <v>552</v>
      </c>
      <c r="B620" s="244"/>
      <c r="C620" s="1677" t="s">
        <v>854</v>
      </c>
      <c r="D620" s="1677"/>
      <c r="E620" s="1677"/>
      <c r="F620" s="1677"/>
      <c r="G620" s="1677"/>
      <c r="H620" s="1677"/>
      <c r="I620" s="1677"/>
      <c r="J620" s="1677"/>
      <c r="K620" s="1677"/>
      <c r="L620" s="1677"/>
      <c r="M620" s="1677"/>
      <c r="N620" s="1677"/>
      <c r="O620" s="1677"/>
      <c r="P620" s="1677"/>
      <c r="Q620" s="1677"/>
      <c r="R620" s="1677"/>
      <c r="S620" s="1677"/>
      <c r="T620" s="1677"/>
      <c r="U620" s="1677"/>
      <c r="V620" s="1677"/>
      <c r="W620" s="1677"/>
      <c r="X620" s="1677"/>
      <c r="Y620" s="1677"/>
    </row>
    <row r="621" spans="1:26" x14ac:dyDescent="0.25">
      <c r="A621" s="245" t="s">
        <v>436</v>
      </c>
      <c r="B621" s="244"/>
      <c r="C621" s="244"/>
      <c r="D621" s="244"/>
      <c r="E621" s="244"/>
      <c r="F621" s="244"/>
      <c r="G621" s="244"/>
      <c r="H621" s="244"/>
      <c r="I621" s="244"/>
      <c r="J621" s="244"/>
      <c r="K621" s="244"/>
      <c r="L621" s="244"/>
      <c r="M621" s="244"/>
      <c r="N621" s="244"/>
      <c r="O621" s="244"/>
      <c r="P621" s="244"/>
      <c r="Q621" s="244"/>
      <c r="R621" s="244"/>
      <c r="S621" s="244"/>
      <c r="T621" s="244"/>
      <c r="U621" s="244"/>
      <c r="V621" s="244"/>
      <c r="W621" s="244"/>
      <c r="X621" s="244"/>
      <c r="Y621" s="244"/>
    </row>
    <row r="622" spans="1:26" x14ac:dyDescent="0.25">
      <c r="A622" s="243"/>
      <c r="B622" s="244"/>
      <c r="C622" s="289"/>
      <c r="D622" s="244"/>
      <c r="E622" s="244"/>
      <c r="F622" s="244"/>
      <c r="G622" s="244"/>
      <c r="H622" s="244"/>
      <c r="I622" s="244"/>
      <c r="J622" s="244"/>
      <c r="K622" s="244"/>
      <c r="L622" s="244"/>
      <c r="M622" s="244"/>
      <c r="N622" s="244"/>
      <c r="O622" s="244"/>
      <c r="P622" s="244"/>
      <c r="Q622" s="244"/>
      <c r="R622" s="244"/>
      <c r="S622" s="244"/>
      <c r="T622" s="244"/>
      <c r="U622" s="244"/>
      <c r="V622" s="244"/>
      <c r="W622" s="244"/>
      <c r="X622" s="244"/>
      <c r="Y622" s="244"/>
    </row>
    <row r="623" spans="1:26" x14ac:dyDescent="0.25">
      <c r="A623" s="243" t="s">
        <v>437</v>
      </c>
      <c r="B623" s="244"/>
      <c r="C623" s="244"/>
      <c r="D623" s="244"/>
      <c r="E623" s="244"/>
      <c r="F623" s="244"/>
      <c r="G623" s="244"/>
      <c r="H623" s="244"/>
      <c r="I623" s="244"/>
      <c r="J623" s="244"/>
      <c r="K623" s="244"/>
      <c r="L623" s="244"/>
      <c r="M623" s="244"/>
      <c r="N623" s="244"/>
      <c r="O623" s="244"/>
      <c r="P623" s="244"/>
      <c r="Q623" s="244"/>
      <c r="R623" s="244"/>
      <c r="S623" s="244"/>
      <c r="T623" s="244"/>
      <c r="U623" s="244"/>
      <c r="V623" s="244"/>
      <c r="W623" s="244"/>
      <c r="X623" s="244"/>
      <c r="Y623" s="244"/>
    </row>
    <row r="624" spans="1:26" x14ac:dyDescent="0.25">
      <c r="A624" s="243" t="s">
        <v>438</v>
      </c>
      <c r="B624" s="244"/>
      <c r="C624" s="244"/>
      <c r="D624" s="244"/>
      <c r="E624" s="244"/>
      <c r="F624" s="244"/>
      <c r="G624" s="244"/>
      <c r="H624" s="244"/>
      <c r="I624" s="244"/>
      <c r="J624" s="244"/>
      <c r="K624" s="244"/>
      <c r="L624" s="244"/>
      <c r="M624" s="244"/>
      <c r="N624" s="244"/>
      <c r="O624" s="244"/>
      <c r="P624" s="244"/>
      <c r="Q624" s="244"/>
      <c r="R624" s="244"/>
      <c r="S624" s="244"/>
      <c r="T624" s="244"/>
      <c r="U624" s="244"/>
      <c r="V624" s="244"/>
      <c r="W624" s="244"/>
      <c r="X624" s="244"/>
      <c r="Y624" s="244"/>
    </row>
    <row r="625" spans="1:26" x14ac:dyDescent="0.25">
      <c r="A625" s="243"/>
      <c r="B625" s="244"/>
      <c r="C625" s="244"/>
      <c r="D625" s="244"/>
      <c r="E625" s="244"/>
      <c r="F625" s="244"/>
      <c r="G625" s="244"/>
      <c r="H625" s="244"/>
      <c r="I625" s="244"/>
      <c r="J625" s="244"/>
      <c r="K625" s="244"/>
      <c r="L625" s="244"/>
      <c r="M625" s="244"/>
      <c r="N625" s="244"/>
      <c r="O625" s="244"/>
      <c r="P625" s="244"/>
      <c r="Q625" s="244"/>
      <c r="R625" s="244"/>
      <c r="S625" s="244"/>
      <c r="T625" s="244"/>
      <c r="U625" s="244"/>
      <c r="V625" s="244"/>
      <c r="W625" s="244"/>
      <c r="X625" s="244"/>
      <c r="Y625" s="244"/>
      <c r="Z625" t="s">
        <v>580</v>
      </c>
    </row>
    <row r="626" spans="1:26" x14ac:dyDescent="0.25">
      <c r="A626" s="243" t="s">
        <v>430</v>
      </c>
      <c r="B626" s="244" t="s">
        <v>439</v>
      </c>
      <c r="C626" s="244" t="s">
        <v>440</v>
      </c>
      <c r="D626" s="244" t="s">
        <v>441</v>
      </c>
      <c r="E626" s="244" t="s">
        <v>442</v>
      </c>
      <c r="F626" s="244" t="s">
        <v>443</v>
      </c>
      <c r="G626" s="244" t="s">
        <v>444</v>
      </c>
      <c r="H626" s="244" t="s">
        <v>445</v>
      </c>
      <c r="I626" s="244" t="s">
        <v>446</v>
      </c>
      <c r="J626" s="244" t="s">
        <v>447</v>
      </c>
      <c r="K626" s="244" t="s">
        <v>448</v>
      </c>
      <c r="L626" s="244" t="s">
        <v>449</v>
      </c>
      <c r="M626" s="244" t="s">
        <v>450</v>
      </c>
      <c r="N626" s="244" t="s">
        <v>451</v>
      </c>
      <c r="O626" s="244" t="s">
        <v>452</v>
      </c>
      <c r="P626" s="244" t="s">
        <v>453</v>
      </c>
      <c r="Q626" s="244" t="s">
        <v>454</v>
      </c>
      <c r="R626" s="244" t="s">
        <v>455</v>
      </c>
      <c r="S626" s="244" t="s">
        <v>456</v>
      </c>
      <c r="T626" s="244" t="s">
        <v>457</v>
      </c>
      <c r="U626" s="244" t="s">
        <v>458</v>
      </c>
      <c r="V626" s="244" t="s">
        <v>459</v>
      </c>
      <c r="W626" s="244" t="s">
        <v>460</v>
      </c>
      <c r="X626" s="244" t="s">
        <v>461</v>
      </c>
      <c r="Y626" s="244" t="s">
        <v>462</v>
      </c>
      <c r="Z626">
        <v>2026</v>
      </c>
    </row>
    <row r="627" spans="1:26" x14ac:dyDescent="0.25">
      <c r="A627" s="243" t="s">
        <v>430</v>
      </c>
      <c r="B627" s="244" t="s">
        <v>430</v>
      </c>
      <c r="C627" s="244" t="s">
        <v>430</v>
      </c>
      <c r="D627" s="244" t="s">
        <v>430</v>
      </c>
      <c r="E627" s="244" t="s">
        <v>430</v>
      </c>
      <c r="F627" s="244" t="s">
        <v>430</v>
      </c>
      <c r="G627" s="244" t="s">
        <v>430</v>
      </c>
      <c r="H627" s="244" t="s">
        <v>430</v>
      </c>
      <c r="I627" s="244" t="s">
        <v>430</v>
      </c>
      <c r="J627" s="244" t="s">
        <v>430</v>
      </c>
      <c r="K627" s="244" t="s">
        <v>430</v>
      </c>
      <c r="L627" s="244" t="s">
        <v>430</v>
      </c>
      <c r="M627" s="244" t="s">
        <v>430</v>
      </c>
      <c r="N627" s="244" t="s">
        <v>430</v>
      </c>
      <c r="O627" s="244" t="s">
        <v>430</v>
      </c>
      <c r="P627" s="244" t="s">
        <v>430</v>
      </c>
      <c r="Q627" s="244" t="s">
        <v>430</v>
      </c>
      <c r="R627" s="244" t="s">
        <v>430</v>
      </c>
      <c r="S627" s="244" t="s">
        <v>430</v>
      </c>
      <c r="T627" s="244" t="s">
        <v>430</v>
      </c>
      <c r="U627" s="244" t="s">
        <v>430</v>
      </c>
      <c r="V627" s="244" t="s">
        <v>430</v>
      </c>
      <c r="W627" s="244" t="s">
        <v>430</v>
      </c>
      <c r="X627" s="244" t="s">
        <v>430</v>
      </c>
      <c r="Y627" s="244" t="s">
        <v>430</v>
      </c>
    </row>
    <row r="628" spans="1:26" x14ac:dyDescent="0.25">
      <c r="A628" s="243" t="s">
        <v>463</v>
      </c>
      <c r="B628" s="247">
        <v>15.0220499038696</v>
      </c>
      <c r="C628" s="247">
        <v>15.811363220214799</v>
      </c>
      <c r="D628" s="247">
        <v>16.426000595092798</v>
      </c>
      <c r="E628" s="247">
        <v>16.4650573730469</v>
      </c>
      <c r="F628" s="247">
        <v>15.8399600982666</v>
      </c>
      <c r="G628" s="247">
        <v>15.268068313598601</v>
      </c>
      <c r="H628" s="247">
        <v>14.8466091156006</v>
      </c>
      <c r="I628" s="247">
        <v>14.7514638900757</v>
      </c>
      <c r="J628" s="247">
        <v>14.6550188064575</v>
      </c>
      <c r="K628" s="247">
        <v>14.6146650314331</v>
      </c>
      <c r="L628" s="247">
        <v>14.723385810852101</v>
      </c>
      <c r="M628" s="247">
        <v>14.890528678894</v>
      </c>
      <c r="N628" s="247">
        <v>15.1057291030884</v>
      </c>
      <c r="O628" s="247">
        <v>15.213768959045399</v>
      </c>
      <c r="P628" s="247">
        <v>15.3079509735107</v>
      </c>
      <c r="Q628" s="247">
        <v>15.3113193511963</v>
      </c>
      <c r="R628" s="247">
        <v>15.4291744232178</v>
      </c>
      <c r="S628" s="247">
        <v>15.6326360702515</v>
      </c>
      <c r="T628" s="247">
        <v>15.9024982452393</v>
      </c>
      <c r="U628" s="247">
        <v>16.1096382141113</v>
      </c>
      <c r="V628" s="247">
        <v>16.157627105712901</v>
      </c>
      <c r="W628" s="247">
        <v>16.2051906585693</v>
      </c>
      <c r="X628" s="247">
        <v>16.309419631958001</v>
      </c>
      <c r="Y628" s="247">
        <v>16.471462249755898</v>
      </c>
    </row>
    <row r="629" spans="1:26" x14ac:dyDescent="0.25">
      <c r="A629" s="243" t="s">
        <v>464</v>
      </c>
      <c r="B629" s="247">
        <v>8.3285751342773402</v>
      </c>
      <c r="C629" s="247">
        <v>9.67810153961182</v>
      </c>
      <c r="D629" s="247">
        <v>10.65163230896</v>
      </c>
      <c r="E629" s="247">
        <v>10.5740642547607</v>
      </c>
      <c r="F629" s="247">
        <v>9.9307842254638707</v>
      </c>
      <c r="G629" s="247">
        <v>9.5159215927124006</v>
      </c>
      <c r="H629" s="247">
        <v>9.1046285629272496</v>
      </c>
      <c r="I629" s="247">
        <v>8.8910932540893608</v>
      </c>
      <c r="J629" s="247">
        <v>8.7197055816650408</v>
      </c>
      <c r="K629" s="247">
        <v>8.6297874450683594</v>
      </c>
      <c r="L629" s="247">
        <v>8.6824674606323207</v>
      </c>
      <c r="M629" s="247">
        <v>8.7884712219238299</v>
      </c>
      <c r="N629" s="247">
        <v>8.9080095291137695</v>
      </c>
      <c r="O629" s="247">
        <v>9.0072793960571307</v>
      </c>
      <c r="P629" s="247">
        <v>9.0682640075683594</v>
      </c>
      <c r="Q629" s="247">
        <v>9.0415534973144496</v>
      </c>
      <c r="R629" s="247">
        <v>9.1060371398925799</v>
      </c>
      <c r="S629" s="247">
        <v>9.2553215026855504</v>
      </c>
      <c r="T629" s="247">
        <v>9.4607038497924805</v>
      </c>
      <c r="U629" s="247">
        <v>9.6327857971191406</v>
      </c>
      <c r="V629" s="247">
        <v>9.6968526840209996</v>
      </c>
      <c r="W629" s="247">
        <v>9.7728433609008807</v>
      </c>
      <c r="X629" s="247">
        <v>9.8535881042480504</v>
      </c>
      <c r="Y629" s="247">
        <v>9.9786624908447301</v>
      </c>
    </row>
    <row r="630" spans="1:26" x14ac:dyDescent="0.25">
      <c r="A630" s="243" t="s">
        <v>465</v>
      </c>
      <c r="B630" s="247">
        <v>10.0436496734619</v>
      </c>
      <c r="C630" s="247">
        <v>11.266843795776399</v>
      </c>
      <c r="D630" s="247">
        <v>13.0600233078003</v>
      </c>
      <c r="E630" s="247">
        <v>12.5262851715088</v>
      </c>
      <c r="F630" s="247">
        <v>12.207064628601101</v>
      </c>
      <c r="G630" s="247">
        <v>12.234001159668001</v>
      </c>
      <c r="H630" s="247">
        <v>12.201937675476101</v>
      </c>
      <c r="I630" s="247">
        <v>12.2015285491943</v>
      </c>
      <c r="J630" s="247">
        <v>12.262092590331999</v>
      </c>
      <c r="K630" s="247">
        <v>12.1512393951416</v>
      </c>
      <c r="L630" s="247">
        <v>12.1732091903687</v>
      </c>
      <c r="M630" s="247">
        <v>12.1968584060669</v>
      </c>
      <c r="N630" s="247">
        <v>12.177050590515099</v>
      </c>
      <c r="O630" s="247">
        <v>12.2115392684937</v>
      </c>
      <c r="P630" s="247">
        <v>12.3804988861084</v>
      </c>
      <c r="Q630" s="247">
        <v>12.519121170043899</v>
      </c>
      <c r="R630" s="247">
        <v>12.6585578918457</v>
      </c>
      <c r="S630" s="247">
        <v>12.798875808715801</v>
      </c>
      <c r="T630" s="247">
        <v>12.8676557540894</v>
      </c>
      <c r="U630" s="247">
        <v>13.13560962677</v>
      </c>
      <c r="V630" s="247">
        <v>13.328717231750501</v>
      </c>
      <c r="W630" s="247">
        <v>13.556846618652299</v>
      </c>
      <c r="X630" s="247">
        <v>13.722979545593301</v>
      </c>
      <c r="Y630" s="247">
        <v>13.940701484680201</v>
      </c>
    </row>
    <row r="631" spans="1:26" x14ac:dyDescent="0.25">
      <c r="A631" s="243" t="s">
        <v>466</v>
      </c>
      <c r="B631" s="247">
        <v>8.3698368072509801</v>
      </c>
      <c r="C631" s="247">
        <v>9.5702075958252006</v>
      </c>
      <c r="D631" s="247">
        <v>10.537187576293899</v>
      </c>
      <c r="E631" s="247">
        <v>10.120927810668899</v>
      </c>
      <c r="F631" s="247">
        <v>9.8627185821533203</v>
      </c>
      <c r="G631" s="247">
        <v>9.8399791717529297</v>
      </c>
      <c r="H631" s="247">
        <v>9.8302927017211896</v>
      </c>
      <c r="I631" s="247">
        <v>9.8297405242919904</v>
      </c>
      <c r="J631" s="247">
        <v>9.8252134323120099</v>
      </c>
      <c r="K631" s="247">
        <v>9.7093524932861293</v>
      </c>
      <c r="L631" s="247">
        <v>9.7021694183349592</v>
      </c>
      <c r="M631" s="247">
        <v>9.7383060455322301</v>
      </c>
      <c r="N631" s="247">
        <v>9.80072116851807</v>
      </c>
      <c r="O631" s="247">
        <v>9.7244081497192401</v>
      </c>
      <c r="P631" s="247">
        <v>9.8378829956054705</v>
      </c>
      <c r="Q631" s="247">
        <v>9.8340024948120099</v>
      </c>
      <c r="R631" s="247">
        <v>9.9226865768432599</v>
      </c>
      <c r="S631" s="247">
        <v>10.0213985443115</v>
      </c>
      <c r="T631" s="247">
        <v>10.078977584838899</v>
      </c>
      <c r="U631" s="247">
        <v>10.280327796936</v>
      </c>
      <c r="V631" s="247">
        <v>10.3802833557129</v>
      </c>
      <c r="W631" s="247">
        <v>10.4678192138672</v>
      </c>
      <c r="X631" s="247">
        <v>10.5482635498047</v>
      </c>
      <c r="Y631" s="247">
        <v>10.6469841003418</v>
      </c>
    </row>
    <row r="632" spans="1:26" x14ac:dyDescent="0.25">
      <c r="A632" s="243" t="s">
        <v>467</v>
      </c>
      <c r="B632" s="247">
        <v>12.976583480835</v>
      </c>
      <c r="C632" s="247">
        <v>14.582922935485801</v>
      </c>
      <c r="D632" s="247">
        <v>17.570188522338899</v>
      </c>
      <c r="E632" s="247">
        <v>17.073205947876001</v>
      </c>
      <c r="F632" s="247">
        <v>16.564285278320298</v>
      </c>
      <c r="G632" s="247">
        <v>16.581449508666999</v>
      </c>
      <c r="H632" s="247">
        <v>16.4250888824463</v>
      </c>
      <c r="I632" s="247">
        <v>16.346086502075199</v>
      </c>
      <c r="J632" s="247">
        <v>16.4532871246338</v>
      </c>
      <c r="K632" s="247">
        <v>16.288703918456999</v>
      </c>
      <c r="L632" s="247">
        <v>16.298521041870099</v>
      </c>
      <c r="M632" s="247">
        <v>16.236286163330099</v>
      </c>
      <c r="N632" s="247">
        <v>15.99489402771</v>
      </c>
      <c r="O632" s="247">
        <v>16.1197624206543</v>
      </c>
      <c r="P632" s="247">
        <v>16.286623001098601</v>
      </c>
      <c r="Q632" s="247">
        <v>16.56103515625</v>
      </c>
      <c r="R632" s="247">
        <v>16.690963745117202</v>
      </c>
      <c r="S632" s="247">
        <v>16.804660797119102</v>
      </c>
      <c r="T632" s="247">
        <v>16.7820129394531</v>
      </c>
      <c r="U632" s="247">
        <v>17.028240203857401</v>
      </c>
      <c r="V632" s="247">
        <v>17.2251377105713</v>
      </c>
      <c r="W632" s="247">
        <v>17.515983581543001</v>
      </c>
      <c r="X632" s="247">
        <v>17.670423507690401</v>
      </c>
      <c r="Y632" s="247">
        <v>17.9113578796387</v>
      </c>
    </row>
    <row r="633" spans="1:26" x14ac:dyDescent="0.25">
      <c r="A633" s="243" t="s">
        <v>468</v>
      </c>
      <c r="B633" s="247">
        <v>7.8179483413696298</v>
      </c>
      <c r="C633" s="247">
        <v>9.2187824249267596</v>
      </c>
      <c r="D633" s="247">
        <v>9.9373655319213903</v>
      </c>
      <c r="E633" s="247">
        <v>10.036292076110801</v>
      </c>
      <c r="F633" s="247">
        <v>9.3139858245849592</v>
      </c>
      <c r="G633" s="247">
        <v>8.7959203720092791</v>
      </c>
      <c r="H633" s="247">
        <v>8.3035001754760707</v>
      </c>
      <c r="I633" s="247">
        <v>8.0470056533813494</v>
      </c>
      <c r="J633" s="247">
        <v>7.8287873268127397</v>
      </c>
      <c r="K633" s="247">
        <v>7.7531881332397496</v>
      </c>
      <c r="L633" s="247">
        <v>7.8190288543701199</v>
      </c>
      <c r="M633" s="247">
        <v>7.9488449096679696</v>
      </c>
      <c r="N633" s="247">
        <v>8.1063919067382795</v>
      </c>
      <c r="O633" s="247">
        <v>8.2242641448974592</v>
      </c>
      <c r="P633" s="247">
        <v>8.2648267745971697</v>
      </c>
      <c r="Q633" s="247">
        <v>8.2073183059692401</v>
      </c>
      <c r="R633" s="247">
        <v>8.2647809982299805</v>
      </c>
      <c r="S633" s="247">
        <v>8.4262142181396502</v>
      </c>
      <c r="T633" s="247">
        <v>8.6721630096435494</v>
      </c>
      <c r="U633" s="247">
        <v>8.83197021484375</v>
      </c>
      <c r="V633" s="247">
        <v>8.8790025711059606</v>
      </c>
      <c r="W633" s="247">
        <v>8.93493747711182</v>
      </c>
      <c r="X633" s="247">
        <v>9.0109558105468803</v>
      </c>
      <c r="Y633" s="247">
        <v>9.1305398941040004</v>
      </c>
    </row>
    <row r="634" spans="1:26" x14ac:dyDescent="0.25">
      <c r="A634" s="243" t="s">
        <v>469</v>
      </c>
      <c r="B634" s="247">
        <v>25.222642898559599</v>
      </c>
      <c r="C634" s="247">
        <v>25.415189743041999</v>
      </c>
      <c r="D634" s="247">
        <v>25.1915378570557</v>
      </c>
      <c r="E634" s="247">
        <v>25.148117065429702</v>
      </c>
      <c r="F634" s="247">
        <v>24.4542636871338</v>
      </c>
      <c r="G634" s="247">
        <v>23.578901290893601</v>
      </c>
      <c r="H634" s="247">
        <v>23.091381072998001</v>
      </c>
      <c r="I634" s="247">
        <v>23.1348171234131</v>
      </c>
      <c r="J634" s="247">
        <v>23.120912551879901</v>
      </c>
      <c r="K634" s="247">
        <v>23.118898391723601</v>
      </c>
      <c r="L634" s="247">
        <v>23.2529602050781</v>
      </c>
      <c r="M634" s="247">
        <v>23.4250183105469</v>
      </c>
      <c r="N634" s="247">
        <v>23.684103012085</v>
      </c>
      <c r="O634" s="247">
        <v>23.7079162597656</v>
      </c>
      <c r="P634" s="247">
        <v>23.7613220214844</v>
      </c>
      <c r="Q634" s="247">
        <v>23.722099304199201</v>
      </c>
      <c r="R634" s="247">
        <v>23.8309440612793</v>
      </c>
      <c r="S634" s="247">
        <v>24.013486862182599</v>
      </c>
      <c r="T634" s="247">
        <v>24.267650604248001</v>
      </c>
      <c r="U634" s="247">
        <v>24.4126377105713</v>
      </c>
      <c r="V634" s="247">
        <v>24.3365364074707</v>
      </c>
      <c r="W634" s="247">
        <v>24.2477512359619</v>
      </c>
      <c r="X634" s="247">
        <v>24.2885627746582</v>
      </c>
      <c r="Y634" s="247">
        <v>24.396659851074201</v>
      </c>
    </row>
    <row r="635" spans="1:26" x14ac:dyDescent="0.25">
      <c r="A635" s="243" t="s">
        <v>430</v>
      </c>
      <c r="B635" s="247" t="s">
        <v>430</v>
      </c>
      <c r="C635" s="247" t="s">
        <v>430</v>
      </c>
      <c r="D635" s="247" t="s">
        <v>430</v>
      </c>
      <c r="E635" s="247" t="s">
        <v>430</v>
      </c>
      <c r="F635" s="247" t="s">
        <v>430</v>
      </c>
      <c r="G635" s="247" t="s">
        <v>430</v>
      </c>
      <c r="H635" s="247" t="s">
        <v>430</v>
      </c>
      <c r="I635" s="247" t="s">
        <v>430</v>
      </c>
      <c r="J635" s="247" t="s">
        <v>430</v>
      </c>
      <c r="K635" s="247" t="s">
        <v>430</v>
      </c>
      <c r="L635" s="247" t="s">
        <v>430</v>
      </c>
      <c r="M635" s="247" t="s">
        <v>430</v>
      </c>
      <c r="N635" s="247" t="s">
        <v>430</v>
      </c>
      <c r="O635" s="247" t="s">
        <v>430</v>
      </c>
      <c r="P635" s="247" t="s">
        <v>430</v>
      </c>
      <c r="Q635" s="247" t="s">
        <v>430</v>
      </c>
      <c r="R635" s="247" t="s">
        <v>430</v>
      </c>
      <c r="S635" s="247" t="s">
        <v>430</v>
      </c>
      <c r="T635" s="247" t="s">
        <v>430</v>
      </c>
      <c r="U635" s="247" t="s">
        <v>430</v>
      </c>
      <c r="V635" s="247" t="s">
        <v>430</v>
      </c>
      <c r="W635" s="247" t="s">
        <v>430</v>
      </c>
      <c r="X635" s="247" t="s">
        <v>430</v>
      </c>
      <c r="Y635" s="247" t="s">
        <v>430</v>
      </c>
    </row>
    <row r="636" spans="1:26" x14ac:dyDescent="0.25">
      <c r="A636" s="243" t="s">
        <v>470</v>
      </c>
      <c r="B636" s="247">
        <v>15.064169883728001</v>
      </c>
      <c r="C636" s="247">
        <v>15.629265785217299</v>
      </c>
      <c r="D636" s="247">
        <v>15.835695266723601</v>
      </c>
      <c r="E636" s="247">
        <v>15.918652534484901</v>
      </c>
      <c r="F636" s="247">
        <v>15.2065124511719</v>
      </c>
      <c r="G636" s="247">
        <v>14.526217460632299</v>
      </c>
      <c r="H636" s="247">
        <v>14.119109153747599</v>
      </c>
      <c r="I636" s="247">
        <v>14.0872592926025</v>
      </c>
      <c r="J636" s="247">
        <v>14.0534925460815</v>
      </c>
      <c r="K636" s="247">
        <v>14.108097076416</v>
      </c>
      <c r="L636" s="247">
        <v>14.338217735290501</v>
      </c>
      <c r="M636" s="247">
        <v>14.584888458251999</v>
      </c>
      <c r="N636" s="247">
        <v>14.9309749603271</v>
      </c>
      <c r="O636" s="247">
        <v>15.096228599548301</v>
      </c>
      <c r="P636" s="247">
        <v>15.2413949966431</v>
      </c>
      <c r="Q636" s="247">
        <v>15.255002975463899</v>
      </c>
      <c r="R636" s="247">
        <v>15.399823188781699</v>
      </c>
      <c r="S636" s="247">
        <v>15.6329202651978</v>
      </c>
      <c r="T636" s="247">
        <v>15.9477081298828</v>
      </c>
      <c r="U636" s="247">
        <v>16.179660797119102</v>
      </c>
      <c r="V636" s="247">
        <v>16.227045059204102</v>
      </c>
      <c r="W636" s="247">
        <v>16.249193191528299</v>
      </c>
      <c r="X636" s="247">
        <v>16.367641448974599</v>
      </c>
      <c r="Y636" s="247">
        <v>16.5326118469238</v>
      </c>
    </row>
    <row r="637" spans="1:26" x14ac:dyDescent="0.25">
      <c r="A637" s="243" t="s">
        <v>464</v>
      </c>
      <c r="B637" s="247">
        <v>6.5697088241577104</v>
      </c>
      <c r="C637" s="247">
        <v>7.9157042503356898</v>
      </c>
      <c r="D637" s="247">
        <v>8.3734045028686506</v>
      </c>
      <c r="E637" s="247">
        <v>8.3685989379882795</v>
      </c>
      <c r="F637" s="247">
        <v>7.9054894447326696</v>
      </c>
      <c r="G637" s="247">
        <v>7.6067800521850604</v>
      </c>
      <c r="H637" s="247">
        <v>7.3189792633056596</v>
      </c>
      <c r="I637" s="247">
        <v>7.2159371376037598</v>
      </c>
      <c r="J637" s="247">
        <v>7.1498117446899396</v>
      </c>
      <c r="K637" s="247">
        <v>7.1872353553771999</v>
      </c>
      <c r="L637" s="247">
        <v>7.2290387153625497</v>
      </c>
      <c r="M637" s="247">
        <v>7.30631303787231</v>
      </c>
      <c r="N637" s="247">
        <v>7.4108529090881303</v>
      </c>
      <c r="O637" s="247">
        <v>7.4683656692504901</v>
      </c>
      <c r="P637" s="247">
        <v>7.4930505752563503</v>
      </c>
      <c r="Q637" s="247">
        <v>7.43192434310913</v>
      </c>
      <c r="R637" s="247">
        <v>7.4779849052429199</v>
      </c>
      <c r="S637" s="247">
        <v>7.60019826889038</v>
      </c>
      <c r="T637" s="247">
        <v>7.7867598533630398</v>
      </c>
      <c r="U637" s="247">
        <v>7.91162109375</v>
      </c>
      <c r="V637" s="247">
        <v>7.9430484771728498</v>
      </c>
      <c r="W637" s="247">
        <v>7.9890594482421902</v>
      </c>
      <c r="X637" s="247">
        <v>8.0587644577026403</v>
      </c>
      <c r="Y637" s="247">
        <v>8.1779403686523402</v>
      </c>
    </row>
    <row r="638" spans="1:26" x14ac:dyDescent="0.25">
      <c r="A638" s="243" t="s">
        <v>465</v>
      </c>
      <c r="B638" s="247">
        <v>6.9482707977294904</v>
      </c>
      <c r="C638" s="247">
        <v>8.0266513824462908</v>
      </c>
      <c r="D638" s="247">
        <v>8.9197740554809606</v>
      </c>
      <c r="E638" s="247">
        <v>8.6532411575317401</v>
      </c>
      <c r="F638" s="247">
        <v>8.7558631896972692</v>
      </c>
      <c r="G638" s="247">
        <v>8.8328323364257795</v>
      </c>
      <c r="H638" s="247">
        <v>8.8167963027954102</v>
      </c>
      <c r="I638" s="247">
        <v>8.8182945251464808</v>
      </c>
      <c r="J638" s="247">
        <v>8.8873138427734393</v>
      </c>
      <c r="K638" s="247">
        <v>8.9125509262084996</v>
      </c>
      <c r="L638" s="247">
        <v>8.9192247390747106</v>
      </c>
      <c r="M638" s="247">
        <v>8.8803482055664098</v>
      </c>
      <c r="N638" s="247">
        <v>8.8586578369140607</v>
      </c>
      <c r="O638" s="247">
        <v>8.7692289352416992</v>
      </c>
      <c r="P638" s="247">
        <v>8.7682600021362305</v>
      </c>
      <c r="Q638" s="247">
        <v>8.7373514175415004</v>
      </c>
      <c r="R638" s="247">
        <v>8.7862501144409197</v>
      </c>
      <c r="S638" s="247">
        <v>8.8491783142089808</v>
      </c>
      <c r="T638" s="247">
        <v>8.8908815383911097</v>
      </c>
      <c r="U638" s="247">
        <v>9.0514831542968803</v>
      </c>
      <c r="V638" s="247">
        <v>9.1475715637206996</v>
      </c>
      <c r="W638" s="247">
        <v>9.2663307189941406</v>
      </c>
      <c r="X638" s="247">
        <v>9.3906812667846697</v>
      </c>
      <c r="Y638" s="247">
        <v>9.6513500213622994</v>
      </c>
    </row>
    <row r="639" spans="1:26" x14ac:dyDescent="0.25">
      <c r="A639" s="243" t="s">
        <v>466</v>
      </c>
      <c r="B639" s="247">
        <v>6.1493649482727104</v>
      </c>
      <c r="C639" s="247">
        <v>7.03082323074341</v>
      </c>
      <c r="D639" s="247">
        <v>7.7272830009460396</v>
      </c>
      <c r="E639" s="247">
        <v>7.4210705757141104</v>
      </c>
      <c r="F639" s="247">
        <v>7.6805524826049796</v>
      </c>
      <c r="G639" s="247">
        <v>7.8215904235839799</v>
      </c>
      <c r="H639" s="247">
        <v>7.8266153335571298</v>
      </c>
      <c r="I639" s="247">
        <v>7.8668313026428196</v>
      </c>
      <c r="J639" s="247">
        <v>7.9658513069152797</v>
      </c>
      <c r="K639" s="247">
        <v>8.0328092575073207</v>
      </c>
      <c r="L639" s="247">
        <v>8.0569534301757795</v>
      </c>
      <c r="M639" s="247">
        <v>8.0234899520874006</v>
      </c>
      <c r="N639" s="247">
        <v>8.0314903259277308</v>
      </c>
      <c r="O639" s="247">
        <v>7.91062688827515</v>
      </c>
      <c r="P639" s="247">
        <v>7.8695487976074201</v>
      </c>
      <c r="Q639" s="247">
        <v>7.7933855056762704</v>
      </c>
      <c r="R639" s="247">
        <v>7.8344025611877397</v>
      </c>
      <c r="S639" s="247">
        <v>7.89571285247803</v>
      </c>
      <c r="T639" s="247">
        <v>7.9562859535217303</v>
      </c>
      <c r="U639" s="247">
        <v>8.1191616058349592</v>
      </c>
      <c r="V639" s="247">
        <v>8.2043952941894496</v>
      </c>
      <c r="W639" s="247">
        <v>8.3111848831176793</v>
      </c>
      <c r="X639" s="247">
        <v>8.4434480667114293</v>
      </c>
      <c r="Y639" s="247">
        <v>8.7515277862548793</v>
      </c>
    </row>
    <row r="640" spans="1:26" x14ac:dyDescent="0.25">
      <c r="A640" s="243" t="s">
        <v>471</v>
      </c>
      <c r="B640" s="247">
        <v>4.2683343887329102</v>
      </c>
      <c r="C640" s="247">
        <v>4.9646224975585902</v>
      </c>
      <c r="D640" s="247">
        <v>5.0606441497802699</v>
      </c>
      <c r="E640" s="247">
        <v>5.3499693870544398</v>
      </c>
      <c r="F640" s="247">
        <v>5.6657009124755904</v>
      </c>
      <c r="G640" s="247">
        <v>5.6566004753112802</v>
      </c>
      <c r="H640" s="247">
        <v>5.6533966064453098</v>
      </c>
      <c r="I640" s="247">
        <v>5.65053033828735</v>
      </c>
      <c r="J640" s="247">
        <v>5.6487455368042001</v>
      </c>
      <c r="K640" s="247">
        <v>5.6555466651916504</v>
      </c>
      <c r="L640" s="247">
        <v>5.6602473258972203</v>
      </c>
      <c r="M640" s="247">
        <v>5.6679368019104004</v>
      </c>
      <c r="N640" s="247">
        <v>5.6729874610900897</v>
      </c>
      <c r="O640" s="247">
        <v>5.6782984733581499</v>
      </c>
      <c r="P640" s="247">
        <v>5.7556295394897496</v>
      </c>
      <c r="Q640" s="247">
        <v>5.8296666145324698</v>
      </c>
      <c r="R640" s="247">
        <v>5.9058866500854501</v>
      </c>
      <c r="S640" s="247">
        <v>5.9829258918762198</v>
      </c>
      <c r="T640" s="247">
        <v>6.0580596923828098</v>
      </c>
      <c r="U640" s="247">
        <v>6.1354246139526403</v>
      </c>
      <c r="V640" s="247">
        <v>6.2122497558593803</v>
      </c>
      <c r="W640" s="247">
        <v>6.2891340255737296</v>
      </c>
      <c r="X640" s="247">
        <v>6.3645572662353498</v>
      </c>
      <c r="Y640" s="247">
        <v>6.4413762092590297</v>
      </c>
    </row>
    <row r="641" spans="1:26" x14ac:dyDescent="0.25">
      <c r="A641" s="268" t="s">
        <v>468</v>
      </c>
      <c r="B641" s="247">
        <v>6.6170339584350604</v>
      </c>
      <c r="C641" s="247">
        <v>8.0769119262695295</v>
      </c>
      <c r="D641" s="247">
        <v>8.4473829269409197</v>
      </c>
      <c r="E641" s="247">
        <v>8.5046024322509801</v>
      </c>
      <c r="F641" s="247">
        <v>7.8886041641235396</v>
      </c>
      <c r="G641" s="247">
        <v>7.4893965721130398</v>
      </c>
      <c r="H641" s="247">
        <v>7.1298856735229501</v>
      </c>
      <c r="I641" s="247">
        <v>7.0003471374511701</v>
      </c>
      <c r="J641" s="247">
        <v>6.9035739898681596</v>
      </c>
      <c r="K641" s="247">
        <v>6.94567918777466</v>
      </c>
      <c r="L641" s="247">
        <v>6.9973711967468297</v>
      </c>
      <c r="M641" s="247">
        <v>7.1022868156433097</v>
      </c>
      <c r="N641" s="247">
        <v>7.2368607521057102</v>
      </c>
      <c r="O641" s="247">
        <v>7.3275256156921396</v>
      </c>
      <c r="P641" s="247">
        <v>7.3574790954589799</v>
      </c>
      <c r="Q641" s="247">
        <v>7.2871475219726598</v>
      </c>
      <c r="R641" s="247">
        <v>7.3330197334289604</v>
      </c>
      <c r="S641" s="247">
        <v>7.4703903198242196</v>
      </c>
      <c r="T641" s="247">
        <v>7.6915035247802699</v>
      </c>
      <c r="U641" s="247">
        <v>7.8109488487243697</v>
      </c>
      <c r="V641" s="247">
        <v>7.8279361724853498</v>
      </c>
      <c r="W641" s="247">
        <v>7.8590941429138201</v>
      </c>
      <c r="X641" s="247">
        <v>7.9183402061462402</v>
      </c>
      <c r="Y641" s="247">
        <v>8.0110416412353498</v>
      </c>
      <c r="Z641" s="277">
        <f>Y641+($AI$471-$Y$641)/10</f>
        <v>8.0591226890564176</v>
      </c>
    </row>
    <row r="642" spans="1:26" x14ac:dyDescent="0.25">
      <c r="A642" s="270" t="s">
        <v>469</v>
      </c>
      <c r="B642" s="247">
        <v>23.353584289550799</v>
      </c>
      <c r="C642" s="247">
        <v>23.2374382019043</v>
      </c>
      <c r="D642" s="247">
        <v>23.0424194335938</v>
      </c>
      <c r="E642" s="247">
        <v>22.939121246337901</v>
      </c>
      <c r="F642" s="247">
        <v>21.907506942748999</v>
      </c>
      <c r="G642" s="247">
        <v>20.807579040527301</v>
      </c>
      <c r="H642" s="247">
        <v>20.2319431304932</v>
      </c>
      <c r="I642" s="247">
        <v>20.2009677886963</v>
      </c>
      <c r="J642" s="247">
        <v>20.132976531982401</v>
      </c>
      <c r="K642" s="247">
        <v>20.128959655761701</v>
      </c>
      <c r="L642" s="247">
        <v>20.445728302001999</v>
      </c>
      <c r="M642" s="247">
        <v>20.757715225219702</v>
      </c>
      <c r="N642" s="247">
        <v>21.231256484985401</v>
      </c>
      <c r="O642" s="247">
        <v>21.404373168945298</v>
      </c>
      <c r="P642" s="247">
        <v>21.571121215820298</v>
      </c>
      <c r="Q642" s="247">
        <v>21.578863143920898</v>
      </c>
      <c r="R642" s="247">
        <v>21.739751815795898</v>
      </c>
      <c r="S642" s="247">
        <v>21.989313125610401</v>
      </c>
      <c r="T642" s="247">
        <v>22.322486877441399</v>
      </c>
      <c r="U642" s="247">
        <v>22.5522785186768</v>
      </c>
      <c r="V642" s="247">
        <v>22.5369548797607</v>
      </c>
      <c r="W642" s="247">
        <v>22.469936370849599</v>
      </c>
      <c r="X642" s="247">
        <v>22.555665969848601</v>
      </c>
      <c r="Y642" s="247">
        <v>22.682601928710898</v>
      </c>
      <c r="Z642" s="279">
        <f>Y642+($AI$472-$Y$642)/10</f>
        <v>22.586698480675594</v>
      </c>
    </row>
    <row r="643" spans="1:26" x14ac:dyDescent="0.25">
      <c r="A643" s="243" t="s">
        <v>430</v>
      </c>
      <c r="B643" s="247" t="s">
        <v>430</v>
      </c>
      <c r="C643" s="247" t="s">
        <v>430</v>
      </c>
      <c r="D643" s="247" t="s">
        <v>430</v>
      </c>
      <c r="E643" s="247" t="s">
        <v>430</v>
      </c>
      <c r="F643" s="247" t="s">
        <v>430</v>
      </c>
      <c r="G643" s="247" t="s">
        <v>430</v>
      </c>
      <c r="H643" s="247" t="s">
        <v>430</v>
      </c>
      <c r="I643" s="247" t="s">
        <v>430</v>
      </c>
      <c r="J643" s="247" t="s">
        <v>430</v>
      </c>
      <c r="K643" s="247" t="s">
        <v>430</v>
      </c>
      <c r="L643" s="247" t="s">
        <v>430</v>
      </c>
      <c r="M643" s="247" t="s">
        <v>430</v>
      </c>
      <c r="N643" s="247" t="s">
        <v>430</v>
      </c>
      <c r="O643" s="247" t="s">
        <v>430</v>
      </c>
      <c r="P643" s="247" t="s">
        <v>430</v>
      </c>
      <c r="Q643" s="247" t="s">
        <v>430</v>
      </c>
      <c r="R643" s="247" t="s">
        <v>430</v>
      </c>
      <c r="S643" s="247" t="s">
        <v>430</v>
      </c>
      <c r="T643" s="247" t="s">
        <v>430</v>
      </c>
      <c r="U643" s="247" t="s">
        <v>430</v>
      </c>
      <c r="V643" s="247" t="s">
        <v>430</v>
      </c>
      <c r="W643" s="247" t="s">
        <v>430</v>
      </c>
      <c r="X643" s="247" t="s">
        <v>430</v>
      </c>
      <c r="Y643" s="247" t="s">
        <v>430</v>
      </c>
    </row>
    <row r="644" spans="1:26" x14ac:dyDescent="0.25">
      <c r="A644" s="243" t="s">
        <v>472</v>
      </c>
      <c r="B644" s="247">
        <v>6.3922061920165998</v>
      </c>
      <c r="C644" s="247">
        <v>7.7839651107788104</v>
      </c>
      <c r="D644" s="247">
        <v>8.7313165664672905</v>
      </c>
      <c r="E644" s="247">
        <v>8.5384979248046893</v>
      </c>
      <c r="F644" s="247">
        <v>8.1135501861572301</v>
      </c>
      <c r="G644" s="247">
        <v>7.8849329948425302</v>
      </c>
      <c r="H644" s="247">
        <v>7.7104330062866202</v>
      </c>
      <c r="I644" s="247">
        <v>7.6478543281555202</v>
      </c>
      <c r="J644" s="247">
        <v>7.5814275741577104</v>
      </c>
      <c r="K644" s="247">
        <v>7.5381202697753897</v>
      </c>
      <c r="L644" s="247">
        <v>7.5780467987060502</v>
      </c>
      <c r="M644" s="247">
        <v>7.6416735649108896</v>
      </c>
      <c r="N644" s="247">
        <v>7.7132387161254901</v>
      </c>
      <c r="O644" s="247">
        <v>7.8013410568237296</v>
      </c>
      <c r="P644" s="247">
        <v>7.8755207061767596</v>
      </c>
      <c r="Q644" s="247">
        <v>7.9062352180481001</v>
      </c>
      <c r="R644" s="247">
        <v>7.9948873519897496</v>
      </c>
      <c r="S644" s="247">
        <v>8.1163215637206996</v>
      </c>
      <c r="T644" s="247">
        <v>8.2487821578979492</v>
      </c>
      <c r="U644" s="247">
        <v>8.4059162139892596</v>
      </c>
      <c r="V644" s="247">
        <v>8.4608268737793004</v>
      </c>
      <c r="W644" s="247">
        <v>8.5343141555786097</v>
      </c>
      <c r="X644" s="247">
        <v>8.6114902496337908</v>
      </c>
      <c r="Y644" s="247">
        <v>8.7719221115112305</v>
      </c>
    </row>
    <row r="645" spans="1:26" x14ac:dyDescent="0.25">
      <c r="A645" s="243" t="s">
        <v>473</v>
      </c>
      <c r="B645" s="247">
        <v>4.9298634529113796</v>
      </c>
      <c r="C645" s="247">
        <v>6.4939708709716797</v>
      </c>
      <c r="D645" s="247">
        <v>7.4592781066894496</v>
      </c>
      <c r="E645" s="247">
        <v>7.2447438240051296</v>
      </c>
      <c r="F645" s="247">
        <v>6.84521436691284</v>
      </c>
      <c r="G645" s="247">
        <v>6.6732459068298304</v>
      </c>
      <c r="H645" s="247">
        <v>6.51676225662231</v>
      </c>
      <c r="I645" s="247">
        <v>6.4484291076660201</v>
      </c>
      <c r="J645" s="247">
        <v>6.3966798782348597</v>
      </c>
      <c r="K645" s="247">
        <v>6.3644347190856898</v>
      </c>
      <c r="L645" s="247">
        <v>6.3782010078430202</v>
      </c>
      <c r="M645" s="247">
        <v>6.3993859291076696</v>
      </c>
      <c r="N645" s="247">
        <v>6.4120607376098597</v>
      </c>
      <c r="O645" s="247">
        <v>6.4825568199157697</v>
      </c>
      <c r="P645" s="247">
        <v>6.5450062751770002</v>
      </c>
      <c r="Q645" s="247">
        <v>6.5706739425659197</v>
      </c>
      <c r="R645" s="247">
        <v>6.6389350891113299</v>
      </c>
      <c r="S645" s="247">
        <v>6.7355680465698198</v>
      </c>
      <c r="T645" s="247">
        <v>6.8303794860839799</v>
      </c>
      <c r="U645" s="247">
        <v>6.9826822280883798</v>
      </c>
      <c r="V645" s="247">
        <v>7.0502834320068404</v>
      </c>
      <c r="W645" s="247">
        <v>7.1402068138122603</v>
      </c>
      <c r="X645" s="247">
        <v>7.2155933380126998</v>
      </c>
      <c r="Y645" s="247">
        <v>7.3827753067016602</v>
      </c>
    </row>
    <row r="646" spans="1:26" x14ac:dyDescent="0.25">
      <c r="A646" s="243" t="s">
        <v>465</v>
      </c>
      <c r="B646" s="247">
        <v>6.5291514396667498</v>
      </c>
      <c r="C646" s="247">
        <v>8.2850980758666992</v>
      </c>
      <c r="D646" s="247">
        <v>9.8001213073730504</v>
      </c>
      <c r="E646" s="247">
        <v>9.3321943283081108</v>
      </c>
      <c r="F646" s="247">
        <v>9.0226831436157209</v>
      </c>
      <c r="G646" s="247">
        <v>9.0089912414550799</v>
      </c>
      <c r="H646" s="247">
        <v>8.9738616943359393</v>
      </c>
      <c r="I646" s="247">
        <v>8.8902368545532209</v>
      </c>
      <c r="J646" s="247">
        <v>8.9552536010742205</v>
      </c>
      <c r="K646" s="247">
        <v>8.9079008102416992</v>
      </c>
      <c r="L646" s="247">
        <v>8.89520359039307</v>
      </c>
      <c r="M646" s="247">
        <v>8.8468990325927699</v>
      </c>
      <c r="N646" s="247">
        <v>8.7482786178588903</v>
      </c>
      <c r="O646" s="247">
        <v>8.7885036468505895</v>
      </c>
      <c r="P646" s="247">
        <v>8.8624305725097692</v>
      </c>
      <c r="Q646" s="247">
        <v>8.9473028182983398</v>
      </c>
      <c r="R646" s="247">
        <v>9.0262336730956996</v>
      </c>
      <c r="S646" s="247">
        <v>9.1055555343627894</v>
      </c>
      <c r="T646" s="247">
        <v>9.0882310867309606</v>
      </c>
      <c r="U646" s="247">
        <v>9.3312444686889595</v>
      </c>
      <c r="V646" s="247">
        <v>9.4788913726806605</v>
      </c>
      <c r="W646" s="247">
        <v>9.6528720855712908</v>
      </c>
      <c r="X646" s="247">
        <v>9.7811794281005895</v>
      </c>
      <c r="Y646" s="247">
        <v>10.0579071044922</v>
      </c>
    </row>
    <row r="647" spans="1:26" x14ac:dyDescent="0.25">
      <c r="A647" s="243" t="s">
        <v>466</v>
      </c>
      <c r="B647" s="247">
        <v>6.3323707580566397</v>
      </c>
      <c r="C647" s="247">
        <v>7.2384452819824201</v>
      </c>
      <c r="D647" s="247">
        <v>7.96527099609375</v>
      </c>
      <c r="E647" s="247">
        <v>7.6527161598205602</v>
      </c>
      <c r="F647" s="247">
        <v>7.9603652954101598</v>
      </c>
      <c r="G647" s="247">
        <v>8.0741472244262695</v>
      </c>
      <c r="H647" s="247">
        <v>8.2605934143066406</v>
      </c>
      <c r="I647" s="247">
        <v>8.3100318908691406</v>
      </c>
      <c r="J647" s="247">
        <v>8.4493141174316406</v>
      </c>
      <c r="K647" s="247">
        <v>8.8189620971679705</v>
      </c>
      <c r="L647" s="247">
        <v>8.8862495422363299</v>
      </c>
      <c r="M647" s="247">
        <v>8.8418188095092791</v>
      </c>
      <c r="N647" s="247">
        <v>8.8337812423706108</v>
      </c>
      <c r="O647" s="247">
        <v>8.6748180389404297</v>
      </c>
      <c r="P647" s="247">
        <v>8.5509977340698207</v>
      </c>
      <c r="Q647" s="247">
        <v>8.4207677841186506</v>
      </c>
      <c r="R647" s="247">
        <v>8.4376201629638707</v>
      </c>
      <c r="S647" s="247">
        <v>8.4841489791870099</v>
      </c>
      <c r="T647" s="247">
        <v>8.5509052276611293</v>
      </c>
      <c r="U647" s="247">
        <v>8.6700105667114293</v>
      </c>
      <c r="V647" s="247">
        <v>8.74859523773193</v>
      </c>
      <c r="W647" s="247">
        <v>8.8432664871215803</v>
      </c>
      <c r="X647" s="247">
        <v>9.0058250427246094</v>
      </c>
      <c r="Y647" s="247">
        <v>9.3929624557495099</v>
      </c>
    </row>
    <row r="648" spans="1:26" x14ac:dyDescent="0.25">
      <c r="A648" s="243" t="s">
        <v>467</v>
      </c>
      <c r="B648" s="247">
        <v>8.4833917617797905</v>
      </c>
      <c r="C648" s="247">
        <v>12.566796302795399</v>
      </c>
      <c r="D648" s="247">
        <v>15.1471004486084</v>
      </c>
      <c r="E648" s="247">
        <v>13.237501144409199</v>
      </c>
      <c r="F648" s="247">
        <v>12.375891685485801</v>
      </c>
      <c r="G648" s="247">
        <v>12.379506111145</v>
      </c>
      <c r="H648" s="247">
        <v>12.2225999832153</v>
      </c>
      <c r="I648" s="247">
        <v>12.080751419067401</v>
      </c>
      <c r="J648" s="247">
        <v>12.212836265564</v>
      </c>
      <c r="K648" s="247">
        <v>12.0270395278931</v>
      </c>
      <c r="L648" s="247">
        <v>11.9549217224121</v>
      </c>
      <c r="M648" s="247">
        <v>11.879666328430201</v>
      </c>
      <c r="N648" s="247">
        <v>11.6303720474243</v>
      </c>
      <c r="O648" s="247">
        <v>11.7905416488647</v>
      </c>
      <c r="P648" s="247">
        <v>11.941043853759799</v>
      </c>
      <c r="Q648" s="247">
        <v>12.1426992416382</v>
      </c>
      <c r="R648" s="247">
        <v>12.289721488952599</v>
      </c>
      <c r="S648" s="247">
        <v>12.378883361816399</v>
      </c>
      <c r="T648" s="247">
        <v>12.2595558166504</v>
      </c>
      <c r="U648" s="247">
        <v>12.590350151061999</v>
      </c>
      <c r="V648" s="247">
        <v>12.7815389633179</v>
      </c>
      <c r="W648" s="247">
        <v>12.973883628845201</v>
      </c>
      <c r="X648" s="247">
        <v>13.0949363708496</v>
      </c>
      <c r="Y648" s="247">
        <v>13.367587089538601</v>
      </c>
    </row>
    <row r="649" spans="1:26" x14ac:dyDescent="0.25">
      <c r="A649" s="243" t="s">
        <v>471</v>
      </c>
      <c r="B649" s="247">
        <v>3.9384419918060298</v>
      </c>
      <c r="C649" s="247">
        <v>4.5867881774902299</v>
      </c>
      <c r="D649" s="247">
        <v>4.6800308227539098</v>
      </c>
      <c r="E649" s="247">
        <v>4.9388952255248997</v>
      </c>
      <c r="F649" s="247">
        <v>5.2859730720520002</v>
      </c>
      <c r="G649" s="247">
        <v>5.2723593711853001</v>
      </c>
      <c r="H649" s="247">
        <v>5.2104086875915501</v>
      </c>
      <c r="I649" s="247">
        <v>5.1732821464538601</v>
      </c>
      <c r="J649" s="247">
        <v>5.1717634201049796</v>
      </c>
      <c r="K649" s="247">
        <v>5.17871141433716</v>
      </c>
      <c r="L649" s="247">
        <v>5.1878075599670401</v>
      </c>
      <c r="M649" s="247">
        <v>5.1966009140014604</v>
      </c>
      <c r="N649" s="247">
        <v>5.2060360908508301</v>
      </c>
      <c r="O649" s="247">
        <v>5.2088470458984402</v>
      </c>
      <c r="P649" s="247">
        <v>5.2896075248718297</v>
      </c>
      <c r="Q649" s="247">
        <v>5.3583388328552202</v>
      </c>
      <c r="R649" s="247">
        <v>5.44156694412231</v>
      </c>
      <c r="S649" s="247">
        <v>5.5192761421203604</v>
      </c>
      <c r="T649" s="247">
        <v>5.5953726768493697</v>
      </c>
      <c r="U649" s="247">
        <v>5.6724872589111301</v>
      </c>
      <c r="V649" s="247">
        <v>5.7441039085388201</v>
      </c>
      <c r="W649" s="247">
        <v>5.8200716972351101</v>
      </c>
      <c r="X649" s="247">
        <v>5.9009070396423304</v>
      </c>
      <c r="Y649" s="247">
        <v>5.9898118972778303</v>
      </c>
    </row>
    <row r="650" spans="1:26" x14ac:dyDescent="0.25">
      <c r="A650" s="268" t="s">
        <v>474</v>
      </c>
      <c r="B650" s="247">
        <v>3.88655662536621</v>
      </c>
      <c r="C650" s="247">
        <v>5.55936574935913</v>
      </c>
      <c r="D650" s="247">
        <v>6.0491261482238796</v>
      </c>
      <c r="E650" s="247">
        <v>6.0771641731262198</v>
      </c>
      <c r="F650" s="247">
        <v>5.4298515319824201</v>
      </c>
      <c r="G650" s="247">
        <v>5.0030980110168501</v>
      </c>
      <c r="H650" s="247">
        <v>4.6280007362365696</v>
      </c>
      <c r="I650" s="247">
        <v>4.5291852951049796</v>
      </c>
      <c r="J650" s="247">
        <v>4.41147708892822</v>
      </c>
      <c r="K650" s="247">
        <v>4.4342226982116699</v>
      </c>
      <c r="L650" s="247">
        <v>4.4864263534545898</v>
      </c>
      <c r="M650" s="247">
        <v>4.5912823677062997</v>
      </c>
      <c r="N650" s="247">
        <v>4.7218933105468803</v>
      </c>
      <c r="O650" s="247">
        <v>4.8130536079406703</v>
      </c>
      <c r="P650" s="247">
        <v>4.8621869087219203</v>
      </c>
      <c r="Q650" s="247">
        <v>4.81842041015625</v>
      </c>
      <c r="R650" s="247">
        <v>4.8841061592102104</v>
      </c>
      <c r="S650" s="247">
        <v>5.0232949256896999</v>
      </c>
      <c r="T650" s="247">
        <v>5.2583932876586896</v>
      </c>
      <c r="U650" s="247">
        <v>5.3567323684692401</v>
      </c>
      <c r="V650" s="247">
        <v>5.3575921058654803</v>
      </c>
      <c r="W650" s="247">
        <v>5.37701320648193</v>
      </c>
      <c r="X650" s="247">
        <v>5.4306664466857901</v>
      </c>
      <c r="Y650" s="247">
        <v>5.5327925682067898</v>
      </c>
      <c r="Z650" s="277">
        <f>Y650+($AI$480-$Y$650)/10</f>
        <v>5.5600694801614594</v>
      </c>
    </row>
    <row r="651" spans="1:26" x14ac:dyDescent="0.25">
      <c r="A651" s="243" t="s">
        <v>475</v>
      </c>
      <c r="B651" s="247">
        <v>1.88388228416443</v>
      </c>
      <c r="C651" s="247">
        <v>1.8499996662139899</v>
      </c>
      <c r="D651" s="247">
        <v>1.9633457660675</v>
      </c>
      <c r="E651" s="247">
        <v>1.8999761343002299</v>
      </c>
      <c r="F651" s="247">
        <v>1.88347840309143</v>
      </c>
      <c r="G651" s="247">
        <v>1.8588999509811399</v>
      </c>
      <c r="H651" s="247">
        <v>1.8578026294708301</v>
      </c>
      <c r="I651" s="247">
        <v>1.85227739810944</v>
      </c>
      <c r="J651" s="247">
        <v>1.8239538669586199</v>
      </c>
      <c r="K651" s="247">
        <v>1.79700314998627</v>
      </c>
      <c r="L651" s="247">
        <v>1.78184306621552</v>
      </c>
      <c r="M651" s="247">
        <v>1.7756989002227801</v>
      </c>
      <c r="N651" s="247">
        <v>1.77074086666107</v>
      </c>
      <c r="O651" s="247">
        <v>1.7668309211730999</v>
      </c>
      <c r="P651" s="247">
        <v>1.7627635002136199</v>
      </c>
      <c r="Q651" s="247">
        <v>1.7565006017684901</v>
      </c>
      <c r="R651" s="247">
        <v>1.75614774227142</v>
      </c>
      <c r="S651" s="247">
        <v>1.7571268081664999</v>
      </c>
      <c r="T651" s="247">
        <v>1.75483202934265</v>
      </c>
      <c r="U651" s="247">
        <v>1.7449706792831401</v>
      </c>
      <c r="V651" s="247">
        <v>1.72660219669342</v>
      </c>
      <c r="W651" s="247">
        <v>1.70969367027283</v>
      </c>
      <c r="X651" s="247">
        <v>1.70006084442139</v>
      </c>
      <c r="Y651" s="247">
        <v>1.6866580247878999</v>
      </c>
    </row>
    <row r="652" spans="1:26" x14ac:dyDescent="0.25">
      <c r="A652" s="243" t="s">
        <v>476</v>
      </c>
      <c r="B652" s="247">
        <v>1.5976041555404701</v>
      </c>
      <c r="C652" s="247">
        <v>1.5543407201767001</v>
      </c>
      <c r="D652" s="247">
        <v>1.5670678615570099</v>
      </c>
      <c r="E652" s="247">
        <v>1.6038056612014799</v>
      </c>
      <c r="F652" s="247">
        <v>1.6009258031845099</v>
      </c>
      <c r="G652" s="247">
        <v>1.58739173412323</v>
      </c>
      <c r="H652" s="247">
        <v>1.58863317966461</v>
      </c>
      <c r="I652" s="247">
        <v>1.5846539735794101</v>
      </c>
      <c r="J652" s="247">
        <v>1.5799860954284699</v>
      </c>
      <c r="K652" s="247">
        <v>1.5764416456222501</v>
      </c>
      <c r="L652" s="247">
        <v>1.5679914951324501</v>
      </c>
      <c r="M652" s="247">
        <v>1.5610833168029801</v>
      </c>
      <c r="N652" s="247">
        <v>1.5600349903106701</v>
      </c>
      <c r="O652" s="247">
        <v>1.56054711341858</v>
      </c>
      <c r="P652" s="247">
        <v>1.56748187541962</v>
      </c>
      <c r="Q652" s="247">
        <v>1.5675091743469201</v>
      </c>
      <c r="R652" s="247">
        <v>1.5641727447509799</v>
      </c>
      <c r="S652" s="247">
        <v>1.5615659952163701</v>
      </c>
      <c r="T652" s="247">
        <v>1.58828938007355</v>
      </c>
      <c r="U652" s="247">
        <v>1.58737933635712</v>
      </c>
      <c r="V652" s="247">
        <v>1.59387278556824</v>
      </c>
      <c r="W652" s="247">
        <v>1.5848928689956701</v>
      </c>
      <c r="X652" s="247">
        <v>1.5860744714736901</v>
      </c>
      <c r="Y652" s="247">
        <v>1.5880702733993499</v>
      </c>
    </row>
    <row r="653" spans="1:26" x14ac:dyDescent="0.25">
      <c r="A653" s="270" t="s">
        <v>469</v>
      </c>
      <c r="B653" s="247">
        <v>14.734835624694799</v>
      </c>
      <c r="C653" s="247">
        <v>15.0261535644531</v>
      </c>
      <c r="D653" s="247">
        <v>15.722662925720201</v>
      </c>
      <c r="E653" s="247">
        <v>15.5983018875122</v>
      </c>
      <c r="F653" s="247">
        <v>15.078427314758301</v>
      </c>
      <c r="G653" s="247">
        <v>14.4692840576172</v>
      </c>
      <c r="H653" s="247">
        <v>14.1632738113403</v>
      </c>
      <c r="I653" s="247">
        <v>14.081834793090801</v>
      </c>
      <c r="J653" s="247">
        <v>13.919806480407701</v>
      </c>
      <c r="K653" s="247">
        <v>13.785112380981399</v>
      </c>
      <c r="L653" s="247">
        <v>13.931169509887701</v>
      </c>
      <c r="M653" s="247">
        <v>14.1889085769653</v>
      </c>
      <c r="N653" s="247">
        <v>14.5255270004272</v>
      </c>
      <c r="O653" s="247">
        <v>14.681715965271</v>
      </c>
      <c r="P653" s="247">
        <v>14.814373970031699</v>
      </c>
      <c r="Q653" s="247">
        <v>14.8553409576416</v>
      </c>
      <c r="R653" s="247">
        <v>15.0255784988403</v>
      </c>
      <c r="S653" s="247">
        <v>15.2628774642944</v>
      </c>
      <c r="T653" s="247">
        <v>15.5799751281738</v>
      </c>
      <c r="U653" s="247">
        <v>15.7510900497437</v>
      </c>
      <c r="V653" s="247">
        <v>15.7371273040771</v>
      </c>
      <c r="W653" s="247">
        <v>15.705772399902299</v>
      </c>
      <c r="X653" s="247">
        <v>15.779216766357401</v>
      </c>
      <c r="Y653" s="247">
        <v>15.8933115005493</v>
      </c>
      <c r="Z653" s="279">
        <f>Y653+($AI$483-$Y$653)/10</f>
        <v>15.820176294068443</v>
      </c>
    </row>
    <row r="654" spans="1:26" x14ac:dyDescent="0.25">
      <c r="A654" s="243" t="s">
        <v>430</v>
      </c>
      <c r="B654" s="247" t="s">
        <v>430</v>
      </c>
      <c r="C654" s="247" t="s">
        <v>430</v>
      </c>
      <c r="D654" s="247" t="s">
        <v>430</v>
      </c>
      <c r="E654" s="247" t="s">
        <v>430</v>
      </c>
      <c r="F654" s="247" t="s">
        <v>430</v>
      </c>
      <c r="G654" s="247" t="s">
        <v>430</v>
      </c>
      <c r="H654" s="247" t="s">
        <v>430</v>
      </c>
      <c r="I654" s="247" t="s">
        <v>430</v>
      </c>
      <c r="J654" s="247" t="s">
        <v>430</v>
      </c>
      <c r="K654" s="247" t="s">
        <v>430</v>
      </c>
      <c r="L654" s="247" t="s">
        <v>430</v>
      </c>
      <c r="M654" s="247" t="s">
        <v>430</v>
      </c>
      <c r="N654" s="247" t="s">
        <v>430</v>
      </c>
      <c r="O654" s="247" t="s">
        <v>430</v>
      </c>
      <c r="P654" s="247" t="s">
        <v>430</v>
      </c>
      <c r="Q654" s="247" t="s">
        <v>430</v>
      </c>
      <c r="R654" s="247" t="s">
        <v>430</v>
      </c>
      <c r="S654" s="247" t="s">
        <v>430</v>
      </c>
      <c r="T654" s="247" t="s">
        <v>430</v>
      </c>
      <c r="U654" s="247" t="s">
        <v>430</v>
      </c>
      <c r="V654" s="247" t="s">
        <v>430</v>
      </c>
      <c r="W654" s="247" t="s">
        <v>430</v>
      </c>
      <c r="X654" s="247" t="s">
        <v>430</v>
      </c>
      <c r="Y654" s="247" t="s">
        <v>430</v>
      </c>
    </row>
    <row r="655" spans="1:26" x14ac:dyDescent="0.25">
      <c r="A655" s="243" t="s">
        <v>477</v>
      </c>
      <c r="B655" s="247">
        <v>10.068477630615201</v>
      </c>
      <c r="C655" s="247">
        <v>11.4567165374756</v>
      </c>
      <c r="D655" s="247">
        <v>12.984992980956999</v>
      </c>
      <c r="E655" s="247">
        <v>12.648449897766101</v>
      </c>
      <c r="F655" s="247">
        <v>12.9899549484253</v>
      </c>
      <c r="G655" s="247">
        <v>12.831539154052701</v>
      </c>
      <c r="H655" s="247">
        <v>12.772025108337401</v>
      </c>
      <c r="I655" s="247">
        <v>12.778377532959</v>
      </c>
      <c r="J655" s="247">
        <v>12.6527404785156</v>
      </c>
      <c r="K655" s="247">
        <v>12.633409500122101</v>
      </c>
      <c r="L655" s="247">
        <v>12.627567291259799</v>
      </c>
      <c r="M655" s="247">
        <v>12.5634212493896</v>
      </c>
      <c r="N655" s="247">
        <v>12.5677394866943</v>
      </c>
      <c r="O655" s="247">
        <v>12.4416351318359</v>
      </c>
      <c r="P655" s="247">
        <v>12.463407516479499</v>
      </c>
      <c r="Q655" s="247">
        <v>12.3592376708984</v>
      </c>
      <c r="R655" s="247">
        <v>12.3700494766235</v>
      </c>
      <c r="S655" s="247">
        <v>12.4214639663696</v>
      </c>
      <c r="T655" s="247">
        <v>12.406385421752899</v>
      </c>
      <c r="U655" s="247">
        <v>12.599157333374</v>
      </c>
      <c r="V655" s="247">
        <v>12.7199811935425</v>
      </c>
      <c r="W655" s="247">
        <v>12.8404388427734</v>
      </c>
      <c r="X655" s="247">
        <v>12.9761352539063</v>
      </c>
      <c r="Y655" s="247">
        <v>13.180356025695801</v>
      </c>
    </row>
    <row r="656" spans="1:26" x14ac:dyDescent="0.25">
      <c r="A656" s="243" t="s">
        <v>473</v>
      </c>
      <c r="B656" s="247">
        <v>10.0396184921265</v>
      </c>
      <c r="C656" s="247">
        <v>11.4297380447388</v>
      </c>
      <c r="D656" s="247">
        <v>12.961000442504901</v>
      </c>
      <c r="E656" s="247">
        <v>12.6243276596069</v>
      </c>
      <c r="F656" s="247">
        <v>12.9694175720215</v>
      </c>
      <c r="G656" s="247">
        <v>12.812975883483899</v>
      </c>
      <c r="H656" s="247">
        <v>12.7542219161987</v>
      </c>
      <c r="I656" s="247">
        <v>12.7604532241821</v>
      </c>
      <c r="J656" s="247">
        <v>12.634376525878899</v>
      </c>
      <c r="K656" s="247">
        <v>12.614933013916</v>
      </c>
      <c r="L656" s="247">
        <v>12.6084880828857</v>
      </c>
      <c r="M656" s="247">
        <v>12.543541908264199</v>
      </c>
      <c r="N656" s="247">
        <v>12.546923637390099</v>
      </c>
      <c r="O656" s="247">
        <v>12.4202537536621</v>
      </c>
      <c r="P656" s="247">
        <v>12.441800117492701</v>
      </c>
      <c r="Q656" s="247">
        <v>12.3374538421631</v>
      </c>
      <c r="R656" s="247">
        <v>12.3479681015015</v>
      </c>
      <c r="S656" s="247">
        <v>12.3989114761353</v>
      </c>
      <c r="T656" s="247">
        <v>12.3829250335693</v>
      </c>
      <c r="U656" s="247">
        <v>12.575768470764199</v>
      </c>
      <c r="V656" s="247">
        <v>12.6970834732056</v>
      </c>
      <c r="W656" s="247">
        <v>12.8181715011597</v>
      </c>
      <c r="X656" s="247">
        <v>12.9540061950684</v>
      </c>
      <c r="Y656" s="247">
        <v>13.1585645675659</v>
      </c>
    </row>
    <row r="657" spans="1:26" x14ac:dyDescent="0.25">
      <c r="A657" s="243" t="s">
        <v>465</v>
      </c>
      <c r="B657" s="247">
        <v>10.0409812927246</v>
      </c>
      <c r="C657" s="247">
        <v>11.431476593017599</v>
      </c>
      <c r="D657" s="247">
        <v>12.9638833999634</v>
      </c>
      <c r="E657" s="247">
        <v>12.6272735595703</v>
      </c>
      <c r="F657" s="247">
        <v>12.9738121032715</v>
      </c>
      <c r="G657" s="247">
        <v>12.8180704116821</v>
      </c>
      <c r="H657" s="247">
        <v>12.7602338790894</v>
      </c>
      <c r="I657" s="247">
        <v>12.7672443389893</v>
      </c>
      <c r="J657" s="247">
        <v>12.6416578292847</v>
      </c>
      <c r="K657" s="247">
        <v>12.622591972351101</v>
      </c>
      <c r="L657" s="247">
        <v>12.616462707519499</v>
      </c>
      <c r="M657" s="247">
        <v>12.551496505737299</v>
      </c>
      <c r="N657" s="247">
        <v>12.554883956909199</v>
      </c>
      <c r="O657" s="247">
        <v>12.4279336929321</v>
      </c>
      <c r="P657" s="247">
        <v>12.4496717453003</v>
      </c>
      <c r="Q657" s="247">
        <v>12.3454332351685</v>
      </c>
      <c r="R657" s="247">
        <v>12.356036186218301</v>
      </c>
      <c r="S657" s="247">
        <v>12.4068956375122</v>
      </c>
      <c r="T657" s="247">
        <v>12.3903903961182</v>
      </c>
      <c r="U657" s="247">
        <v>12.5835561752319</v>
      </c>
      <c r="V657" s="247">
        <v>12.7052898406982</v>
      </c>
      <c r="W657" s="247">
        <v>12.826750755310099</v>
      </c>
      <c r="X657" s="247">
        <v>12.9629173278809</v>
      </c>
      <c r="Y657" s="247">
        <v>13.167941093444799</v>
      </c>
    </row>
    <row r="658" spans="1:26" x14ac:dyDescent="0.25">
      <c r="A658" s="274" t="s">
        <v>478</v>
      </c>
      <c r="B658" s="247">
        <v>9.5535230636596697</v>
      </c>
      <c r="C658" s="247">
        <v>10.9202365875244</v>
      </c>
      <c r="D658" s="247">
        <v>12.0208587646484</v>
      </c>
      <c r="E658" s="247">
        <v>11.5461339950562</v>
      </c>
      <c r="F658" s="247">
        <v>12.0997161865234</v>
      </c>
      <c r="G658" s="247">
        <v>12.488727569580099</v>
      </c>
      <c r="H658" s="247">
        <v>12.3829002380371</v>
      </c>
      <c r="I658" s="247">
        <v>12.4196271896362</v>
      </c>
      <c r="J658" s="247">
        <v>12.508094787597701</v>
      </c>
      <c r="K658" s="247">
        <v>12.555921554565399</v>
      </c>
      <c r="L658" s="247">
        <v>12.5986595153809</v>
      </c>
      <c r="M658" s="247">
        <v>12.507498741149901</v>
      </c>
      <c r="N658" s="247">
        <v>12.460197448730501</v>
      </c>
      <c r="O658" s="247">
        <v>12.2335548400879</v>
      </c>
      <c r="P658" s="247">
        <v>12.028847694396999</v>
      </c>
      <c r="Q658" s="247">
        <v>11.832740783691399</v>
      </c>
      <c r="R658" s="247">
        <v>11.7916069030762</v>
      </c>
      <c r="S658" s="247">
        <v>11.803469657897899</v>
      </c>
      <c r="T658" s="247">
        <v>11.8377895355225</v>
      </c>
      <c r="U658" s="247">
        <v>11.9129686355591</v>
      </c>
      <c r="V658" s="247">
        <v>11.9319505691528</v>
      </c>
      <c r="W658" s="247">
        <v>11.983411788940399</v>
      </c>
      <c r="X658" s="247">
        <v>12.11021900177</v>
      </c>
      <c r="Y658" s="247">
        <v>12.4955101013184</v>
      </c>
      <c r="Z658" s="281">
        <f>Y658+($AI$488-$Y$658)/10</f>
        <v>12.860153747735882</v>
      </c>
    </row>
    <row r="659" spans="1:26" x14ac:dyDescent="0.25">
      <c r="A659" s="243" t="s">
        <v>479</v>
      </c>
      <c r="B659" s="247">
        <v>6.0538434982299796</v>
      </c>
      <c r="C659" s="247">
        <v>6.4578518867492702</v>
      </c>
      <c r="D659" s="247">
        <v>8.1168746948242205</v>
      </c>
      <c r="E659" s="247">
        <v>7.6875567436218297</v>
      </c>
      <c r="F659" s="247">
        <v>7.8739576339721697</v>
      </c>
      <c r="G659" s="247">
        <v>7.8265089988708496</v>
      </c>
      <c r="H659" s="247">
        <v>7.9840884208679199</v>
      </c>
      <c r="I659" s="247">
        <v>8.0166091918945295</v>
      </c>
      <c r="J659" s="247">
        <v>7.8608303070068404</v>
      </c>
      <c r="K659" s="247">
        <v>7.81276655197144</v>
      </c>
      <c r="L659" s="247">
        <v>7.8045797348022496</v>
      </c>
      <c r="M659" s="247">
        <v>7.7928524017334002</v>
      </c>
      <c r="N659" s="247">
        <v>7.7725591659545898</v>
      </c>
      <c r="O659" s="247">
        <v>7.7157216072082502</v>
      </c>
      <c r="P659" s="247">
        <v>7.7164225578308097</v>
      </c>
      <c r="Q659" s="247">
        <v>7.6991229057312003</v>
      </c>
      <c r="R659" s="247">
        <v>7.7546834945678702</v>
      </c>
      <c r="S659" s="247">
        <v>7.8412432670593297</v>
      </c>
      <c r="T659" s="247">
        <v>7.8916783332824698</v>
      </c>
      <c r="U659" s="247">
        <v>8.0530261993408203</v>
      </c>
      <c r="V659" s="247">
        <v>8.1459932327270508</v>
      </c>
      <c r="W659" s="247">
        <v>8.2922735214233398</v>
      </c>
      <c r="X659" s="247">
        <v>8.4199304580688494</v>
      </c>
      <c r="Y659" s="247">
        <v>8.7479171752929705</v>
      </c>
    </row>
    <row r="660" spans="1:26" x14ac:dyDescent="0.25">
      <c r="A660" s="274" t="s">
        <v>480</v>
      </c>
      <c r="B660" s="247">
        <v>11.3207235336304</v>
      </c>
      <c r="C660" s="247">
        <v>12.9284992218018</v>
      </c>
      <c r="D660" s="247">
        <v>14.6530704498291</v>
      </c>
      <c r="E660" s="247">
        <v>14.346966743469199</v>
      </c>
      <c r="F660" s="247">
        <v>14.7094535827637</v>
      </c>
      <c r="G660" s="247">
        <v>14.3600215911865</v>
      </c>
      <c r="H660" s="247">
        <v>14.2510118484497</v>
      </c>
      <c r="I660" s="247">
        <v>14.250683784484901</v>
      </c>
      <c r="J660" s="247">
        <v>14.0786781311035</v>
      </c>
      <c r="K660" s="247">
        <v>14.0637760162354</v>
      </c>
      <c r="L660" s="247">
        <v>14.0259552001953</v>
      </c>
      <c r="M660" s="247">
        <v>13.906542778015099</v>
      </c>
      <c r="N660" s="247">
        <v>13.9343166351318</v>
      </c>
      <c r="O660" s="247">
        <v>13.819755554199199</v>
      </c>
      <c r="P660" s="247">
        <v>13.920813560485801</v>
      </c>
      <c r="Q660" s="247">
        <v>13.821713447570801</v>
      </c>
      <c r="R660" s="247">
        <v>13.8340721130371</v>
      </c>
      <c r="S660" s="247">
        <v>13.8936500549316</v>
      </c>
      <c r="T660" s="247">
        <v>13.8356838226318</v>
      </c>
      <c r="U660" s="247">
        <v>14.0806474685669</v>
      </c>
      <c r="V660" s="247">
        <v>14.2383365631104</v>
      </c>
      <c r="W660" s="247">
        <v>14.3749399185181</v>
      </c>
      <c r="X660" s="247">
        <v>14.5092010498047</v>
      </c>
      <c r="Y660" s="247">
        <v>14.605681419372599</v>
      </c>
      <c r="Z660" s="281">
        <f>Y660+($AI$490-$Y$660)/10</f>
        <v>15.03173973157025</v>
      </c>
    </row>
    <row r="661" spans="1:26" x14ac:dyDescent="0.25">
      <c r="A661" s="243" t="s">
        <v>471</v>
      </c>
      <c r="B661" s="247">
        <v>3.83150410652161</v>
      </c>
      <c r="C661" s="247">
        <v>4.4939312934875497</v>
      </c>
      <c r="D661" s="247">
        <v>4.5839381217956499</v>
      </c>
      <c r="E661" s="247">
        <v>4.8374896049499503</v>
      </c>
      <c r="F661" s="247">
        <v>5.1729192733764604</v>
      </c>
      <c r="G661" s="247">
        <v>5.1682701110839799</v>
      </c>
      <c r="H661" s="247">
        <v>5.1688323020935103</v>
      </c>
      <c r="I661" s="247">
        <v>5.1695828437805202</v>
      </c>
      <c r="J661" s="247">
        <v>5.16760349273682</v>
      </c>
      <c r="K661" s="247">
        <v>5.1733479499816903</v>
      </c>
      <c r="L661" s="247">
        <v>5.1798586845397896</v>
      </c>
      <c r="M661" s="247">
        <v>5.1877336502075204</v>
      </c>
      <c r="N661" s="247">
        <v>5.1953010559081996</v>
      </c>
      <c r="O661" s="247">
        <v>5.2001247406005904</v>
      </c>
      <c r="P661" s="247">
        <v>5.2810626029968297</v>
      </c>
      <c r="Q661" s="247">
        <v>5.3552770614623997</v>
      </c>
      <c r="R661" s="247">
        <v>5.4362750053405797</v>
      </c>
      <c r="S661" s="247">
        <v>5.5152239799499503</v>
      </c>
      <c r="T661" s="247">
        <v>5.5921721458435103</v>
      </c>
      <c r="U661" s="247">
        <v>5.6705627441406303</v>
      </c>
      <c r="V661" s="247">
        <v>5.7475032806396502</v>
      </c>
      <c r="W661" s="247">
        <v>5.8269476890564</v>
      </c>
      <c r="X661" s="247">
        <v>5.9046044349670401</v>
      </c>
      <c r="Y661" s="247">
        <v>5.9824995994567898</v>
      </c>
    </row>
    <row r="662" spans="1:26" x14ac:dyDescent="0.25">
      <c r="A662" s="243" t="s">
        <v>481</v>
      </c>
      <c r="B662" s="247">
        <v>15.146578788757299</v>
      </c>
      <c r="C662" s="247">
        <v>16.654964447021499</v>
      </c>
      <c r="D662" s="247">
        <v>20.603065490722699</v>
      </c>
      <c r="E662" s="247">
        <v>20.419296264648398</v>
      </c>
      <c r="F662" s="247">
        <v>17.4092102050781</v>
      </c>
      <c r="G662" s="247">
        <v>17.409763336181602</v>
      </c>
      <c r="H662" s="247">
        <v>17.1964435577393</v>
      </c>
      <c r="I662" s="247">
        <v>17.156021118164102</v>
      </c>
      <c r="J662" s="247">
        <v>17.248268127441399</v>
      </c>
      <c r="K662" s="247">
        <v>17.105394363403299</v>
      </c>
      <c r="L662" s="247">
        <v>17.085474014282202</v>
      </c>
      <c r="M662" s="247">
        <v>16.997465133666999</v>
      </c>
      <c r="N662" s="247">
        <v>16.7497043609619</v>
      </c>
      <c r="O662" s="247">
        <v>16.830522537231399</v>
      </c>
      <c r="P662" s="247">
        <v>16.954969406127901</v>
      </c>
      <c r="Q662" s="247">
        <v>17.1650085449219</v>
      </c>
      <c r="R662" s="247">
        <v>17.2562961578369</v>
      </c>
      <c r="S662" s="247">
        <v>17.321376800537099</v>
      </c>
      <c r="T662" s="247">
        <v>17.262313842773398</v>
      </c>
      <c r="U662" s="247">
        <v>17.454835891723601</v>
      </c>
      <c r="V662" s="247">
        <v>17.584600448608398</v>
      </c>
      <c r="W662" s="247">
        <v>17.847267150878899</v>
      </c>
      <c r="X662" s="247">
        <v>17.9585571289063</v>
      </c>
      <c r="Y662" s="247">
        <v>18.1527404785156</v>
      </c>
    </row>
    <row r="663" spans="1:26" x14ac:dyDescent="0.25">
      <c r="A663" s="243" t="s">
        <v>482</v>
      </c>
      <c r="B663" s="247">
        <v>7.2317700386047399</v>
      </c>
      <c r="C663" s="247">
        <v>9.0444478988647496</v>
      </c>
      <c r="D663" s="247">
        <v>9.7142210006713903</v>
      </c>
      <c r="E663" s="247">
        <v>9.7955017089843803</v>
      </c>
      <c r="F663" s="247">
        <v>9.2987012863159197</v>
      </c>
      <c r="G663" s="247">
        <v>9.0087041854858398</v>
      </c>
      <c r="H663" s="247">
        <v>8.73461818695068</v>
      </c>
      <c r="I663" s="247">
        <v>8.6602125167846697</v>
      </c>
      <c r="J663" s="247">
        <v>8.6087532043456996</v>
      </c>
      <c r="K663" s="247">
        <v>8.6854057312011701</v>
      </c>
      <c r="L663" s="247">
        <v>8.7734069824218803</v>
      </c>
      <c r="M663" s="247">
        <v>8.9131555557250994</v>
      </c>
      <c r="N663" s="247">
        <v>9.0697097778320295</v>
      </c>
      <c r="O663" s="247">
        <v>9.1761322021484393</v>
      </c>
      <c r="P663" s="247">
        <v>9.2086582183837908</v>
      </c>
      <c r="Q663" s="247">
        <v>9.1414461135864293</v>
      </c>
      <c r="R663" s="247">
        <v>9.1881532669067401</v>
      </c>
      <c r="S663" s="247">
        <v>9.3183298110961896</v>
      </c>
      <c r="T663" s="247">
        <v>9.5262966156005895</v>
      </c>
      <c r="U663" s="247">
        <v>9.6340904235839808</v>
      </c>
      <c r="V663" s="247">
        <v>9.6386470794677699</v>
      </c>
      <c r="W663" s="247">
        <v>9.6553201675415004</v>
      </c>
      <c r="X663" s="247">
        <v>9.7052288055419904</v>
      </c>
      <c r="Y663" s="247">
        <v>9.7829256057739293</v>
      </c>
    </row>
    <row r="664" spans="1:26" x14ac:dyDescent="0.25">
      <c r="A664" s="276" t="s">
        <v>487</v>
      </c>
      <c r="B664" s="247">
        <v>14.6543264389038</v>
      </c>
      <c r="C664" s="247">
        <v>16.232709884643601</v>
      </c>
      <c r="D664" s="247">
        <v>19.6646022796631</v>
      </c>
      <c r="E664" s="247">
        <v>19.716905593872099</v>
      </c>
      <c r="F664" s="247">
        <v>20.910398483276399</v>
      </c>
      <c r="G664" s="247">
        <v>20.088336944580099</v>
      </c>
      <c r="H664" s="247">
        <v>20.034643173217798</v>
      </c>
      <c r="I664" s="247">
        <v>19.876234054565401</v>
      </c>
      <c r="J664" s="247">
        <v>19.0899848937988</v>
      </c>
      <c r="K664" s="247">
        <v>19.0770473480225</v>
      </c>
      <c r="L664" s="247">
        <v>18.9334907531738</v>
      </c>
      <c r="M664" s="247">
        <v>18.8203315734863</v>
      </c>
      <c r="N664" s="247">
        <v>18.8769016265869</v>
      </c>
      <c r="O664" s="247">
        <v>18.733657836914102</v>
      </c>
      <c r="P664" s="247">
        <v>18.836368560791001</v>
      </c>
      <c r="Q664" s="247">
        <v>18.717578887939499</v>
      </c>
      <c r="R664" s="247">
        <v>18.677961349487301</v>
      </c>
      <c r="S664" s="247">
        <v>18.768825531005898</v>
      </c>
      <c r="T664" s="247">
        <v>18.702945709228501</v>
      </c>
      <c r="U664" s="247">
        <v>19.039726257324201</v>
      </c>
      <c r="V664" s="247">
        <v>19.213029861450199</v>
      </c>
      <c r="W664" s="247">
        <v>19.429216384887699</v>
      </c>
      <c r="X664" s="247">
        <v>19.537574768066399</v>
      </c>
      <c r="Y664" s="247">
        <v>19.6945476531982</v>
      </c>
      <c r="Z664" s="283">
        <f>Y664+($AI$494-$Y$664)/10</f>
        <v>19.593947309306923</v>
      </c>
    </row>
    <row r="665" spans="1:26" x14ac:dyDescent="0.25">
      <c r="A665" s="243" t="s">
        <v>469</v>
      </c>
      <c r="B665" s="247">
        <v>20.034517288208001</v>
      </c>
      <c r="C665" s="247">
        <v>20.636144638061499</v>
      </c>
      <c r="D665" s="247">
        <v>21.2071418762207</v>
      </c>
      <c r="E665" s="247">
        <v>20.9249382019043</v>
      </c>
      <c r="F665" s="247">
        <v>20.016746520996101</v>
      </c>
      <c r="G665" s="247">
        <v>19.1842136383057</v>
      </c>
      <c r="H665" s="247">
        <v>18.876358032226602</v>
      </c>
      <c r="I665" s="247">
        <v>18.930015563964801</v>
      </c>
      <c r="J665" s="247">
        <v>18.9569396972656</v>
      </c>
      <c r="K665" s="247">
        <v>18.971715927123999</v>
      </c>
      <c r="L665" s="247">
        <v>19.161241531372099</v>
      </c>
      <c r="M665" s="247">
        <v>19.352525711059599</v>
      </c>
      <c r="N665" s="247">
        <v>19.6624240875244</v>
      </c>
      <c r="O665" s="247">
        <v>19.699916839599599</v>
      </c>
      <c r="P665" s="247">
        <v>19.754545211791999</v>
      </c>
      <c r="Q665" s="247">
        <v>19.6803493499756</v>
      </c>
      <c r="R665" s="247">
        <v>19.749149322509801</v>
      </c>
      <c r="S665" s="247">
        <v>19.913064956665</v>
      </c>
      <c r="T665" s="247">
        <v>20.148523330688501</v>
      </c>
      <c r="U665" s="247">
        <v>20.261070251464801</v>
      </c>
      <c r="V665" s="247">
        <v>20.168498992919901</v>
      </c>
      <c r="W665" s="247">
        <v>20.043989181518601</v>
      </c>
      <c r="X665" s="247">
        <v>20.096965789794901</v>
      </c>
      <c r="Y665" s="247">
        <v>20.154518127441399</v>
      </c>
    </row>
    <row r="666" spans="1:26" x14ac:dyDescent="0.25">
      <c r="A666" s="243" t="s">
        <v>430</v>
      </c>
      <c r="B666" s="247" t="s">
        <v>430</v>
      </c>
      <c r="C666" s="247" t="s">
        <v>430</v>
      </c>
      <c r="D666" s="247" t="s">
        <v>430</v>
      </c>
      <c r="E666" s="247" t="s">
        <v>430</v>
      </c>
      <c r="F666" s="247" t="s">
        <v>430</v>
      </c>
      <c r="G666" s="247" t="s">
        <v>430</v>
      </c>
      <c r="H666" s="247" t="s">
        <v>430</v>
      </c>
      <c r="I666" s="247" t="s">
        <v>430</v>
      </c>
      <c r="J666" s="247" t="s">
        <v>430</v>
      </c>
      <c r="K666" s="247" t="s">
        <v>430</v>
      </c>
      <c r="L666" s="247" t="s">
        <v>430</v>
      </c>
      <c r="M666" s="247" t="s">
        <v>430</v>
      </c>
      <c r="N666" s="247" t="s">
        <v>430</v>
      </c>
      <c r="O666" s="247" t="s">
        <v>430</v>
      </c>
      <c r="P666" s="247" t="s">
        <v>430</v>
      </c>
      <c r="Q666" s="247" t="s">
        <v>430</v>
      </c>
      <c r="R666" s="247" t="s">
        <v>430</v>
      </c>
      <c r="S666" s="247" t="s">
        <v>430</v>
      </c>
      <c r="T666" s="247" t="s">
        <v>430</v>
      </c>
      <c r="U666" s="247" t="s">
        <v>430</v>
      </c>
      <c r="V666" s="247" t="s">
        <v>430</v>
      </c>
      <c r="W666" s="247" t="s">
        <v>430</v>
      </c>
      <c r="X666" s="247" t="s">
        <v>430</v>
      </c>
      <c r="Y666" s="247" t="s">
        <v>430</v>
      </c>
    </row>
    <row r="667" spans="1:26" x14ac:dyDescent="0.25">
      <c r="A667" s="243" t="s">
        <v>488</v>
      </c>
      <c r="B667" s="247">
        <v>10.2607097625732</v>
      </c>
      <c r="C667" s="247">
        <v>11.4965677261353</v>
      </c>
      <c r="D667" s="247">
        <v>12.4990587234497</v>
      </c>
      <c r="E667" s="247">
        <v>12.3170623779297</v>
      </c>
      <c r="F667" s="247">
        <v>12.135007858276399</v>
      </c>
      <c r="G667" s="247">
        <v>11.845267295837401</v>
      </c>
      <c r="H667" s="247">
        <v>11.6573295593262</v>
      </c>
      <c r="I667" s="247">
        <v>11.6295518875122</v>
      </c>
      <c r="J667" s="247">
        <v>11.5503234863281</v>
      </c>
      <c r="K667" s="247">
        <v>11.540096282959</v>
      </c>
      <c r="L667" s="247">
        <v>11.6076335906982</v>
      </c>
      <c r="M667" s="247">
        <v>11.667243003845201</v>
      </c>
      <c r="N667" s="247">
        <v>11.774538040161101</v>
      </c>
      <c r="O667" s="247">
        <v>11.796236991882299</v>
      </c>
      <c r="P667" s="247">
        <v>11.871965408325201</v>
      </c>
      <c r="Q667" s="247">
        <v>11.843188285827599</v>
      </c>
      <c r="R667" s="247">
        <v>11.9137773513794</v>
      </c>
      <c r="S667" s="247">
        <v>12.034348487854</v>
      </c>
      <c r="T667" s="247">
        <v>12.153738975524901</v>
      </c>
      <c r="U667" s="247">
        <v>12.3460960388184</v>
      </c>
      <c r="V667" s="247">
        <v>12.4321403503418</v>
      </c>
      <c r="W667" s="247">
        <v>12.5191946029663</v>
      </c>
      <c r="X667" s="247">
        <v>12.636996269226101</v>
      </c>
      <c r="Y667" s="247">
        <v>12.8200740814209</v>
      </c>
    </row>
    <row r="668" spans="1:26" x14ac:dyDescent="0.25">
      <c r="A668" s="243" t="s">
        <v>473</v>
      </c>
      <c r="B668" s="247">
        <v>7.8488264083862296</v>
      </c>
      <c r="C668" s="247">
        <v>9.3171482086181605</v>
      </c>
      <c r="D668" s="247">
        <v>10.527009010314901</v>
      </c>
      <c r="E668" s="247">
        <v>10.2968044281006</v>
      </c>
      <c r="F668" s="247">
        <v>10.2268390655518</v>
      </c>
      <c r="G668" s="247">
        <v>10.0435380935669</v>
      </c>
      <c r="H668" s="247">
        <v>9.9028997421264595</v>
      </c>
      <c r="I668" s="247">
        <v>9.8629217147827095</v>
      </c>
      <c r="J668" s="247">
        <v>9.7728738784790004</v>
      </c>
      <c r="K668" s="247">
        <v>9.75823974609375</v>
      </c>
      <c r="L668" s="247">
        <v>9.7822933197021502</v>
      </c>
      <c r="M668" s="247">
        <v>9.7888011932372994</v>
      </c>
      <c r="N668" s="247">
        <v>9.8279809951782209</v>
      </c>
      <c r="O668" s="247">
        <v>9.8149814605712908</v>
      </c>
      <c r="P668" s="247">
        <v>9.8643417358398402</v>
      </c>
      <c r="Q668" s="247">
        <v>9.8190460205078107</v>
      </c>
      <c r="R668" s="247">
        <v>9.8615427017211896</v>
      </c>
      <c r="S668" s="247">
        <v>9.9469861984252894</v>
      </c>
      <c r="T668" s="247">
        <v>10.0096731185913</v>
      </c>
      <c r="U668" s="247">
        <v>10.190193176269499</v>
      </c>
      <c r="V668" s="247">
        <v>10.288735389709499</v>
      </c>
      <c r="W668" s="247">
        <v>10.396104812622101</v>
      </c>
      <c r="X668" s="247">
        <v>10.5091648101807</v>
      </c>
      <c r="Y668" s="247">
        <v>10.694952964782701</v>
      </c>
    </row>
    <row r="669" spans="1:26" x14ac:dyDescent="0.25">
      <c r="A669" s="243" t="s">
        <v>469</v>
      </c>
      <c r="B669" s="247">
        <v>21.599882125854499</v>
      </c>
      <c r="C669" s="247">
        <v>21.735733032226602</v>
      </c>
      <c r="D669" s="247">
        <v>21.731866836547901</v>
      </c>
      <c r="E669" s="247">
        <v>21.659553527831999</v>
      </c>
      <c r="F669" s="247">
        <v>20.918876647949201</v>
      </c>
      <c r="G669" s="247">
        <v>20.055833816528299</v>
      </c>
      <c r="H669" s="247">
        <v>19.596654891967798</v>
      </c>
      <c r="I669" s="247">
        <v>19.579929351806602</v>
      </c>
      <c r="J669" s="247">
        <v>19.517631530761701</v>
      </c>
      <c r="K669" s="247">
        <v>19.486770629882798</v>
      </c>
      <c r="L669" s="247">
        <v>19.702039718627901</v>
      </c>
      <c r="M669" s="247">
        <v>19.955158233642599</v>
      </c>
      <c r="N669" s="247">
        <v>20.317079544067401</v>
      </c>
      <c r="O669" s="247">
        <v>20.442613601684599</v>
      </c>
      <c r="P669" s="247">
        <v>20.578334808349599</v>
      </c>
      <c r="Q669" s="247">
        <v>20.580734252929702</v>
      </c>
      <c r="R669" s="247">
        <v>20.7274265289307</v>
      </c>
      <c r="S669" s="247">
        <v>20.953577041626001</v>
      </c>
      <c r="T669" s="247">
        <v>21.262916564941399</v>
      </c>
      <c r="U669" s="247">
        <v>21.454774856567401</v>
      </c>
      <c r="V669" s="247">
        <v>21.4308891296387</v>
      </c>
      <c r="W669" s="247">
        <v>21.3733520507813</v>
      </c>
      <c r="X669" s="247">
        <v>21.452013015747099</v>
      </c>
      <c r="Y669" s="247">
        <v>21.5757865905762</v>
      </c>
    </row>
    <row r="670" spans="1:26" x14ac:dyDescent="0.25">
      <c r="A670" s="243" t="s">
        <v>430</v>
      </c>
      <c r="B670" s="247" t="s">
        <v>430</v>
      </c>
      <c r="C670" s="247" t="s">
        <v>430</v>
      </c>
      <c r="D670" s="247" t="s">
        <v>430</v>
      </c>
      <c r="E670" s="247" t="s">
        <v>430</v>
      </c>
      <c r="F670" s="247" t="s">
        <v>430</v>
      </c>
      <c r="G670" s="247" t="s">
        <v>430</v>
      </c>
      <c r="H670" s="247" t="s">
        <v>430</v>
      </c>
      <c r="I670" s="247" t="s">
        <v>430</v>
      </c>
      <c r="J670" s="247" t="s">
        <v>430</v>
      </c>
      <c r="K670" s="247" t="s">
        <v>430</v>
      </c>
      <c r="L670" s="247" t="s">
        <v>430</v>
      </c>
      <c r="M670" s="247" t="s">
        <v>430</v>
      </c>
      <c r="N670" s="247" t="s">
        <v>430</v>
      </c>
      <c r="O670" s="247" t="s">
        <v>430</v>
      </c>
      <c r="P670" s="247" t="s">
        <v>430</v>
      </c>
      <c r="Q670" s="247" t="s">
        <v>430</v>
      </c>
      <c r="R670" s="247" t="s">
        <v>430</v>
      </c>
      <c r="S670" s="247" t="s">
        <v>430</v>
      </c>
      <c r="T670" s="247" t="s">
        <v>430</v>
      </c>
      <c r="U670" s="247" t="s">
        <v>430</v>
      </c>
      <c r="V670" s="247" t="s">
        <v>430</v>
      </c>
      <c r="W670" s="247" t="s">
        <v>430</v>
      </c>
      <c r="X670" s="247" t="s">
        <v>430</v>
      </c>
      <c r="Y670" s="247" t="s">
        <v>430</v>
      </c>
    </row>
    <row r="671" spans="1:26" x14ac:dyDescent="0.25">
      <c r="A671" s="243" t="s">
        <v>489</v>
      </c>
      <c r="B671" s="247" t="s">
        <v>430</v>
      </c>
      <c r="C671" s="247" t="s">
        <v>430</v>
      </c>
      <c r="D671" s="247" t="s">
        <v>430</v>
      </c>
      <c r="E671" s="247" t="s">
        <v>430</v>
      </c>
      <c r="F671" s="247" t="s">
        <v>430</v>
      </c>
      <c r="G671" s="247" t="s">
        <v>430</v>
      </c>
      <c r="H671" s="247" t="s">
        <v>430</v>
      </c>
      <c r="I671" s="247" t="s">
        <v>430</v>
      </c>
      <c r="J671" s="247" t="s">
        <v>430</v>
      </c>
      <c r="K671" s="247" t="s">
        <v>430</v>
      </c>
      <c r="L671" s="247" t="s">
        <v>430</v>
      </c>
      <c r="M671" s="247" t="s">
        <v>430</v>
      </c>
      <c r="N671" s="247" t="s">
        <v>430</v>
      </c>
      <c r="O671" s="247" t="s">
        <v>430</v>
      </c>
      <c r="P671" s="247" t="s">
        <v>430</v>
      </c>
      <c r="Q671" s="247" t="s">
        <v>430</v>
      </c>
      <c r="R671" s="247" t="s">
        <v>430</v>
      </c>
      <c r="S671" s="247" t="s">
        <v>430</v>
      </c>
      <c r="T671" s="247" t="s">
        <v>430</v>
      </c>
      <c r="U671" s="247" t="s">
        <v>430</v>
      </c>
      <c r="V671" s="247" t="s">
        <v>430</v>
      </c>
      <c r="W671" s="247" t="s">
        <v>430</v>
      </c>
      <c r="X671" s="247" t="s">
        <v>430</v>
      </c>
      <c r="Y671" s="247" t="s">
        <v>430</v>
      </c>
    </row>
    <row r="672" spans="1:26" x14ac:dyDescent="0.25">
      <c r="A672" s="243" t="s">
        <v>490</v>
      </c>
      <c r="B672" s="247">
        <v>1.8996955156326301</v>
      </c>
      <c r="C672" s="247">
        <v>2.2409727573394802</v>
      </c>
      <c r="D672" s="247">
        <v>2.4239859580993701</v>
      </c>
      <c r="E672" s="247">
        <v>2.3793189525604199</v>
      </c>
      <c r="F672" s="247">
        <v>2.2557969093322798</v>
      </c>
      <c r="G672" s="247">
        <v>2.16659760475159</v>
      </c>
      <c r="H672" s="247">
        <v>2.1260316371917698</v>
      </c>
      <c r="I672" s="247">
        <v>2.1242508888244598</v>
      </c>
      <c r="J672" s="247">
        <v>2.1216156482696502</v>
      </c>
      <c r="K672" s="247">
        <v>2.1531240940093999</v>
      </c>
      <c r="L672" s="247">
        <v>2.1922359466552699</v>
      </c>
      <c r="M672" s="247">
        <v>2.2451419830322301</v>
      </c>
      <c r="N672" s="247">
        <v>2.2968165874481201</v>
      </c>
      <c r="O672" s="247">
        <v>2.3293662071228001</v>
      </c>
      <c r="P672" s="247">
        <v>2.3501963615417498</v>
      </c>
      <c r="Q672" s="247">
        <v>2.3520054817199698</v>
      </c>
      <c r="R672" s="247">
        <v>2.3871843814849898</v>
      </c>
      <c r="S672" s="247">
        <v>2.4302341938018799</v>
      </c>
      <c r="T672" s="247">
        <v>2.5017471313476598</v>
      </c>
      <c r="U672" s="247">
        <v>2.5190291404724099</v>
      </c>
      <c r="V672" s="247">
        <v>2.50686860084534</v>
      </c>
      <c r="W672" s="247">
        <v>2.48747658729553</v>
      </c>
      <c r="X672" s="247">
        <v>2.5030989646911599</v>
      </c>
      <c r="Y672" s="247">
        <v>2.5170097351074201</v>
      </c>
    </row>
    <row r="673" spans="1:26" x14ac:dyDescent="0.25">
      <c r="A673" s="243" t="s">
        <v>492</v>
      </c>
      <c r="B673" s="247">
        <v>4.3748912811279297</v>
      </c>
      <c r="C673" s="247">
        <v>5.2786889076232901</v>
      </c>
      <c r="D673" s="247">
        <v>5.9517350196838397</v>
      </c>
      <c r="E673" s="247">
        <v>5.8146204948425302</v>
      </c>
      <c r="F673" s="247">
        <v>6.06520652770996</v>
      </c>
      <c r="G673" s="247">
        <v>6.0658583641052202</v>
      </c>
      <c r="H673" s="247">
        <v>6.0610094070434597</v>
      </c>
      <c r="I673" s="247">
        <v>6.0499844551086399</v>
      </c>
      <c r="J673" s="247">
        <v>6.0430412292480504</v>
      </c>
      <c r="K673" s="247">
        <v>6.00789546966553</v>
      </c>
      <c r="L673" s="247">
        <v>5.9784431457519496</v>
      </c>
      <c r="M673" s="247">
        <v>5.9840416908264196</v>
      </c>
      <c r="N673" s="247">
        <v>6.0042037963867196</v>
      </c>
      <c r="O673" s="247">
        <v>6.0128812789917001</v>
      </c>
      <c r="P673" s="247">
        <v>6.0971722602844203</v>
      </c>
      <c r="Q673" s="247">
        <v>6.1627969741821298</v>
      </c>
      <c r="R673" s="247">
        <v>6.2556800842285201</v>
      </c>
      <c r="S673" s="247">
        <v>6.3419466018676802</v>
      </c>
      <c r="T673" s="247">
        <v>6.4189195632934597</v>
      </c>
      <c r="U673" s="247">
        <v>6.5561437606811497</v>
      </c>
      <c r="V673" s="247">
        <v>6.6497230529785201</v>
      </c>
      <c r="W673" s="247">
        <v>6.7551417350768999</v>
      </c>
      <c r="X673" s="247">
        <v>6.8526744842529297</v>
      </c>
      <c r="Y673" s="247">
        <v>6.9808459281921396</v>
      </c>
    </row>
    <row r="674" spans="1:26" x14ac:dyDescent="0.25">
      <c r="A674" s="243" t="s">
        <v>466</v>
      </c>
      <c r="B674" s="247">
        <v>5.6938004493713397</v>
      </c>
      <c r="C674" s="247">
        <v>6.4773354530334499</v>
      </c>
      <c r="D674" s="247">
        <v>7.1750593185424796</v>
      </c>
      <c r="E674" s="247">
        <v>6.8899416923522896</v>
      </c>
      <c r="F674" s="247">
        <v>7.0708780288696298</v>
      </c>
      <c r="G674" s="247">
        <v>7.0249619483947798</v>
      </c>
      <c r="H674" s="247">
        <v>6.9838500022888201</v>
      </c>
      <c r="I674" s="247">
        <v>6.9665460586547896</v>
      </c>
      <c r="J674" s="247">
        <v>6.9450497627258301</v>
      </c>
      <c r="K674" s="247">
        <v>6.8211231231689498</v>
      </c>
      <c r="L674" s="247">
        <v>6.8083920478820801</v>
      </c>
      <c r="M674" s="247">
        <v>6.7952175140380904</v>
      </c>
      <c r="N674" s="247">
        <v>6.8354115486145002</v>
      </c>
      <c r="O674" s="247">
        <v>6.8402228355407697</v>
      </c>
      <c r="P674" s="247">
        <v>6.9283905029296902</v>
      </c>
      <c r="Q674" s="247">
        <v>6.9566001892089799</v>
      </c>
      <c r="R674" s="247">
        <v>7.0452814102172896</v>
      </c>
      <c r="S674" s="247">
        <v>7.1418867111206099</v>
      </c>
      <c r="T674" s="247">
        <v>7.2127375602722203</v>
      </c>
      <c r="U674" s="247">
        <v>7.4472899436950701</v>
      </c>
      <c r="V674" s="247">
        <v>7.5714774131774902</v>
      </c>
      <c r="W674" s="247">
        <v>7.7267389297485396</v>
      </c>
      <c r="X674" s="247">
        <v>7.8528199195861799</v>
      </c>
      <c r="Y674" s="247">
        <v>8.0614786148071307</v>
      </c>
    </row>
    <row r="675" spans="1:26" x14ac:dyDescent="0.25">
      <c r="A675" s="243" t="s">
        <v>471</v>
      </c>
      <c r="B675" s="247">
        <v>3.9850425720214799</v>
      </c>
      <c r="C675" s="247">
        <v>4.7911210060119602</v>
      </c>
      <c r="D675" s="247">
        <v>5.5054440498352104</v>
      </c>
      <c r="E675" s="247">
        <v>5.3836627006530797</v>
      </c>
      <c r="F675" s="247">
        <v>5.6116971969604501</v>
      </c>
      <c r="G675" s="247">
        <v>5.6101722717285201</v>
      </c>
      <c r="H675" s="247">
        <v>5.61515140533447</v>
      </c>
      <c r="I675" s="247">
        <v>5.6134881973266602</v>
      </c>
      <c r="J675" s="247">
        <v>5.6123900413513201</v>
      </c>
      <c r="K675" s="247">
        <v>5.6186213493347203</v>
      </c>
      <c r="L675" s="247">
        <v>5.6204733848571804</v>
      </c>
      <c r="M675" s="247">
        <v>5.6265015602111799</v>
      </c>
      <c r="N675" s="247">
        <v>5.6295571327209499</v>
      </c>
      <c r="O675" s="247">
        <v>5.6379580497741699</v>
      </c>
      <c r="P675" s="247">
        <v>5.71999168395996</v>
      </c>
      <c r="Q675" s="247">
        <v>5.7965455055236799</v>
      </c>
      <c r="R675" s="247">
        <v>5.8776378631591797</v>
      </c>
      <c r="S675" s="247">
        <v>5.9570369720459002</v>
      </c>
      <c r="T675" s="247">
        <v>6.0351238250732404</v>
      </c>
      <c r="U675" s="247">
        <v>6.1149992942810103</v>
      </c>
      <c r="V675" s="247">
        <v>6.1950988769531303</v>
      </c>
      <c r="W675" s="247">
        <v>6.27585792541504</v>
      </c>
      <c r="X675" s="247">
        <v>6.3545475006103498</v>
      </c>
      <c r="Y675" s="247">
        <v>6.4353322982788104</v>
      </c>
    </row>
    <row r="676" spans="1:26" x14ac:dyDescent="0.25">
      <c r="A676" s="268" t="s">
        <v>468</v>
      </c>
      <c r="B676" s="247">
        <v>3.6857740879058798</v>
      </c>
      <c r="C676" s="247">
        <v>5.4593739509582502</v>
      </c>
      <c r="D676" s="247">
        <v>5.9836130142211896</v>
      </c>
      <c r="E676" s="247">
        <v>5.9218006134033203</v>
      </c>
      <c r="F676" s="247">
        <v>5.2758417129516602</v>
      </c>
      <c r="G676" s="247">
        <v>4.86041164398193</v>
      </c>
      <c r="H676" s="247">
        <v>4.5085921287536603</v>
      </c>
      <c r="I676" s="247">
        <v>4.4009499549865696</v>
      </c>
      <c r="J676" s="247">
        <v>4.3143215179443404</v>
      </c>
      <c r="K676" s="247">
        <v>4.3619651794433603</v>
      </c>
      <c r="L676" s="247">
        <v>4.4577717781066903</v>
      </c>
      <c r="M676" s="247">
        <v>4.5935211181640598</v>
      </c>
      <c r="N676" s="247">
        <v>4.72908592224121</v>
      </c>
      <c r="O676" s="247">
        <v>4.8101162910461399</v>
      </c>
      <c r="P676" s="247">
        <v>4.8377823829650897</v>
      </c>
      <c r="Q676" s="247">
        <v>4.7923994064331099</v>
      </c>
      <c r="R676" s="247">
        <v>4.8652648925781303</v>
      </c>
      <c r="S676" s="247">
        <v>5.0083761215209996</v>
      </c>
      <c r="T676" s="247">
        <v>5.2321648597717303</v>
      </c>
      <c r="U676" s="247">
        <v>5.32541704177856</v>
      </c>
      <c r="V676" s="247">
        <v>5.3230118751525897</v>
      </c>
      <c r="W676" s="247">
        <v>5.3357062339782697</v>
      </c>
      <c r="X676" s="247">
        <v>5.3972234725952104</v>
      </c>
      <c r="Y676" s="247">
        <v>5.4970946311950701</v>
      </c>
      <c r="Z676" s="277">
        <f>Y676+($AI$506-$Y$676)/10</f>
        <v>5.5250455710201605</v>
      </c>
    </row>
    <row r="677" spans="1:26" x14ac:dyDescent="0.25">
      <c r="A677" s="272" t="s">
        <v>476</v>
      </c>
      <c r="B677" s="247">
        <v>1.2699717283248899</v>
      </c>
      <c r="C677" s="247">
        <v>1.27919089794159</v>
      </c>
      <c r="D677" s="247">
        <v>1.2835900783538801</v>
      </c>
      <c r="E677" s="247">
        <v>1.28959560394287</v>
      </c>
      <c r="F677" s="247">
        <v>1.29778397083282</v>
      </c>
      <c r="G677" s="247">
        <v>1.28695380687714</v>
      </c>
      <c r="H677" s="247">
        <v>1.28577756881714</v>
      </c>
      <c r="I677" s="247">
        <v>1.27679371833801</v>
      </c>
      <c r="J677" s="247">
        <v>1.26281106472015</v>
      </c>
      <c r="K677" s="247">
        <v>1.25397908687592</v>
      </c>
      <c r="L677" s="247">
        <v>1.2489364147186299</v>
      </c>
      <c r="M677" s="247">
        <v>1.2449804544448899</v>
      </c>
      <c r="N677" s="247">
        <v>1.2430621385574301</v>
      </c>
      <c r="O677" s="247">
        <v>1.24259686470032</v>
      </c>
      <c r="P677" s="247">
        <v>1.24424111843109</v>
      </c>
      <c r="Q677" s="247">
        <v>1.2428184747695901</v>
      </c>
      <c r="R677" s="247">
        <v>1.24728739261627</v>
      </c>
      <c r="S677" s="247">
        <v>1.2513284683227499</v>
      </c>
      <c r="T677" s="247">
        <v>1.2762980461120601</v>
      </c>
      <c r="U677" s="247">
        <v>1.2851967811584499</v>
      </c>
      <c r="V677" s="247">
        <v>1.2969329357147199</v>
      </c>
      <c r="W677" s="247">
        <v>1.3016670942306501</v>
      </c>
      <c r="X677" s="247">
        <v>1.31676089763641</v>
      </c>
      <c r="Y677" s="247">
        <v>1.3290703296661399</v>
      </c>
      <c r="Z677" s="285">
        <f>Y677+($AI$507-$Y$677)/10</f>
        <v>1.3327822261431892</v>
      </c>
    </row>
    <row r="678" spans="1:26" x14ac:dyDescent="0.25">
      <c r="A678" s="243" t="s">
        <v>430</v>
      </c>
      <c r="B678" s="247" t="s">
        <v>430</v>
      </c>
      <c r="C678" s="247" t="s">
        <v>430</v>
      </c>
      <c r="D678" s="247" t="s">
        <v>430</v>
      </c>
      <c r="E678" s="247" t="s">
        <v>430</v>
      </c>
      <c r="F678" s="247" t="s">
        <v>430</v>
      </c>
      <c r="G678" s="247" t="s">
        <v>430</v>
      </c>
      <c r="H678" s="247" t="s">
        <v>430</v>
      </c>
      <c r="I678" s="247" t="s">
        <v>430</v>
      </c>
      <c r="J678" s="247" t="s">
        <v>430</v>
      </c>
      <c r="K678" s="247" t="s">
        <v>430</v>
      </c>
      <c r="L678" s="247" t="s">
        <v>430</v>
      </c>
      <c r="M678" s="247" t="s">
        <v>430</v>
      </c>
      <c r="N678" s="247" t="s">
        <v>430</v>
      </c>
      <c r="O678" s="247" t="s">
        <v>430</v>
      </c>
      <c r="P678" s="247" t="s">
        <v>430</v>
      </c>
      <c r="Q678" s="247" t="s">
        <v>430</v>
      </c>
      <c r="R678" s="247" t="s">
        <v>430</v>
      </c>
      <c r="S678" s="247" t="s">
        <v>430</v>
      </c>
      <c r="T678" s="247" t="s">
        <v>430</v>
      </c>
      <c r="U678" s="247" t="s">
        <v>430</v>
      </c>
      <c r="V678" s="247" t="s">
        <v>430</v>
      </c>
      <c r="W678" s="247" t="s">
        <v>430</v>
      </c>
      <c r="X678" s="247" t="s">
        <v>430</v>
      </c>
      <c r="Y678" s="247" t="s">
        <v>430</v>
      </c>
    </row>
    <row r="679" spans="1:26" x14ac:dyDescent="0.25">
      <c r="A679" s="243" t="s">
        <v>493</v>
      </c>
      <c r="B679" s="247" t="s">
        <v>430</v>
      </c>
      <c r="C679" s="247" t="s">
        <v>430</v>
      </c>
      <c r="D679" s="247" t="s">
        <v>430</v>
      </c>
      <c r="E679" s="247" t="s">
        <v>430</v>
      </c>
      <c r="F679" s="247" t="s">
        <v>430</v>
      </c>
      <c r="G679" s="247" t="s">
        <v>430</v>
      </c>
      <c r="H679" s="247" t="s">
        <v>430</v>
      </c>
      <c r="I679" s="247" t="s">
        <v>430</v>
      </c>
      <c r="J679" s="247" t="s">
        <v>430</v>
      </c>
      <c r="K679" s="247" t="s">
        <v>430</v>
      </c>
      <c r="L679" s="247" t="s">
        <v>430</v>
      </c>
      <c r="M679" s="247" t="s">
        <v>430</v>
      </c>
      <c r="N679" s="247" t="s">
        <v>430</v>
      </c>
      <c r="O679" s="247" t="s">
        <v>430</v>
      </c>
      <c r="P679" s="247" t="s">
        <v>430</v>
      </c>
      <c r="Q679" s="247" t="s">
        <v>430</v>
      </c>
      <c r="R679" s="247" t="s">
        <v>430</v>
      </c>
      <c r="S679" s="247" t="s">
        <v>430</v>
      </c>
      <c r="T679" s="247" t="s">
        <v>430</v>
      </c>
      <c r="U679" s="247" t="s">
        <v>430</v>
      </c>
      <c r="V679" s="247" t="s">
        <v>430</v>
      </c>
      <c r="W679" s="247" t="s">
        <v>430</v>
      </c>
      <c r="X679" s="247" t="s">
        <v>430</v>
      </c>
      <c r="Y679" s="247" t="s">
        <v>430</v>
      </c>
    </row>
    <row r="680" spans="1:26" x14ac:dyDescent="0.25">
      <c r="A680" s="243" t="s">
        <v>494</v>
      </c>
      <c r="B680" s="247">
        <v>9.0916013717651403</v>
      </c>
      <c r="C680" s="247">
        <v>10.5092258453369</v>
      </c>
      <c r="D680" s="247">
        <v>12.005053520202599</v>
      </c>
      <c r="E680" s="247">
        <v>11.6376342773438</v>
      </c>
      <c r="F680" s="247">
        <v>11.8251142501831</v>
      </c>
      <c r="G680" s="247">
        <v>11.7351989746094</v>
      </c>
      <c r="H680" s="247">
        <v>11.6926622390747</v>
      </c>
      <c r="I680" s="247">
        <v>11.6848964691162</v>
      </c>
      <c r="J680" s="247">
        <v>11.6311902999878</v>
      </c>
      <c r="K680" s="247">
        <v>11.6124935150146</v>
      </c>
      <c r="L680" s="247">
        <v>11.616386413574199</v>
      </c>
      <c r="M680" s="247">
        <v>11.566198348999</v>
      </c>
      <c r="N680" s="247">
        <v>11.5507049560547</v>
      </c>
      <c r="O680" s="247">
        <v>11.475526809692401</v>
      </c>
      <c r="P680" s="247">
        <v>11.520403861999499</v>
      </c>
      <c r="Q680" s="247">
        <v>11.477831840515099</v>
      </c>
      <c r="R680" s="247">
        <v>11.5152139663696</v>
      </c>
      <c r="S680" s="247">
        <v>11.577165603637701</v>
      </c>
      <c r="T680" s="247">
        <v>11.5678558349609</v>
      </c>
      <c r="U680" s="247">
        <v>11.7752237319946</v>
      </c>
      <c r="V680" s="247">
        <v>11.90793800354</v>
      </c>
      <c r="W680" s="247">
        <v>12.0465354919434</v>
      </c>
      <c r="X680" s="247">
        <v>12.1843271255493</v>
      </c>
      <c r="Y680" s="247">
        <v>12.407506942749</v>
      </c>
    </row>
    <row r="681" spans="1:26" x14ac:dyDescent="0.25">
      <c r="A681" s="243" t="s">
        <v>495</v>
      </c>
      <c r="B681" s="247">
        <v>8.7129955291747994</v>
      </c>
      <c r="C681" s="247">
        <v>9.89868068695068</v>
      </c>
      <c r="D681" s="247">
        <v>10.9323635101318</v>
      </c>
      <c r="E681" s="247">
        <v>10.516573905944799</v>
      </c>
      <c r="F681" s="247">
        <v>10.8896884918213</v>
      </c>
      <c r="G681" s="247">
        <v>11.1545400619507</v>
      </c>
      <c r="H681" s="247">
        <v>11.1602163314819</v>
      </c>
      <c r="I681" s="247">
        <v>11.210696220397899</v>
      </c>
      <c r="J681" s="247">
        <v>11.2655477523804</v>
      </c>
      <c r="K681" s="247">
        <v>11.312797546386699</v>
      </c>
      <c r="L681" s="247">
        <v>11.4240579605103</v>
      </c>
      <c r="M681" s="247">
        <v>11.453408241271999</v>
      </c>
      <c r="N681" s="247">
        <v>11.43030834198</v>
      </c>
      <c r="O681" s="247">
        <v>11.241268157959</v>
      </c>
      <c r="P681" s="247">
        <v>11.0996809005737</v>
      </c>
      <c r="Q681" s="247">
        <v>10.9476537704468</v>
      </c>
      <c r="R681" s="247">
        <v>10.947796821594199</v>
      </c>
      <c r="S681" s="247">
        <v>10.974308013916</v>
      </c>
      <c r="T681" s="247">
        <v>11.019621849060099</v>
      </c>
      <c r="U681" s="247">
        <v>11.1190385818481</v>
      </c>
      <c r="V681" s="247">
        <v>11.172901153564499</v>
      </c>
      <c r="W681" s="247">
        <v>11.2430562973022</v>
      </c>
      <c r="X681" s="247">
        <v>11.376879692077599</v>
      </c>
      <c r="Y681" s="247">
        <v>11.7449541091919</v>
      </c>
    </row>
    <row r="682" spans="1:26" x14ac:dyDescent="0.25">
      <c r="A682" s="243" t="s">
        <v>496</v>
      </c>
      <c r="B682" s="247">
        <v>6.0538434982299796</v>
      </c>
      <c r="C682" s="247">
        <v>6.4578518867492702</v>
      </c>
      <c r="D682" s="247">
        <v>8.1168746948242205</v>
      </c>
      <c r="E682" s="247">
        <v>7.6875567436218297</v>
      </c>
      <c r="F682" s="247">
        <v>7.8739576339721697</v>
      </c>
      <c r="G682" s="247">
        <v>7.8265089988708496</v>
      </c>
      <c r="H682" s="247">
        <v>7.9840884208679199</v>
      </c>
      <c r="I682" s="247">
        <v>8.0166091918945295</v>
      </c>
      <c r="J682" s="247">
        <v>7.8608303070068404</v>
      </c>
      <c r="K682" s="247">
        <v>7.81276655197144</v>
      </c>
      <c r="L682" s="247">
        <v>7.8045797348022496</v>
      </c>
      <c r="M682" s="247">
        <v>7.7928524017334002</v>
      </c>
      <c r="N682" s="247">
        <v>7.7725591659545898</v>
      </c>
      <c r="O682" s="247">
        <v>7.7157216072082502</v>
      </c>
      <c r="P682" s="247">
        <v>7.7164225578308097</v>
      </c>
      <c r="Q682" s="247">
        <v>7.6991229057312003</v>
      </c>
      <c r="R682" s="247">
        <v>7.7546834945678702</v>
      </c>
      <c r="S682" s="247">
        <v>7.8412432670593297</v>
      </c>
      <c r="T682" s="247">
        <v>7.8916783332824698</v>
      </c>
      <c r="U682" s="247">
        <v>8.0530261993408203</v>
      </c>
      <c r="V682" s="247">
        <v>8.1459932327270508</v>
      </c>
      <c r="W682" s="247">
        <v>8.2922735214233398</v>
      </c>
      <c r="X682" s="247">
        <v>8.4199304580688494</v>
      </c>
      <c r="Y682" s="247">
        <v>8.7479171752929705</v>
      </c>
    </row>
    <row r="683" spans="1:26" x14ac:dyDescent="0.25">
      <c r="A683" s="243" t="s">
        <v>497</v>
      </c>
      <c r="B683" s="247">
        <v>9.5166797637939506</v>
      </c>
      <c r="C683" s="247">
        <v>13.0396432876587</v>
      </c>
      <c r="D683" s="247">
        <v>15.6858806610107</v>
      </c>
      <c r="E683" s="247">
        <v>14.0740518569946</v>
      </c>
      <c r="F683" s="247">
        <v>13.2904262542725</v>
      </c>
      <c r="G683" s="247">
        <v>13.309534072876</v>
      </c>
      <c r="H683" s="247">
        <v>13.149743080139199</v>
      </c>
      <c r="I683" s="247">
        <v>13.0244760513306</v>
      </c>
      <c r="J683" s="247">
        <v>13.1580867767334</v>
      </c>
      <c r="K683" s="247">
        <v>12.982262611389199</v>
      </c>
      <c r="L683" s="247">
        <v>12.9337568283081</v>
      </c>
      <c r="M683" s="247">
        <v>12.8646802902222</v>
      </c>
      <c r="N683" s="247">
        <v>12.621651649475099</v>
      </c>
      <c r="O683" s="247">
        <v>12.775475502014199</v>
      </c>
      <c r="P683" s="247">
        <v>12.937217712402299</v>
      </c>
      <c r="Q683" s="247">
        <v>13.1492967605591</v>
      </c>
      <c r="R683" s="247">
        <v>13.286898612976101</v>
      </c>
      <c r="S683" s="247">
        <v>13.3753395080566</v>
      </c>
      <c r="T683" s="247">
        <v>13.277045249939</v>
      </c>
      <c r="U683" s="247">
        <v>13.584378242492701</v>
      </c>
      <c r="V683" s="247">
        <v>13.775920867919901</v>
      </c>
      <c r="W683" s="247">
        <v>13.987989425659199</v>
      </c>
      <c r="X683" s="247">
        <v>14.116153717041</v>
      </c>
      <c r="Y683" s="247">
        <v>14.3756980895996</v>
      </c>
    </row>
    <row r="684" spans="1:26" x14ac:dyDescent="0.25">
      <c r="A684" s="243" t="s">
        <v>498</v>
      </c>
      <c r="B684" s="247">
        <v>11.3185987472534</v>
      </c>
      <c r="C684" s="247">
        <v>12.9258327484131</v>
      </c>
      <c r="D684" s="247">
        <v>14.650143623352101</v>
      </c>
      <c r="E684" s="247">
        <v>14.344244956970201</v>
      </c>
      <c r="F684" s="247">
        <v>14.6975507736206</v>
      </c>
      <c r="G684" s="247">
        <v>14.347893714904799</v>
      </c>
      <c r="H684" s="247">
        <v>14.238919258117701</v>
      </c>
      <c r="I684" s="247">
        <v>14.238542556762701</v>
      </c>
      <c r="J684" s="247">
        <v>14.0666351318359</v>
      </c>
      <c r="K684" s="247">
        <v>14.0516872406006</v>
      </c>
      <c r="L684" s="247">
        <v>14.0139780044556</v>
      </c>
      <c r="M684" s="247">
        <v>13.894681930541999</v>
      </c>
      <c r="N684" s="247">
        <v>13.9225015640259</v>
      </c>
      <c r="O684" s="247">
        <v>13.8080444335938</v>
      </c>
      <c r="P684" s="247">
        <v>13.9091501235962</v>
      </c>
      <c r="Q684" s="247">
        <v>13.810170173645</v>
      </c>
      <c r="R684" s="247">
        <v>13.822598457336399</v>
      </c>
      <c r="S684" s="247">
        <v>13.882239341735801</v>
      </c>
      <c r="T684" s="247">
        <v>13.824323654174799</v>
      </c>
      <c r="U684" s="247">
        <v>14.0693578720093</v>
      </c>
      <c r="V684" s="247">
        <v>14.2271223068237</v>
      </c>
      <c r="W684" s="247">
        <v>14.3637847900391</v>
      </c>
      <c r="X684" s="247">
        <v>14.4981489181519</v>
      </c>
      <c r="Y684" s="247">
        <v>14.5947113037109</v>
      </c>
    </row>
    <row r="685" spans="1:26" x14ac:dyDescent="0.25">
      <c r="A685" s="243" t="s">
        <v>499</v>
      </c>
      <c r="B685" s="247">
        <v>3.9308724403381299</v>
      </c>
      <c r="C685" s="247">
        <v>4.6628575325012198</v>
      </c>
      <c r="D685" s="247">
        <v>5.07232666015625</v>
      </c>
      <c r="E685" s="247">
        <v>5.1433587074279803</v>
      </c>
      <c r="F685" s="247">
        <v>5.4173622131347701</v>
      </c>
      <c r="G685" s="247">
        <v>5.4097323417663601</v>
      </c>
      <c r="H685" s="247">
        <v>5.3977632522582999</v>
      </c>
      <c r="I685" s="247">
        <v>5.3867764472961399</v>
      </c>
      <c r="J685" s="247">
        <v>5.3854241371154803</v>
      </c>
      <c r="K685" s="247">
        <v>5.3919448852539098</v>
      </c>
      <c r="L685" s="247">
        <v>5.3981180191040004</v>
      </c>
      <c r="M685" s="247">
        <v>5.4056487083435103</v>
      </c>
      <c r="N685" s="247">
        <v>5.4104261398315403</v>
      </c>
      <c r="O685" s="247">
        <v>5.4168543815612802</v>
      </c>
      <c r="P685" s="247">
        <v>5.4972262382507298</v>
      </c>
      <c r="Q685" s="247">
        <v>5.5698432922363299</v>
      </c>
      <c r="R685" s="247">
        <v>5.6456804275512704</v>
      </c>
      <c r="S685" s="247">
        <v>5.7250947952270499</v>
      </c>
      <c r="T685" s="247">
        <v>5.8020553588867196</v>
      </c>
      <c r="U685" s="247">
        <v>5.88106393814087</v>
      </c>
      <c r="V685" s="247">
        <v>5.9598326683044398</v>
      </c>
      <c r="W685" s="247">
        <v>6.0394186973571804</v>
      </c>
      <c r="X685" s="247">
        <v>6.11779880523682</v>
      </c>
      <c r="Y685" s="247">
        <v>6.2010583877563503</v>
      </c>
    </row>
    <row r="686" spans="1:26" x14ac:dyDescent="0.25">
      <c r="A686" s="243" t="s">
        <v>500</v>
      </c>
      <c r="B686" s="247">
        <v>5.1461992263793901</v>
      </c>
      <c r="C686" s="247">
        <v>6.8558807373046902</v>
      </c>
      <c r="D686" s="247">
        <v>7.3508062362670898</v>
      </c>
      <c r="E686" s="247">
        <v>7.3840570449829102</v>
      </c>
      <c r="F686" s="247">
        <v>6.7167382240295401</v>
      </c>
      <c r="G686" s="247">
        <v>6.27575588226318</v>
      </c>
      <c r="H686" s="247">
        <v>5.86295366287231</v>
      </c>
      <c r="I686" s="247">
        <v>5.7038016319274902</v>
      </c>
      <c r="J686" s="247">
        <v>5.5520119667053196</v>
      </c>
      <c r="K686" s="247">
        <v>5.5432248115539604</v>
      </c>
      <c r="L686" s="247">
        <v>5.5985813140869096</v>
      </c>
      <c r="M686" s="247">
        <v>5.70459079742432</v>
      </c>
      <c r="N686" s="247">
        <v>5.8318381309509304</v>
      </c>
      <c r="O686" s="247">
        <v>5.9191007614135698</v>
      </c>
      <c r="P686" s="247">
        <v>5.9519534111022896</v>
      </c>
      <c r="Q686" s="247">
        <v>5.8878293037414604</v>
      </c>
      <c r="R686" s="247">
        <v>5.94315385818481</v>
      </c>
      <c r="S686" s="247">
        <v>6.08443307876587</v>
      </c>
      <c r="T686" s="247">
        <v>6.3156557083129901</v>
      </c>
      <c r="U686" s="247">
        <v>6.4281539916992196</v>
      </c>
      <c r="V686" s="247">
        <v>6.4433326721191397</v>
      </c>
      <c r="W686" s="247">
        <v>6.4763746261596697</v>
      </c>
      <c r="X686" s="247">
        <v>6.5396862030029297</v>
      </c>
      <c r="Y686" s="247">
        <v>6.6462817192077601</v>
      </c>
    </row>
    <row r="687" spans="1:26" x14ac:dyDescent="0.25">
      <c r="A687" s="243" t="s">
        <v>501</v>
      </c>
      <c r="B687" s="247">
        <v>1.2938040494918801</v>
      </c>
      <c r="C687" s="247">
        <v>1.29924309253693</v>
      </c>
      <c r="D687" s="247">
        <v>1.3041912317276001</v>
      </c>
      <c r="E687" s="247">
        <v>1.3119194507598899</v>
      </c>
      <c r="F687" s="247">
        <v>1.3187216520309399</v>
      </c>
      <c r="G687" s="247">
        <v>1.3072546720504801</v>
      </c>
      <c r="H687" s="247">
        <v>1.3059933185577399</v>
      </c>
      <c r="I687" s="247">
        <v>1.2971544265747099</v>
      </c>
      <c r="J687" s="247">
        <v>1.2836289405822801</v>
      </c>
      <c r="K687" s="247">
        <v>1.2749706506729099</v>
      </c>
      <c r="L687" s="247">
        <v>1.26953566074371</v>
      </c>
      <c r="M687" s="247">
        <v>1.2652333974838299</v>
      </c>
      <c r="N687" s="247">
        <v>1.2631930112838701</v>
      </c>
      <c r="O687" s="247">
        <v>1.2626041173934901</v>
      </c>
      <c r="P687" s="247">
        <v>1.26433837413788</v>
      </c>
      <c r="Q687" s="247">
        <v>1.26277422904968</v>
      </c>
      <c r="R687" s="247">
        <v>1.2691743373870801</v>
      </c>
      <c r="S687" s="247">
        <v>1.27585673332214</v>
      </c>
      <c r="T687" s="247">
        <v>1.3034254312515301</v>
      </c>
      <c r="U687" s="247">
        <v>1.3139834403991699</v>
      </c>
      <c r="V687" s="247">
        <v>1.32844221591949</v>
      </c>
      <c r="W687" s="247">
        <v>1.3343856334686299</v>
      </c>
      <c r="X687" s="247">
        <v>1.3519768714904801</v>
      </c>
      <c r="Y687" s="247">
        <v>1.3668735027313199</v>
      </c>
    </row>
    <row r="688" spans="1:26" x14ac:dyDescent="0.25">
      <c r="A688" s="243" t="s">
        <v>502</v>
      </c>
      <c r="B688" s="247">
        <v>14.6543264389038</v>
      </c>
      <c r="C688" s="247">
        <v>16.232709884643601</v>
      </c>
      <c r="D688" s="247">
        <v>19.6646022796631</v>
      </c>
      <c r="E688" s="247">
        <v>19.716905593872099</v>
      </c>
      <c r="F688" s="247">
        <v>20.910398483276399</v>
      </c>
      <c r="G688" s="247">
        <v>20.088336944580099</v>
      </c>
      <c r="H688" s="247">
        <v>20.034643173217798</v>
      </c>
      <c r="I688" s="247">
        <v>19.876234054565401</v>
      </c>
      <c r="J688" s="247">
        <v>19.0899848937988</v>
      </c>
      <c r="K688" s="247">
        <v>19.0770473480225</v>
      </c>
      <c r="L688" s="247">
        <v>18.9334907531738</v>
      </c>
      <c r="M688" s="247">
        <v>18.8203315734863</v>
      </c>
      <c r="N688" s="247">
        <v>18.8769016265869</v>
      </c>
      <c r="O688" s="247">
        <v>18.733657836914102</v>
      </c>
      <c r="P688" s="247">
        <v>18.836368560791001</v>
      </c>
      <c r="Q688" s="247">
        <v>18.717578887939499</v>
      </c>
      <c r="R688" s="247">
        <v>18.677961349487301</v>
      </c>
      <c r="S688" s="247">
        <v>18.768825531005898</v>
      </c>
      <c r="T688" s="247">
        <v>18.702945709228501</v>
      </c>
      <c r="U688" s="247">
        <v>19.039726257324201</v>
      </c>
      <c r="V688" s="247">
        <v>19.213029861450199</v>
      </c>
      <c r="W688" s="247">
        <v>19.429216384887699</v>
      </c>
      <c r="X688" s="247">
        <v>19.537574768066399</v>
      </c>
      <c r="Y688" s="247">
        <v>19.6945476531982</v>
      </c>
    </row>
    <row r="689" spans="1:28" x14ac:dyDescent="0.25">
      <c r="A689" s="243" t="s">
        <v>469</v>
      </c>
      <c r="B689" s="247">
        <v>21.599882125854499</v>
      </c>
      <c r="C689" s="247">
        <v>21.735733032226602</v>
      </c>
      <c r="D689" s="247">
        <v>21.731866836547901</v>
      </c>
      <c r="E689" s="247">
        <v>21.659553527831999</v>
      </c>
      <c r="F689" s="247">
        <v>20.918876647949201</v>
      </c>
      <c r="G689" s="247">
        <v>20.055833816528299</v>
      </c>
      <c r="H689" s="247">
        <v>19.596654891967798</v>
      </c>
      <c r="I689" s="247">
        <v>19.579929351806602</v>
      </c>
      <c r="J689" s="247">
        <v>19.517631530761701</v>
      </c>
      <c r="K689" s="247">
        <v>19.486770629882798</v>
      </c>
      <c r="L689" s="247">
        <v>19.702039718627901</v>
      </c>
      <c r="M689" s="247">
        <v>19.955158233642599</v>
      </c>
      <c r="N689" s="247">
        <v>20.317079544067401</v>
      </c>
      <c r="O689" s="247">
        <v>20.442613601684599</v>
      </c>
      <c r="P689" s="247">
        <v>20.578334808349599</v>
      </c>
      <c r="Q689" s="247">
        <v>20.580734252929702</v>
      </c>
      <c r="R689" s="247">
        <v>20.7274265289307</v>
      </c>
      <c r="S689" s="247">
        <v>20.953577041626001</v>
      </c>
      <c r="T689" s="247">
        <v>21.262916564941399</v>
      </c>
      <c r="U689" s="247">
        <v>21.454774856567401</v>
      </c>
      <c r="V689" s="247">
        <v>21.4308891296387</v>
      </c>
      <c r="W689" s="247">
        <v>21.3733520507813</v>
      </c>
      <c r="X689" s="247">
        <v>21.452013015747099</v>
      </c>
      <c r="Y689" s="247">
        <v>21.5757865905762</v>
      </c>
    </row>
    <row r="690" spans="1:28" x14ac:dyDescent="0.25">
      <c r="A690" s="243" t="s">
        <v>430</v>
      </c>
      <c r="B690" s="247" t="s">
        <v>430</v>
      </c>
      <c r="C690" s="247" t="s">
        <v>430</v>
      </c>
      <c r="D690" s="247" t="s">
        <v>430</v>
      </c>
      <c r="E690" s="247" t="s">
        <v>430</v>
      </c>
      <c r="F690" s="247" t="s">
        <v>430</v>
      </c>
      <c r="G690" s="247" t="s">
        <v>430</v>
      </c>
      <c r="H690" s="247" t="s">
        <v>430</v>
      </c>
      <c r="I690" s="247" t="s">
        <v>430</v>
      </c>
      <c r="J690" s="247" t="s">
        <v>430</v>
      </c>
      <c r="K690" s="247" t="s">
        <v>430</v>
      </c>
      <c r="L690" s="247" t="s">
        <v>430</v>
      </c>
      <c r="M690" s="247" t="s">
        <v>430</v>
      </c>
      <c r="N690" s="247" t="s">
        <v>430</v>
      </c>
      <c r="O690" s="247" t="s">
        <v>430</v>
      </c>
      <c r="P690" s="247" t="s">
        <v>430</v>
      </c>
      <c r="Q690" s="247" t="s">
        <v>430</v>
      </c>
      <c r="R690" s="247" t="s">
        <v>430</v>
      </c>
      <c r="S690" s="247" t="s">
        <v>430</v>
      </c>
      <c r="T690" s="247" t="s">
        <v>430</v>
      </c>
      <c r="U690" s="247" t="s">
        <v>430</v>
      </c>
      <c r="V690" s="247" t="s">
        <v>430</v>
      </c>
      <c r="W690" s="247" t="s">
        <v>430</v>
      </c>
      <c r="X690" s="247" t="s">
        <v>430</v>
      </c>
      <c r="Y690" s="247" t="s">
        <v>430</v>
      </c>
    </row>
    <row r="691" spans="1:28" x14ac:dyDescent="0.25">
      <c r="A691" s="243" t="s">
        <v>503</v>
      </c>
      <c r="B691" s="247" t="s">
        <v>430</v>
      </c>
      <c r="C691" s="247" t="s">
        <v>430</v>
      </c>
      <c r="D691" s="247" t="s">
        <v>430</v>
      </c>
      <c r="E691" s="247" t="s">
        <v>430</v>
      </c>
      <c r="F691" s="247" t="s">
        <v>430</v>
      </c>
      <c r="G691" s="247" t="s">
        <v>430</v>
      </c>
      <c r="H691" s="247" t="s">
        <v>430</v>
      </c>
      <c r="I691" s="247" t="s">
        <v>430</v>
      </c>
      <c r="J691" s="247" t="s">
        <v>430</v>
      </c>
      <c r="K691" s="247" t="s">
        <v>430</v>
      </c>
      <c r="L691" s="247" t="s">
        <v>430</v>
      </c>
      <c r="M691" s="247" t="s">
        <v>430</v>
      </c>
      <c r="N691" s="247" t="s">
        <v>430</v>
      </c>
      <c r="O691" s="247" t="s">
        <v>430</v>
      </c>
      <c r="P691" s="247" t="s">
        <v>430</v>
      </c>
      <c r="Q691" s="247" t="s">
        <v>430</v>
      </c>
      <c r="R691" s="247" t="s">
        <v>430</v>
      </c>
      <c r="S691" s="247" t="s">
        <v>430</v>
      </c>
      <c r="T691" s="247" t="s">
        <v>430</v>
      </c>
      <c r="U691" s="247" t="s">
        <v>430</v>
      </c>
      <c r="V691" s="247" t="s">
        <v>430</v>
      </c>
      <c r="W691" s="247" t="s">
        <v>430</v>
      </c>
      <c r="X691" s="247" t="s">
        <v>430</v>
      </c>
      <c r="Y691" s="247" t="s">
        <v>430</v>
      </c>
    </row>
    <row r="692" spans="1:28" x14ac:dyDescent="0.25">
      <c r="A692" s="243" t="s">
        <v>504</v>
      </c>
      <c r="B692" s="247" t="s">
        <v>430</v>
      </c>
      <c r="C692" s="247" t="s">
        <v>430</v>
      </c>
      <c r="D692" s="247" t="s">
        <v>430</v>
      </c>
      <c r="E692" s="247" t="s">
        <v>430</v>
      </c>
      <c r="F692" s="247" t="s">
        <v>430</v>
      </c>
      <c r="G692" s="247" t="s">
        <v>430</v>
      </c>
      <c r="H692" s="247" t="s">
        <v>430</v>
      </c>
      <c r="I692" s="247" t="s">
        <v>430</v>
      </c>
      <c r="J692" s="247" t="s">
        <v>430</v>
      </c>
      <c r="K692" s="247" t="s">
        <v>430</v>
      </c>
      <c r="L692" s="247" t="s">
        <v>430</v>
      </c>
      <c r="M692" s="247" t="s">
        <v>430</v>
      </c>
      <c r="N692" s="247" t="s">
        <v>430</v>
      </c>
      <c r="O692" s="247" t="s">
        <v>430</v>
      </c>
      <c r="P692" s="247" t="s">
        <v>430</v>
      </c>
      <c r="Q692" s="247" t="s">
        <v>430</v>
      </c>
      <c r="R692" s="247" t="s">
        <v>430</v>
      </c>
      <c r="S692" s="247" t="s">
        <v>430</v>
      </c>
      <c r="T692" s="247" t="s">
        <v>430</v>
      </c>
      <c r="U692" s="247" t="s">
        <v>430</v>
      </c>
      <c r="V692" s="247" t="s">
        <v>430</v>
      </c>
      <c r="W692" s="247" t="s">
        <v>430</v>
      </c>
      <c r="X692" s="247" t="s">
        <v>430</v>
      </c>
      <c r="Y692" s="247" t="s">
        <v>430</v>
      </c>
    </row>
    <row r="693" spans="1:28" x14ac:dyDescent="0.25">
      <c r="A693" s="243" t="s">
        <v>463</v>
      </c>
      <c r="B693" s="247">
        <v>163.90481567382801</v>
      </c>
      <c r="C693" s="247">
        <v>177.16523742675801</v>
      </c>
      <c r="D693" s="247">
        <v>181.73590087890599</v>
      </c>
      <c r="E693" s="247">
        <v>185.241622924805</v>
      </c>
      <c r="F693" s="247">
        <v>180.05682373046901</v>
      </c>
      <c r="G693" s="247">
        <v>176.427001953125</v>
      </c>
      <c r="H693" s="247">
        <v>175.07618713378901</v>
      </c>
      <c r="I693" s="247">
        <v>176.51165771484401</v>
      </c>
      <c r="J693" s="247">
        <v>178.08059692382801</v>
      </c>
      <c r="K693" s="247">
        <v>180.014236450195</v>
      </c>
      <c r="L693" s="247">
        <v>183.85498046875</v>
      </c>
      <c r="M693" s="247">
        <v>187.18310546875</v>
      </c>
      <c r="N693" s="247">
        <v>191.43936157226599</v>
      </c>
      <c r="O693" s="247">
        <v>194.37899780273401</v>
      </c>
      <c r="P693" s="247">
        <v>197.52023315429699</v>
      </c>
      <c r="Q693" s="247">
        <v>198.76248168945301</v>
      </c>
      <c r="R693" s="247">
        <v>201.94073486328099</v>
      </c>
      <c r="S693" s="247">
        <v>206.017013549805</v>
      </c>
      <c r="T693" s="247">
        <v>211.20541381835901</v>
      </c>
      <c r="U693" s="247">
        <v>214.41099548339801</v>
      </c>
      <c r="V693" s="247">
        <v>216.40347290039099</v>
      </c>
      <c r="W693" s="247">
        <v>218.64796447753901</v>
      </c>
      <c r="X693" s="247">
        <v>222.25126647949199</v>
      </c>
      <c r="Y693" s="247">
        <v>225.36584472656301</v>
      </c>
      <c r="AA693" s="299"/>
      <c r="AB693" s="299"/>
    </row>
    <row r="694" spans="1:28" x14ac:dyDescent="0.25">
      <c r="A694" s="243" t="s">
        <v>470</v>
      </c>
      <c r="B694" s="247">
        <v>122.690147399902</v>
      </c>
      <c r="C694" s="247">
        <v>128.153732299805</v>
      </c>
      <c r="D694" s="247">
        <v>130.48612976074199</v>
      </c>
      <c r="E694" s="247">
        <v>132.29133605957</v>
      </c>
      <c r="F694" s="247">
        <v>129.27566528320301</v>
      </c>
      <c r="G694" s="247">
        <v>126.887260437012</v>
      </c>
      <c r="H694" s="247">
        <v>126.692184448242</v>
      </c>
      <c r="I694" s="247">
        <v>129.41491699218801</v>
      </c>
      <c r="J694" s="247">
        <v>131.90731811523401</v>
      </c>
      <c r="K694" s="247">
        <v>135.04089355468801</v>
      </c>
      <c r="L694" s="247">
        <v>139.741943359375</v>
      </c>
      <c r="M694" s="247">
        <v>144.63902282714801</v>
      </c>
      <c r="N694" s="247">
        <v>150.53921508789099</v>
      </c>
      <c r="O694" s="247">
        <v>154.864669799805</v>
      </c>
      <c r="P694" s="247">
        <v>159.25378417968801</v>
      </c>
      <c r="Q694" s="247">
        <v>162.59527587890599</v>
      </c>
      <c r="R694" s="247">
        <v>167.29981994628901</v>
      </c>
      <c r="S694" s="247">
        <v>172.854415893555</v>
      </c>
      <c r="T694" s="247">
        <v>179.18412780761699</v>
      </c>
      <c r="U694" s="247">
        <v>184.76553344726599</v>
      </c>
      <c r="V694" s="247">
        <v>188.65592956543</v>
      </c>
      <c r="W694" s="247">
        <v>192.56275939941401</v>
      </c>
      <c r="X694" s="247">
        <v>197.80290222168</v>
      </c>
      <c r="Y694" s="247">
        <v>203.64804077148401</v>
      </c>
    </row>
    <row r="695" spans="1:28" x14ac:dyDescent="0.25">
      <c r="A695" s="243" t="s">
        <v>505</v>
      </c>
      <c r="B695" s="247">
        <v>124.39901733398401</v>
      </c>
      <c r="C695" s="247">
        <v>147.11244201660199</v>
      </c>
      <c r="D695" s="247">
        <v>168.13270568847699</v>
      </c>
      <c r="E695" s="247">
        <v>167.53501892089801</v>
      </c>
      <c r="F695" s="247">
        <v>157.82022094726599</v>
      </c>
      <c r="G695" s="247">
        <v>152.842697143555</v>
      </c>
      <c r="H695" s="247">
        <v>151.28466796875</v>
      </c>
      <c r="I695" s="247">
        <v>151.59564208984401</v>
      </c>
      <c r="J695" s="247">
        <v>151.94683837890599</v>
      </c>
      <c r="K695" s="247">
        <v>152.62234497070301</v>
      </c>
      <c r="L695" s="247">
        <v>154.60144042968801</v>
      </c>
      <c r="M695" s="247">
        <v>156.88139343261699</v>
      </c>
      <c r="N695" s="247">
        <v>159.98997497558599</v>
      </c>
      <c r="O695" s="247">
        <v>162.62356567382801</v>
      </c>
      <c r="P695" s="247">
        <v>164.507247924805</v>
      </c>
      <c r="Q695" s="247">
        <v>166.59835815429699</v>
      </c>
      <c r="R695" s="247">
        <v>170.382568359375</v>
      </c>
      <c r="S695" s="247">
        <v>174.95167541503901</v>
      </c>
      <c r="T695" s="247">
        <v>179.57080078125</v>
      </c>
      <c r="U695" s="247">
        <v>184.12712097168</v>
      </c>
      <c r="V695" s="247">
        <v>186.42012023925801</v>
      </c>
      <c r="W695" s="247">
        <v>189.56260681152301</v>
      </c>
      <c r="X695" s="247">
        <v>192.98284912109401</v>
      </c>
      <c r="Y695" s="247">
        <v>198.25885009765599</v>
      </c>
    </row>
    <row r="696" spans="1:28" x14ac:dyDescent="0.25">
      <c r="A696" s="243" t="s">
        <v>477</v>
      </c>
      <c r="B696" s="247">
        <v>263.72879028320301</v>
      </c>
      <c r="C696" s="247">
        <v>302.59255981445301</v>
      </c>
      <c r="D696" s="247">
        <v>352.23825073242199</v>
      </c>
      <c r="E696" s="247">
        <v>351.13717651367199</v>
      </c>
      <c r="F696" s="247">
        <v>366.34793090820301</v>
      </c>
      <c r="G696" s="247">
        <v>368.76159667968801</v>
      </c>
      <c r="H696" s="247">
        <v>374.76626586914102</v>
      </c>
      <c r="I696" s="247">
        <v>382.39471435546898</v>
      </c>
      <c r="J696" s="247">
        <v>385.90115356445301</v>
      </c>
      <c r="K696" s="247">
        <v>392.12625122070301</v>
      </c>
      <c r="L696" s="247">
        <v>398.68222045898398</v>
      </c>
      <c r="M696" s="247">
        <v>403.06192016601602</v>
      </c>
      <c r="N696" s="247">
        <v>409.94515991210898</v>
      </c>
      <c r="O696" s="247">
        <v>412.30630493164102</v>
      </c>
      <c r="P696" s="247">
        <v>418.64147949218801</v>
      </c>
      <c r="Q696" s="247">
        <v>421.60382080078102</v>
      </c>
      <c r="R696" s="247">
        <v>428.44393920898398</v>
      </c>
      <c r="S696" s="247">
        <v>436.35858154296898</v>
      </c>
      <c r="T696" s="247">
        <v>441.71078491210898</v>
      </c>
      <c r="U696" s="247">
        <v>454.05059814453102</v>
      </c>
      <c r="V696" s="247">
        <v>464.07431030273398</v>
      </c>
      <c r="W696" s="247">
        <v>474.87463378906301</v>
      </c>
      <c r="X696" s="247">
        <v>486.72909545898398</v>
      </c>
      <c r="Y696" s="247">
        <v>501.322265625</v>
      </c>
    </row>
    <row r="697" spans="1:28" x14ac:dyDescent="0.25">
      <c r="A697" s="243" t="s">
        <v>506</v>
      </c>
      <c r="B697" s="247">
        <v>674.72277832031295</v>
      </c>
      <c r="C697" s="247">
        <v>755.02398681640602</v>
      </c>
      <c r="D697" s="247">
        <v>832.593017578125</v>
      </c>
      <c r="E697" s="247">
        <v>836.20513916015602</v>
      </c>
      <c r="F697" s="247">
        <v>833.50061035156295</v>
      </c>
      <c r="G697" s="247">
        <v>824.91857910156295</v>
      </c>
      <c r="H697" s="247">
        <v>827.8193359375</v>
      </c>
      <c r="I697" s="247">
        <v>839.91693115234398</v>
      </c>
      <c r="J697" s="247">
        <v>847.8359375</v>
      </c>
      <c r="K697" s="247">
        <v>859.8037109375</v>
      </c>
      <c r="L697" s="247">
        <v>876.880615234375</v>
      </c>
      <c r="M697" s="247">
        <v>891.76544189453102</v>
      </c>
      <c r="N697" s="247">
        <v>911.91369628906295</v>
      </c>
      <c r="O697" s="247">
        <v>924.17352294921898</v>
      </c>
      <c r="P697" s="247">
        <v>939.92272949218795</v>
      </c>
      <c r="Q697" s="247">
        <v>949.55993652343795</v>
      </c>
      <c r="R697" s="247">
        <v>968.06707763671898</v>
      </c>
      <c r="S697" s="247">
        <v>990.18170166015602</v>
      </c>
      <c r="T697" s="247">
        <v>1011.67114257813</v>
      </c>
      <c r="U697" s="247">
        <v>1037.35424804688</v>
      </c>
      <c r="V697" s="247">
        <v>1055.55383300781</v>
      </c>
      <c r="W697" s="247">
        <v>1075.64794921875</v>
      </c>
      <c r="X697" s="247">
        <v>1099.76611328125</v>
      </c>
      <c r="Y697" s="247">
        <v>1128.59497070313</v>
      </c>
    </row>
    <row r="698" spans="1:28" x14ac:dyDescent="0.25">
      <c r="A698" s="243" t="s">
        <v>507</v>
      </c>
      <c r="B698" s="247">
        <v>1.1704622767865699E-2</v>
      </c>
      <c r="C698" s="247">
        <v>1.72001253813505E-2</v>
      </c>
      <c r="D698" s="247">
        <v>2.0739471539855E-2</v>
      </c>
      <c r="E698" s="247">
        <v>2.2715086117386801E-2</v>
      </c>
      <c r="F698" s="247">
        <v>2.5078095495700801E-2</v>
      </c>
      <c r="G698" s="247">
        <v>2.8324941173195801E-2</v>
      </c>
      <c r="H698" s="247">
        <v>3.1410280615091303E-2</v>
      </c>
      <c r="I698" s="247">
        <v>3.5102743655443198E-2</v>
      </c>
      <c r="J698" s="247">
        <v>3.9645586162805599E-2</v>
      </c>
      <c r="K698" s="247">
        <v>4.3348435312509502E-2</v>
      </c>
      <c r="L698" s="247">
        <v>4.6531450003385502E-2</v>
      </c>
      <c r="M698" s="247">
        <v>4.9735426902771003E-2</v>
      </c>
      <c r="N698" s="247">
        <v>5.3442426025867497E-2</v>
      </c>
      <c r="O698" s="247">
        <v>5.6060969829559298E-2</v>
      </c>
      <c r="P698" s="247">
        <v>6.0336232185363797E-2</v>
      </c>
      <c r="Q698" s="247">
        <v>6.3296250998973805E-2</v>
      </c>
      <c r="R698" s="247">
        <v>6.6096656024455996E-2</v>
      </c>
      <c r="S698" s="247">
        <v>6.9950148463249207E-2</v>
      </c>
      <c r="T698" s="247">
        <v>7.2811737656593295E-2</v>
      </c>
      <c r="U698" s="247">
        <v>7.6670221984386402E-2</v>
      </c>
      <c r="V698" s="247">
        <v>8.0276548862457303E-2</v>
      </c>
      <c r="W698" s="247">
        <v>8.4626309573650402E-2</v>
      </c>
      <c r="X698" s="247">
        <v>8.8446177542209597E-2</v>
      </c>
      <c r="Y698" s="247">
        <v>9.2330038547515897E-2</v>
      </c>
    </row>
    <row r="699" spans="1:28" x14ac:dyDescent="0.25">
      <c r="A699" s="243" t="s">
        <v>508</v>
      </c>
      <c r="B699" s="247">
        <v>674.73449707031295</v>
      </c>
      <c r="C699" s="247">
        <v>755.04119873046898</v>
      </c>
      <c r="D699" s="247">
        <v>832.61376953125</v>
      </c>
      <c r="E699" s="247">
        <v>836.22784423828102</v>
      </c>
      <c r="F699" s="247">
        <v>833.52569580078102</v>
      </c>
      <c r="G699" s="247">
        <v>824.94689941406295</v>
      </c>
      <c r="H699" s="247">
        <v>827.85076904296898</v>
      </c>
      <c r="I699" s="247">
        <v>839.95202636718795</v>
      </c>
      <c r="J699" s="247">
        <v>847.87561035156295</v>
      </c>
      <c r="K699" s="247">
        <v>859.84704589843795</v>
      </c>
      <c r="L699" s="247">
        <v>876.92712402343795</v>
      </c>
      <c r="M699" s="247">
        <v>891.815185546875</v>
      </c>
      <c r="N699" s="247">
        <v>911.96716308593795</v>
      </c>
      <c r="O699" s="247">
        <v>924.22961425781295</v>
      </c>
      <c r="P699" s="247">
        <v>939.98309326171898</v>
      </c>
      <c r="Q699" s="247">
        <v>949.62322998046898</v>
      </c>
      <c r="R699" s="247">
        <v>968.13317871093795</v>
      </c>
      <c r="S699" s="247">
        <v>990.25164794921898</v>
      </c>
      <c r="T699" s="247">
        <v>1011.74395751953</v>
      </c>
      <c r="U699" s="247">
        <v>1037.43090820313</v>
      </c>
      <c r="V699" s="247">
        <v>1055.63415527344</v>
      </c>
      <c r="W699" s="247">
        <v>1075.73254394531</v>
      </c>
      <c r="X699" s="247">
        <v>1099.85461425781</v>
      </c>
      <c r="Y699" s="247">
        <v>1128.68725585938</v>
      </c>
    </row>
    <row r="700" spans="1:28" x14ac:dyDescent="0.25">
      <c r="A700" s="243" t="s">
        <v>581</v>
      </c>
      <c r="B700" s="247"/>
      <c r="C700" s="247"/>
      <c r="D700" s="247"/>
      <c r="E700" s="247"/>
      <c r="F700" s="247"/>
      <c r="G700" s="247"/>
      <c r="H700" s="247"/>
      <c r="I700" s="247"/>
      <c r="J700" s="247"/>
      <c r="K700" s="247"/>
      <c r="L700" s="247"/>
      <c r="M700" s="247"/>
      <c r="N700" s="247"/>
      <c r="O700" s="247"/>
      <c r="P700" s="247"/>
      <c r="Q700" s="247"/>
      <c r="R700" s="247"/>
      <c r="S700" s="247"/>
      <c r="T700" s="247"/>
      <c r="U700" s="247"/>
      <c r="V700" s="247"/>
      <c r="W700" s="247"/>
      <c r="X700" s="247"/>
      <c r="Y700" s="247"/>
    </row>
    <row r="701" spans="1:28" x14ac:dyDescent="0.25">
      <c r="A701" s="296" t="s">
        <v>1063</v>
      </c>
      <c r="B701" s="292">
        <v>1.1960935989170374</v>
      </c>
      <c r="C701" s="292">
        <v>1.1960935989170374</v>
      </c>
      <c r="D701" s="292">
        <v>1.1960935989170374</v>
      </c>
      <c r="E701" s="292">
        <v>1.1960935989170374</v>
      </c>
      <c r="F701" s="292">
        <v>1.1960935989170374</v>
      </c>
      <c r="G701" s="292">
        <v>1.1960935989170374</v>
      </c>
      <c r="H701" s="292">
        <v>1.1960935989170374</v>
      </c>
      <c r="I701" s="292">
        <v>1.1960935989170374</v>
      </c>
      <c r="J701" s="292">
        <v>1.1960935989170374</v>
      </c>
      <c r="K701" s="292">
        <v>1.198027460839296</v>
      </c>
      <c r="L701" s="292">
        <v>1.2067298394894606</v>
      </c>
      <c r="M701" s="292">
        <v>1.2415393540901181</v>
      </c>
      <c r="N701" s="292">
        <v>1.244440146973506</v>
      </c>
      <c r="O701" s="292">
        <v>1.2657126281183524</v>
      </c>
      <c r="P701" s="292">
        <v>1.2686134210017406</v>
      </c>
      <c r="Q701" s="292">
        <v>1.2840843163798106</v>
      </c>
      <c r="R701" s="292">
        <v>1.2792496615741635</v>
      </c>
      <c r="S701" s="292">
        <v>1.3034229356023981</v>
      </c>
      <c r="T701" s="292">
        <v>1.3217946238638563</v>
      </c>
      <c r="U701" s="292">
        <v>1.3759427576871011</v>
      </c>
      <c r="V701" s="292">
        <v>1.3943144459485595</v>
      </c>
      <c r="W701" s="293">
        <v>1.4001160317153356</v>
      </c>
      <c r="X701" s="293">
        <v>1.4242893057435699</v>
      </c>
      <c r="Y701" s="293">
        <v>1.4378263391993813</v>
      </c>
      <c r="Z701" s="290">
        <f>Y701+($AI$531-$Y$701)/10</f>
        <v>1.5542937052794432</v>
      </c>
    </row>
    <row r="702" spans="1:28" x14ac:dyDescent="0.25">
      <c r="A702" s="276" t="s">
        <v>310</v>
      </c>
      <c r="B702" s="292">
        <v>8.7353999999999985</v>
      </c>
      <c r="C702" s="292">
        <v>8.7353999999999985</v>
      </c>
      <c r="D702" s="292">
        <v>8.7353999999999985</v>
      </c>
      <c r="E702" s="292">
        <v>8.7353999999999985</v>
      </c>
      <c r="F702" s="292">
        <v>8.7353999999999985</v>
      </c>
      <c r="G702" s="292">
        <v>8.7353999999999985</v>
      </c>
      <c r="H702" s="292">
        <v>8.7353999999999985</v>
      </c>
      <c r="I702" s="292">
        <v>8.7353999999999985</v>
      </c>
      <c r="J702" s="292">
        <v>8.7353999999999985</v>
      </c>
      <c r="K702" s="292">
        <v>8.7353999999999985</v>
      </c>
      <c r="L702" s="292">
        <v>8.7353999999999985</v>
      </c>
      <c r="M702" s="292">
        <v>8.7353999999999985</v>
      </c>
      <c r="N702" s="292">
        <v>8.7353999999999985</v>
      </c>
      <c r="O702" s="292">
        <v>8.7353999999999985</v>
      </c>
      <c r="P702" s="292">
        <v>8.7353999999999985</v>
      </c>
      <c r="Q702" s="292">
        <v>8.7353999999999985</v>
      </c>
      <c r="R702" s="292">
        <v>8.7353999999999985</v>
      </c>
      <c r="S702" s="292">
        <v>8.7353999999999985</v>
      </c>
      <c r="T702" s="292">
        <v>8.7353999999999985</v>
      </c>
      <c r="U702" s="292">
        <v>8.7353999999999985</v>
      </c>
      <c r="V702" s="292">
        <v>8.7353999999999985</v>
      </c>
      <c r="W702" s="293">
        <v>8.7353999999999985</v>
      </c>
      <c r="X702" s="293">
        <v>8.7353999999999985</v>
      </c>
      <c r="Y702" s="293">
        <v>8.7353999999999985</v>
      </c>
      <c r="Z702" s="293">
        <v>8.7353999999999985</v>
      </c>
    </row>
    <row r="703" spans="1:28" x14ac:dyDescent="0.25">
      <c r="A703" s="297" t="s">
        <v>583</v>
      </c>
      <c r="B703" s="294">
        <v>4.78</v>
      </c>
      <c r="C703" s="294">
        <v>4.78</v>
      </c>
      <c r="D703" s="294">
        <v>4.78</v>
      </c>
      <c r="E703" s="294">
        <v>4.78</v>
      </c>
      <c r="F703" s="294">
        <v>4.78</v>
      </c>
      <c r="G703" s="294">
        <v>4.78</v>
      </c>
      <c r="H703" s="294">
        <v>4.78</v>
      </c>
      <c r="I703" s="294">
        <v>4.78</v>
      </c>
      <c r="J703" s="294">
        <v>4.78</v>
      </c>
      <c r="K703" s="294">
        <v>4.78</v>
      </c>
      <c r="L703" s="294">
        <v>4.78</v>
      </c>
      <c r="M703" s="294">
        <v>4.78</v>
      </c>
      <c r="N703" s="294">
        <v>4.78</v>
      </c>
      <c r="O703" s="294">
        <v>4.78</v>
      </c>
      <c r="P703" s="294">
        <v>4.78</v>
      </c>
      <c r="Q703" s="294">
        <v>4.78</v>
      </c>
      <c r="R703" s="294">
        <v>4.78</v>
      </c>
      <c r="S703" s="294">
        <v>4.78</v>
      </c>
      <c r="T703" s="294">
        <v>4.78</v>
      </c>
      <c r="U703" s="294">
        <v>4.78</v>
      </c>
      <c r="V703" s="294">
        <v>4.78</v>
      </c>
      <c r="W703" s="294">
        <v>4.78</v>
      </c>
      <c r="X703" s="294">
        <v>4.78</v>
      </c>
      <c r="Y703" s="294">
        <v>4.78</v>
      </c>
      <c r="Z703" s="294">
        <v>4.78</v>
      </c>
    </row>
    <row r="704" spans="1:28" x14ac:dyDescent="0.25">
      <c r="A704" s="298" t="s">
        <v>584</v>
      </c>
      <c r="B704" s="293" t="e">
        <f t="shared" ref="B704:Z704" si="81">B703*GJ_p_MMBtu</f>
        <v>#NAME?</v>
      </c>
      <c r="C704" s="293" t="e">
        <f t="shared" si="81"/>
        <v>#NAME?</v>
      </c>
      <c r="D704" s="293" t="e">
        <f t="shared" si="81"/>
        <v>#NAME?</v>
      </c>
      <c r="E704" s="293" t="e">
        <f t="shared" si="81"/>
        <v>#NAME?</v>
      </c>
      <c r="F704" s="293" t="e">
        <f t="shared" si="81"/>
        <v>#NAME?</v>
      </c>
      <c r="G704" s="293" t="e">
        <f t="shared" si="81"/>
        <v>#NAME?</v>
      </c>
      <c r="H704" s="293" t="e">
        <f t="shared" si="81"/>
        <v>#NAME?</v>
      </c>
      <c r="I704" s="293" t="e">
        <f t="shared" si="81"/>
        <v>#NAME?</v>
      </c>
      <c r="J704" s="293" t="e">
        <f t="shared" si="81"/>
        <v>#NAME?</v>
      </c>
      <c r="K704" s="293" t="e">
        <f t="shared" si="81"/>
        <v>#NAME?</v>
      </c>
      <c r="L704" s="293" t="e">
        <f t="shared" si="81"/>
        <v>#NAME?</v>
      </c>
      <c r="M704" s="293" t="e">
        <f t="shared" si="81"/>
        <v>#NAME?</v>
      </c>
      <c r="N704" s="293" t="e">
        <f t="shared" si="81"/>
        <v>#NAME?</v>
      </c>
      <c r="O704" s="293" t="e">
        <f t="shared" si="81"/>
        <v>#NAME?</v>
      </c>
      <c r="P704" s="293" t="e">
        <f t="shared" si="81"/>
        <v>#NAME?</v>
      </c>
      <c r="Q704" s="293" t="e">
        <f t="shared" si="81"/>
        <v>#NAME?</v>
      </c>
      <c r="R704" s="293" t="e">
        <f t="shared" si="81"/>
        <v>#NAME?</v>
      </c>
      <c r="S704" s="293" t="e">
        <f t="shared" si="81"/>
        <v>#NAME?</v>
      </c>
      <c r="T704" s="293" t="e">
        <f t="shared" si="81"/>
        <v>#NAME?</v>
      </c>
      <c r="U704" s="293" t="e">
        <f t="shared" si="81"/>
        <v>#NAME?</v>
      </c>
      <c r="V704" s="293" t="e">
        <f t="shared" si="81"/>
        <v>#NAME?</v>
      </c>
      <c r="W704" s="293" t="e">
        <f t="shared" si="81"/>
        <v>#NAME?</v>
      </c>
      <c r="X704" s="293" t="e">
        <f t="shared" si="81"/>
        <v>#NAME?</v>
      </c>
      <c r="Y704" s="293" t="e">
        <f t="shared" si="81"/>
        <v>#NAME?</v>
      </c>
      <c r="Z704" s="293" t="e">
        <f t="shared" si="81"/>
        <v>#NAME?</v>
      </c>
    </row>
    <row r="705" spans="1:26" x14ac:dyDescent="0.25">
      <c r="A705" s="296" t="s">
        <v>585</v>
      </c>
      <c r="B705" s="247"/>
      <c r="C705" s="247"/>
      <c r="D705" s="247"/>
      <c r="E705" s="247"/>
      <c r="F705" s="247"/>
      <c r="G705" s="247"/>
      <c r="H705" s="247"/>
      <c r="I705" s="247"/>
      <c r="J705" s="247"/>
      <c r="K705" s="247"/>
      <c r="L705" s="247"/>
      <c r="M705" s="247"/>
      <c r="N705" s="247"/>
      <c r="O705" s="247"/>
      <c r="P705" s="247"/>
      <c r="Q705" s="247"/>
      <c r="R705" s="247"/>
      <c r="S705" s="247"/>
      <c r="T705" s="247"/>
      <c r="U705" s="247"/>
      <c r="V705" s="247"/>
      <c r="W705" s="247"/>
      <c r="X705" s="247"/>
      <c r="Y705" s="247"/>
      <c r="Z705" s="247"/>
    </row>
    <row r="706" spans="1:26" x14ac:dyDescent="0.25">
      <c r="A706" s="243" t="s">
        <v>509</v>
      </c>
      <c r="B706" s="247"/>
      <c r="C706" s="247"/>
      <c r="D706" s="247"/>
      <c r="E706" s="247" t="s">
        <v>430</v>
      </c>
      <c r="F706" s="247" t="s">
        <v>430</v>
      </c>
      <c r="G706" s="247" t="s">
        <v>430</v>
      </c>
      <c r="H706" s="247" t="s">
        <v>430</v>
      </c>
      <c r="I706" s="247" t="s">
        <v>430</v>
      </c>
      <c r="J706" s="247" t="s">
        <v>430</v>
      </c>
      <c r="K706" s="247" t="s">
        <v>430</v>
      </c>
      <c r="L706" s="247" t="s">
        <v>430</v>
      </c>
      <c r="M706" s="247" t="s">
        <v>430</v>
      </c>
      <c r="N706" s="247" t="s">
        <v>430</v>
      </c>
      <c r="O706" s="247" t="s">
        <v>430</v>
      </c>
      <c r="P706" s="247" t="s">
        <v>430</v>
      </c>
      <c r="Q706" s="247" t="s">
        <v>430</v>
      </c>
      <c r="R706" s="247" t="s">
        <v>430</v>
      </c>
      <c r="S706" s="247" t="s">
        <v>430</v>
      </c>
      <c r="T706" s="247" t="s">
        <v>430</v>
      </c>
      <c r="U706" s="247" t="s">
        <v>430</v>
      </c>
      <c r="V706" s="247" t="s">
        <v>430</v>
      </c>
      <c r="W706" s="247" t="s">
        <v>430</v>
      </c>
      <c r="X706" s="247" t="s">
        <v>430</v>
      </c>
      <c r="Y706" s="247" t="s">
        <v>430</v>
      </c>
    </row>
    <row r="707" spans="1:26" x14ac:dyDescent="0.25">
      <c r="A707" s="243" t="s">
        <v>510</v>
      </c>
      <c r="B707" s="244"/>
      <c r="C707" s="244"/>
      <c r="D707" s="244"/>
      <c r="E707" s="244"/>
      <c r="F707" s="244"/>
      <c r="G707" s="244"/>
      <c r="H707" s="244"/>
      <c r="I707" s="244"/>
      <c r="J707" s="244"/>
      <c r="K707" s="244"/>
      <c r="L707" s="244"/>
      <c r="M707" s="244"/>
      <c r="N707" s="244"/>
      <c r="O707" s="244"/>
      <c r="P707" s="244"/>
      <c r="Q707" s="244"/>
      <c r="R707" s="244"/>
      <c r="S707" s="244"/>
      <c r="T707" s="244"/>
      <c r="U707" s="244"/>
      <c r="V707" s="244"/>
      <c r="W707" s="244"/>
      <c r="X707" s="244"/>
      <c r="Y707" s="244"/>
    </row>
    <row r="708" spans="1:26" x14ac:dyDescent="0.25">
      <c r="A708" s="243" t="s">
        <v>511</v>
      </c>
      <c r="B708" s="244"/>
      <c r="C708" s="244"/>
      <c r="D708" s="244"/>
      <c r="E708" s="244"/>
      <c r="F708" s="244"/>
      <c r="G708" s="244"/>
      <c r="H708" s="244"/>
      <c r="I708" s="244"/>
      <c r="J708" s="244"/>
      <c r="K708" s="244"/>
      <c r="L708" s="244"/>
      <c r="M708" s="244"/>
      <c r="N708" s="244"/>
      <c r="O708" s="244"/>
      <c r="P708" s="244"/>
      <c r="Q708" s="244"/>
      <c r="R708" s="244"/>
      <c r="S708" s="244"/>
      <c r="T708" s="244"/>
      <c r="U708" s="244"/>
      <c r="V708" s="244"/>
      <c r="W708" s="244"/>
      <c r="X708" s="244"/>
      <c r="Y708" s="244"/>
    </row>
    <row r="709" spans="1:26" x14ac:dyDescent="0.25">
      <c r="A709" s="243" t="s">
        <v>512</v>
      </c>
      <c r="B709" s="244"/>
      <c r="C709" s="244"/>
      <c r="D709" s="244"/>
      <c r="E709" s="244"/>
      <c r="F709" s="244"/>
      <c r="G709" s="244"/>
      <c r="H709" s="244"/>
      <c r="I709" s="244"/>
      <c r="J709" s="244"/>
      <c r="K709" s="244"/>
      <c r="L709" s="244"/>
      <c r="M709" s="244"/>
      <c r="N709" s="244"/>
      <c r="O709" s="244"/>
      <c r="P709" s="244"/>
      <c r="Q709" s="244"/>
      <c r="R709" s="244"/>
      <c r="S709" s="244"/>
      <c r="T709" s="244"/>
      <c r="U709" s="244"/>
      <c r="V709" s="244"/>
      <c r="W709" s="244"/>
      <c r="X709" s="244"/>
      <c r="Y709" s="244"/>
    </row>
    <row r="710" spans="1:26" x14ac:dyDescent="0.25">
      <c r="A710" s="243" t="s">
        <v>513</v>
      </c>
      <c r="B710" s="244"/>
      <c r="C710" s="244"/>
      <c r="D710" s="244"/>
      <c r="E710" s="244"/>
      <c r="F710" s="244"/>
      <c r="G710" s="244"/>
      <c r="H710" s="244"/>
      <c r="I710" s="244"/>
      <c r="J710" s="244"/>
      <c r="K710" s="244"/>
      <c r="L710" s="244"/>
      <c r="M710" s="244"/>
      <c r="N710" s="244"/>
      <c r="O710" s="244"/>
      <c r="P710" s="244"/>
      <c r="Q710" s="244"/>
      <c r="R710" s="244"/>
      <c r="S710" s="244"/>
      <c r="T710" s="244"/>
      <c r="U710" s="244"/>
      <c r="V710" s="244"/>
      <c r="W710" s="244"/>
      <c r="X710" s="244"/>
      <c r="Y710" s="244"/>
    </row>
    <row r="711" spans="1:26" x14ac:dyDescent="0.25">
      <c r="A711" s="243" t="s">
        <v>514</v>
      </c>
      <c r="B711" s="244"/>
      <c r="C711" s="244"/>
      <c r="D711" s="244"/>
      <c r="E711" s="244"/>
      <c r="F711" s="244"/>
      <c r="G711" s="244"/>
      <c r="H711" s="244"/>
      <c r="I711" s="244"/>
      <c r="J711" s="244"/>
      <c r="K711" s="244"/>
      <c r="L711" s="244"/>
      <c r="M711" s="244"/>
      <c r="N711" s="244"/>
      <c r="O711" s="244"/>
      <c r="P711" s="244"/>
      <c r="Q711" s="244"/>
      <c r="R711" s="244"/>
      <c r="S711" s="244"/>
      <c r="T711" s="244"/>
      <c r="U711" s="244"/>
      <c r="V711" s="244"/>
      <c r="W711" s="244"/>
      <c r="X711" s="244"/>
      <c r="Y711" s="244"/>
    </row>
    <row r="712" spans="1:26" x14ac:dyDescent="0.25">
      <c r="A712" s="243" t="s">
        <v>515</v>
      </c>
      <c r="B712" s="244"/>
      <c r="C712" s="244"/>
      <c r="D712" s="244"/>
      <c r="E712" s="244"/>
      <c r="F712" s="244"/>
      <c r="G712" s="244"/>
      <c r="H712" s="244"/>
      <c r="I712" s="244"/>
      <c r="J712" s="244"/>
      <c r="K712" s="244"/>
      <c r="L712" s="244"/>
      <c r="M712" s="244"/>
      <c r="N712" s="244"/>
      <c r="O712" s="244"/>
      <c r="P712" s="244"/>
      <c r="Q712" s="244"/>
      <c r="R712" s="244"/>
      <c r="S712" s="244"/>
      <c r="T712" s="244"/>
      <c r="U712" s="244"/>
      <c r="V712" s="244"/>
      <c r="W712" s="244"/>
      <c r="X712" s="244"/>
      <c r="Y712" s="244"/>
    </row>
    <row r="713" spans="1:26" x14ac:dyDescent="0.25">
      <c r="A713" s="243" t="s">
        <v>516</v>
      </c>
      <c r="B713" s="244"/>
      <c r="C713" s="244"/>
      <c r="D713" s="244"/>
      <c r="E713" s="244"/>
      <c r="F713" s="244"/>
      <c r="G713" s="244"/>
      <c r="H713" s="244"/>
      <c r="I713" s="244"/>
      <c r="J713" s="244"/>
      <c r="K713" s="244"/>
      <c r="L713" s="244"/>
      <c r="M713" s="244"/>
      <c r="N713" s="244"/>
      <c r="O713" s="244"/>
      <c r="P713" s="244"/>
      <c r="Q713" s="244"/>
      <c r="R713" s="244"/>
      <c r="S713" s="244"/>
      <c r="T713" s="244"/>
      <c r="U713" s="244"/>
      <c r="V713" s="244"/>
      <c r="W713" s="244"/>
      <c r="X713" s="244"/>
      <c r="Y713" s="244"/>
    </row>
    <row r="714" spans="1:26" x14ac:dyDescent="0.25">
      <c r="A714" s="243" t="s">
        <v>517</v>
      </c>
      <c r="B714" s="244"/>
      <c r="C714" s="244"/>
      <c r="D714" s="244"/>
      <c r="E714" s="244"/>
      <c r="F714" s="244"/>
      <c r="G714" s="244"/>
      <c r="H714" s="244"/>
      <c r="I714" s="244"/>
      <c r="J714" s="244"/>
      <c r="K714" s="244"/>
      <c r="L714" s="244"/>
      <c r="M714" s="244"/>
      <c r="N714" s="244"/>
      <c r="O714" s="244"/>
      <c r="P714" s="244"/>
      <c r="Q714" s="244"/>
      <c r="R714" s="244"/>
      <c r="S714" s="244"/>
      <c r="T714" s="244"/>
      <c r="U714" s="244"/>
      <c r="V714" s="244"/>
      <c r="W714" s="244"/>
      <c r="X714" s="244"/>
      <c r="Y714" s="244"/>
    </row>
    <row r="715" spans="1:26" x14ac:dyDescent="0.25">
      <c r="A715" s="243" t="s">
        <v>522</v>
      </c>
      <c r="B715" s="244"/>
      <c r="C715" s="244"/>
      <c r="D715" s="244"/>
      <c r="E715" s="244"/>
      <c r="F715" s="244"/>
      <c r="G715" s="244"/>
      <c r="H715" s="244"/>
      <c r="I715" s="244"/>
      <c r="J715" s="244"/>
      <c r="K715" s="244"/>
      <c r="L715" s="244"/>
      <c r="M715" s="244"/>
      <c r="N715" s="244"/>
      <c r="O715" s="244"/>
      <c r="P715" s="244"/>
      <c r="Q715" s="244"/>
      <c r="R715" s="244"/>
      <c r="S715" s="244"/>
      <c r="T715" s="244"/>
      <c r="U715" s="244"/>
      <c r="V715" s="244"/>
      <c r="W715" s="244"/>
      <c r="X715" s="244"/>
      <c r="Y715" s="244"/>
    </row>
    <row r="716" spans="1:26" x14ac:dyDescent="0.25">
      <c r="A716" s="243" t="s">
        <v>532</v>
      </c>
      <c r="B716" s="244"/>
      <c r="C716" s="244"/>
      <c r="D716" s="244"/>
      <c r="E716" s="244"/>
      <c r="F716" s="244"/>
      <c r="G716" s="244"/>
      <c r="H716" s="244"/>
      <c r="I716" s="244"/>
      <c r="J716" s="244"/>
      <c r="K716" s="244"/>
      <c r="L716" s="244"/>
      <c r="M716" s="244"/>
      <c r="N716" s="244"/>
      <c r="O716" s="244"/>
      <c r="P716" s="244"/>
      <c r="Q716" s="244"/>
      <c r="R716" s="244"/>
      <c r="S716" s="244"/>
      <c r="T716" s="244"/>
      <c r="U716" s="244"/>
      <c r="V716" s="244"/>
      <c r="W716" s="244"/>
      <c r="X716" s="244"/>
      <c r="Y716" s="244"/>
    </row>
    <row r="717" spans="1:26" x14ac:dyDescent="0.25">
      <c r="A717" s="243" t="s">
        <v>533</v>
      </c>
      <c r="B717" s="244"/>
      <c r="C717" s="244"/>
      <c r="D717" s="244"/>
      <c r="E717" s="244"/>
      <c r="F717" s="244"/>
      <c r="G717" s="244"/>
      <c r="H717" s="244"/>
      <c r="I717" s="244"/>
      <c r="J717" s="244"/>
      <c r="K717" s="244"/>
      <c r="L717" s="244"/>
      <c r="M717" s="244"/>
      <c r="N717" s="244"/>
      <c r="O717" s="244"/>
      <c r="P717" s="244"/>
      <c r="Q717" s="244"/>
      <c r="R717" s="244"/>
      <c r="S717" s="244"/>
      <c r="T717" s="244"/>
      <c r="U717" s="244"/>
      <c r="V717" s="244"/>
      <c r="W717" s="244"/>
      <c r="X717" s="244"/>
      <c r="Y717" s="244"/>
    </row>
    <row r="718" spans="1:26" x14ac:dyDescent="0.25">
      <c r="A718" s="243" t="s">
        <v>534</v>
      </c>
      <c r="B718" s="244"/>
      <c r="C718" s="244"/>
      <c r="D718" s="244"/>
      <c r="E718" s="244"/>
      <c r="F718" s="244"/>
      <c r="G718" s="244"/>
      <c r="H718" s="244"/>
      <c r="I718" s="244"/>
      <c r="J718" s="244"/>
      <c r="K718" s="244"/>
      <c r="L718" s="244"/>
      <c r="M718" s="244"/>
      <c r="N718" s="244"/>
      <c r="O718" s="244"/>
      <c r="P718" s="244"/>
      <c r="Q718" s="244"/>
      <c r="R718" s="244"/>
      <c r="S718" s="244"/>
      <c r="T718" s="244"/>
      <c r="U718" s="244"/>
      <c r="V718" s="244"/>
      <c r="W718" s="244"/>
      <c r="X718" s="244"/>
      <c r="Y718" s="244"/>
    </row>
    <row r="719" spans="1:26" x14ac:dyDescent="0.25">
      <c r="A719" s="243" t="s">
        <v>535</v>
      </c>
      <c r="B719" s="244"/>
      <c r="C719" s="244"/>
      <c r="D719" s="244"/>
      <c r="E719" s="244"/>
      <c r="F719" s="244"/>
      <c r="G719" s="244"/>
      <c r="H719" s="244"/>
      <c r="I719" s="244"/>
      <c r="J719" s="244"/>
      <c r="K719" s="244"/>
      <c r="L719" s="244"/>
      <c r="M719" s="244"/>
      <c r="N719" s="244"/>
      <c r="O719" s="244"/>
      <c r="P719" s="244"/>
      <c r="Q719" s="244"/>
      <c r="R719" s="244"/>
      <c r="S719" s="244"/>
      <c r="T719" s="244"/>
      <c r="U719" s="244"/>
      <c r="V719" s="244"/>
      <c r="W719" s="244"/>
      <c r="X719" s="244"/>
      <c r="Y719" s="244"/>
    </row>
    <row r="720" spans="1:26" x14ac:dyDescent="0.25">
      <c r="A720" s="243" t="s">
        <v>536</v>
      </c>
      <c r="B720" s="244"/>
      <c r="C720" s="244"/>
      <c r="D720" s="244"/>
      <c r="E720" s="244"/>
      <c r="F720" s="244"/>
      <c r="G720" s="244"/>
      <c r="H720" s="244"/>
      <c r="I720" s="244"/>
      <c r="J720" s="244"/>
      <c r="K720" s="244"/>
      <c r="L720" s="244"/>
      <c r="M720" s="244"/>
      <c r="N720" s="244"/>
      <c r="O720" s="244"/>
      <c r="P720" s="244"/>
      <c r="Q720" s="244"/>
      <c r="R720" s="244"/>
      <c r="S720" s="244"/>
      <c r="T720" s="244"/>
      <c r="U720" s="244"/>
      <c r="V720" s="244"/>
      <c r="W720" s="244"/>
      <c r="X720" s="244"/>
      <c r="Y720" s="244"/>
    </row>
    <row r="721" spans="1:25" x14ac:dyDescent="0.25">
      <c r="A721" s="243" t="s">
        <v>537</v>
      </c>
      <c r="B721" s="244"/>
      <c r="C721" s="244"/>
      <c r="D721" s="244"/>
      <c r="E721" s="244"/>
      <c r="F721" s="244"/>
      <c r="G721" s="244"/>
      <c r="H721" s="244"/>
      <c r="I721" s="244"/>
      <c r="J721" s="244"/>
      <c r="K721" s="244"/>
      <c r="L721" s="244"/>
      <c r="M721" s="244"/>
      <c r="N721" s="244"/>
      <c r="O721" s="244"/>
      <c r="P721" s="244"/>
      <c r="Q721" s="244"/>
      <c r="R721" s="244"/>
      <c r="S721" s="244"/>
      <c r="T721" s="244"/>
      <c r="U721" s="244"/>
      <c r="V721" s="244"/>
      <c r="W721" s="244"/>
      <c r="X721" s="244"/>
      <c r="Y721" s="244"/>
    </row>
    <row r="722" spans="1:25" x14ac:dyDescent="0.25">
      <c r="A722" s="243" t="s">
        <v>538</v>
      </c>
      <c r="B722" s="244"/>
      <c r="C722" s="244"/>
      <c r="D722" s="244"/>
      <c r="E722" s="244"/>
      <c r="F722" s="244"/>
      <c r="G722" s="244"/>
      <c r="H722" s="244"/>
      <c r="I722" s="244"/>
      <c r="J722" s="244"/>
      <c r="K722" s="244"/>
      <c r="L722" s="244"/>
      <c r="M722" s="244"/>
      <c r="N722" s="244"/>
      <c r="O722" s="244"/>
      <c r="P722" s="244"/>
      <c r="Q722" s="244"/>
      <c r="R722" s="244"/>
      <c r="S722" s="244"/>
      <c r="T722" s="244"/>
      <c r="U722" s="244"/>
      <c r="V722" s="244"/>
      <c r="W722" s="244"/>
      <c r="X722" s="244"/>
      <c r="Y722" s="244"/>
    </row>
    <row r="723" spans="1:25" x14ac:dyDescent="0.25">
      <c r="A723" s="243" t="s">
        <v>541</v>
      </c>
      <c r="B723" s="244"/>
      <c r="C723" s="244"/>
      <c r="D723" s="244"/>
      <c r="E723" s="244"/>
      <c r="F723" s="244"/>
      <c r="G723" s="244"/>
      <c r="H723" s="244"/>
      <c r="I723" s="244"/>
      <c r="J723" s="244"/>
      <c r="K723" s="244"/>
      <c r="L723" s="244"/>
      <c r="M723" s="244"/>
      <c r="N723" s="244"/>
      <c r="O723" s="244"/>
      <c r="P723" s="244"/>
      <c r="Q723" s="244"/>
      <c r="R723" s="244"/>
      <c r="S723" s="244"/>
      <c r="T723" s="244"/>
      <c r="U723" s="244"/>
      <c r="V723" s="244"/>
      <c r="W723" s="244"/>
      <c r="X723" s="244"/>
      <c r="Y723" s="244"/>
    </row>
    <row r="724" spans="1:25" x14ac:dyDescent="0.25">
      <c r="A724" s="243" t="s">
        <v>542</v>
      </c>
      <c r="B724" s="244"/>
      <c r="C724" s="244"/>
      <c r="D724" s="244"/>
      <c r="E724" s="244"/>
      <c r="F724" s="244"/>
      <c r="G724" s="244"/>
      <c r="H724" s="244"/>
      <c r="I724" s="244"/>
      <c r="J724" s="244"/>
      <c r="K724" s="244"/>
      <c r="L724" s="244"/>
      <c r="M724" s="244"/>
      <c r="N724" s="244"/>
      <c r="O724" s="244"/>
      <c r="P724" s="244"/>
      <c r="Q724" s="244"/>
      <c r="R724" s="244"/>
      <c r="S724" s="244"/>
      <c r="T724" s="244"/>
      <c r="U724" s="244"/>
      <c r="V724" s="244"/>
      <c r="W724" s="244"/>
      <c r="X724" s="244"/>
      <c r="Y724" s="244"/>
    </row>
    <row r="725" spans="1:25" x14ac:dyDescent="0.25">
      <c r="A725" s="243" t="s">
        <v>543</v>
      </c>
      <c r="B725" s="244"/>
      <c r="C725" s="244"/>
      <c r="D725" s="244"/>
      <c r="E725" s="244"/>
      <c r="F725" s="244"/>
      <c r="G725" s="244"/>
      <c r="H725" s="244"/>
      <c r="I725" s="244"/>
      <c r="J725" s="244"/>
      <c r="K725" s="244"/>
      <c r="L725" s="244"/>
      <c r="M725" s="244"/>
      <c r="N725" s="244"/>
      <c r="O725" s="244"/>
      <c r="P725" s="244"/>
      <c r="Q725" s="244"/>
      <c r="R725" s="244"/>
      <c r="S725" s="244"/>
      <c r="T725" s="244"/>
      <c r="U725" s="244"/>
      <c r="V725" s="244"/>
      <c r="W725" s="244"/>
      <c r="X725" s="244"/>
      <c r="Y725" s="244"/>
    </row>
    <row r="726" spans="1:25" x14ac:dyDescent="0.25">
      <c r="A726" s="243" t="s">
        <v>544</v>
      </c>
      <c r="B726" s="244"/>
      <c r="C726" s="244"/>
      <c r="D726" s="244"/>
      <c r="E726" s="244"/>
      <c r="F726" s="244"/>
      <c r="G726" s="244"/>
      <c r="H726" s="244"/>
      <c r="I726" s="244"/>
      <c r="J726" s="244"/>
      <c r="K726" s="244"/>
      <c r="L726" s="244"/>
      <c r="M726" s="244"/>
      <c r="N726" s="244"/>
      <c r="O726" s="244"/>
      <c r="P726" s="244"/>
      <c r="Q726" s="244"/>
      <c r="R726" s="244"/>
      <c r="S726" s="244"/>
      <c r="T726" s="244"/>
      <c r="U726" s="244"/>
      <c r="V726" s="244"/>
      <c r="W726" s="244"/>
      <c r="X726" s="244"/>
      <c r="Y726" s="244"/>
    </row>
    <row r="727" spans="1:25" x14ac:dyDescent="0.25">
      <c r="A727" s="243" t="s">
        <v>545</v>
      </c>
      <c r="B727" s="244"/>
      <c r="C727" s="244"/>
      <c r="D727" s="244"/>
      <c r="E727" s="244"/>
      <c r="F727" s="244"/>
      <c r="G727" s="244"/>
      <c r="H727" s="244"/>
      <c r="I727" s="244"/>
      <c r="J727" s="244"/>
      <c r="K727" s="244"/>
      <c r="L727" s="244"/>
      <c r="M727" s="244"/>
      <c r="N727" s="244"/>
      <c r="O727" s="244"/>
      <c r="P727" s="244"/>
      <c r="Q727" s="244"/>
      <c r="R727" s="244"/>
      <c r="S727" s="244"/>
      <c r="T727" s="244"/>
      <c r="U727" s="244"/>
      <c r="V727" s="244"/>
      <c r="W727" s="244"/>
      <c r="X727" s="244"/>
      <c r="Y727" s="244"/>
    </row>
    <row r="728" spans="1:25" x14ac:dyDescent="0.25">
      <c r="A728" s="243" t="s">
        <v>546</v>
      </c>
      <c r="B728" s="244"/>
      <c r="C728" s="244"/>
      <c r="D728" s="244"/>
      <c r="E728" s="244"/>
      <c r="F728" s="244"/>
      <c r="G728" s="244"/>
      <c r="H728" s="244"/>
      <c r="I728" s="244"/>
      <c r="J728" s="244"/>
      <c r="K728" s="244"/>
      <c r="L728" s="244"/>
      <c r="M728" s="244"/>
      <c r="N728" s="244"/>
      <c r="O728" s="244"/>
      <c r="P728" s="244"/>
      <c r="Q728" s="244"/>
      <c r="R728" s="244"/>
      <c r="S728" s="244"/>
      <c r="T728" s="244"/>
      <c r="U728" s="244"/>
      <c r="V728" s="244"/>
      <c r="W728" s="244"/>
      <c r="X728" s="244"/>
      <c r="Y728" s="244"/>
    </row>
    <row r="729" spans="1:25" x14ac:dyDescent="0.25">
      <c r="A729" s="243" t="s">
        <v>547</v>
      </c>
      <c r="B729" s="244"/>
      <c r="C729" s="244"/>
      <c r="D729" s="244"/>
      <c r="E729" s="244"/>
      <c r="F729" s="244"/>
      <c r="G729" s="244"/>
      <c r="H729" s="244"/>
      <c r="I729" s="244"/>
      <c r="J729" s="244"/>
      <c r="K729" s="244"/>
      <c r="L729" s="244"/>
      <c r="M729" s="244"/>
      <c r="N729" s="244"/>
      <c r="O729" s="244"/>
      <c r="P729" s="244"/>
      <c r="Q729" s="244"/>
      <c r="R729" s="244"/>
      <c r="S729" s="244"/>
      <c r="T729" s="244"/>
      <c r="U729" s="244"/>
      <c r="V729" s="244"/>
      <c r="W729" s="244"/>
      <c r="X729" s="244"/>
      <c r="Y729" s="244"/>
    </row>
    <row r="730" spans="1:25" x14ac:dyDescent="0.25">
      <c r="A730" s="243" t="s">
        <v>548</v>
      </c>
      <c r="B730" s="244"/>
      <c r="C730" s="244"/>
      <c r="D730" s="244"/>
      <c r="E730" s="244"/>
      <c r="F730" s="244"/>
      <c r="G730" s="244"/>
      <c r="H730" s="244"/>
      <c r="I730" s="244"/>
      <c r="J730" s="244"/>
      <c r="K730" s="244"/>
      <c r="L730" s="244"/>
      <c r="M730" s="244"/>
      <c r="N730" s="244"/>
      <c r="O730" s="244"/>
      <c r="P730" s="244"/>
      <c r="Q730" s="244"/>
      <c r="R730" s="244"/>
      <c r="S730" s="244"/>
      <c r="T730" s="244"/>
      <c r="U730" s="244"/>
      <c r="V730" s="244"/>
      <c r="W730" s="244"/>
      <c r="X730" s="244"/>
      <c r="Y730" s="244"/>
    </row>
    <row r="731" spans="1:25" ht="13.8" thickBot="1" x14ac:dyDescent="0.3">
      <c r="A731" s="248" t="s">
        <v>553</v>
      </c>
      <c r="B731" s="253"/>
      <c r="C731" s="253"/>
      <c r="D731" s="253"/>
      <c r="E731" s="253"/>
      <c r="F731" s="253"/>
      <c r="G731" s="253"/>
      <c r="H731" s="253"/>
      <c r="I731" s="253"/>
      <c r="J731" s="253"/>
      <c r="K731" s="253"/>
      <c r="L731" s="253"/>
      <c r="M731" s="253"/>
      <c r="N731" s="253"/>
      <c r="O731" s="253"/>
      <c r="P731" s="253"/>
      <c r="Q731" s="253"/>
      <c r="R731" s="253"/>
      <c r="S731" s="253"/>
      <c r="T731" s="253"/>
      <c r="U731" s="253"/>
      <c r="V731" s="253"/>
      <c r="W731" s="253"/>
      <c r="X731" s="253"/>
      <c r="Y731" s="253"/>
    </row>
    <row r="732" spans="1:25" x14ac:dyDescent="0.25">
      <c r="A732" s="1676" t="s">
        <v>427</v>
      </c>
      <c r="B732" s="1676"/>
      <c r="C732" s="1676"/>
      <c r="D732" s="1676"/>
      <c r="E732" s="1676"/>
      <c r="F732" s="1676"/>
      <c r="G732" s="1676"/>
      <c r="H732" s="1676"/>
      <c r="I732" s="1676"/>
      <c r="J732" s="1676"/>
      <c r="K732" s="1676"/>
      <c r="L732" s="1676"/>
      <c r="M732" s="1676"/>
      <c r="N732" s="289"/>
      <c r="O732" s="289"/>
      <c r="P732" s="289"/>
      <c r="Q732" s="289"/>
      <c r="R732" s="289"/>
      <c r="S732" s="289"/>
      <c r="T732" s="289"/>
      <c r="U732" s="289"/>
      <c r="V732" s="289"/>
      <c r="W732" s="289"/>
      <c r="X732" s="289"/>
      <c r="Y732" s="289"/>
    </row>
    <row r="733" spans="1:25" x14ac:dyDescent="0.25">
      <c r="A733" s="289" t="s">
        <v>1071</v>
      </c>
      <c r="B733" s="289"/>
      <c r="C733" s="289"/>
      <c r="D733" s="289"/>
      <c r="E733" s="289"/>
      <c r="F733" s="289"/>
      <c r="G733" s="289"/>
      <c r="H733" s="289"/>
      <c r="I733" s="289"/>
      <c r="J733" s="289"/>
      <c r="K733" s="289"/>
      <c r="L733" s="289"/>
      <c r="M733" s="289"/>
      <c r="N733" s="289"/>
      <c r="O733" s="289"/>
      <c r="P733" s="289"/>
      <c r="Q733" s="289"/>
      <c r="R733" s="289"/>
      <c r="S733" s="289"/>
      <c r="T733" s="289"/>
      <c r="U733" s="289"/>
      <c r="V733" s="289"/>
      <c r="W733" s="289"/>
      <c r="X733" s="289"/>
      <c r="Y733" s="289"/>
    </row>
    <row r="736" spans="1:25" ht="13.8" thickBot="1" x14ac:dyDescent="0.3">
      <c r="A736" s="1674" t="s">
        <v>554</v>
      </c>
      <c r="B736" s="1675"/>
      <c r="C736" s="1675"/>
      <c r="D736" s="254"/>
      <c r="E736" s="254"/>
      <c r="F736" s="254"/>
      <c r="G736" s="254"/>
      <c r="H736" s="254"/>
      <c r="I736" s="254"/>
      <c r="J736" s="254"/>
    </row>
    <row r="737" spans="1:10" ht="53.4" thickTop="1" x14ac:dyDescent="0.25">
      <c r="A737" s="255"/>
      <c r="B737" s="256" t="s">
        <v>555</v>
      </c>
      <c r="C737" s="256" t="s">
        <v>556</v>
      </c>
      <c r="D737" s="256" t="s">
        <v>557</v>
      </c>
      <c r="E737" s="256" t="s">
        <v>579</v>
      </c>
      <c r="F737" s="257"/>
      <c r="G737" s="257"/>
      <c r="H737" s="257"/>
      <c r="I737" s="257"/>
      <c r="J737" s="258"/>
    </row>
    <row r="738" spans="1:10" x14ac:dyDescent="0.25">
      <c r="A738" s="259"/>
      <c r="B738" s="260"/>
      <c r="C738" s="260"/>
      <c r="D738" s="260"/>
      <c r="E738" s="260"/>
      <c r="F738" s="260"/>
      <c r="G738" s="260"/>
      <c r="H738" s="260"/>
      <c r="I738" s="260"/>
      <c r="J738" s="261"/>
    </row>
    <row r="739" spans="1:10" x14ac:dyDescent="0.25">
      <c r="A739" s="259"/>
      <c r="B739" s="260"/>
      <c r="C739" s="260"/>
      <c r="D739" s="260"/>
      <c r="E739" s="260"/>
      <c r="F739" s="260"/>
      <c r="G739" s="260"/>
      <c r="H739" s="260"/>
      <c r="I739" s="260"/>
      <c r="J739" s="261"/>
    </row>
    <row r="740" spans="1:10" x14ac:dyDescent="0.25">
      <c r="A740" s="259" t="s">
        <v>558</v>
      </c>
      <c r="B740" s="271">
        <v>1.0439774739816527</v>
      </c>
      <c r="C740" s="271">
        <v>1.0284486209328481</v>
      </c>
      <c r="D740" s="271">
        <v>1.0094828736442827</v>
      </c>
      <c r="E740" s="271">
        <f t="shared" ref="E740:E747" si="82">F752/E752</f>
        <v>1.0704312355553662</v>
      </c>
      <c r="F740" s="260"/>
      <c r="G740" s="260"/>
      <c r="H740" s="260"/>
      <c r="I740" s="260"/>
      <c r="J740" s="261"/>
    </row>
    <row r="741" spans="1:10" x14ac:dyDescent="0.25">
      <c r="A741" s="259" t="s">
        <v>559</v>
      </c>
      <c r="B741" s="260">
        <v>1.2097805877102306</v>
      </c>
      <c r="C741" s="260">
        <v>1.1729343042703535</v>
      </c>
      <c r="D741" s="260">
        <v>1.0576447680901178</v>
      </c>
      <c r="E741" s="260">
        <f t="shared" si="82"/>
        <v>1.1340871534488071</v>
      </c>
      <c r="F741" s="260"/>
      <c r="G741" s="260"/>
      <c r="H741" s="260"/>
      <c r="I741" s="260"/>
      <c r="J741" s="261"/>
    </row>
    <row r="742" spans="1:10" x14ac:dyDescent="0.25">
      <c r="A742" s="259" t="s">
        <v>560</v>
      </c>
      <c r="B742" s="267">
        <v>1.1697889782905726</v>
      </c>
      <c r="C742" s="267">
        <v>1.1485262991479412</v>
      </c>
      <c r="D742" s="267">
        <v>1.049508766382647</v>
      </c>
      <c r="E742" s="267">
        <f t="shared" si="82"/>
        <v>1.1040561955262993</v>
      </c>
      <c r="F742" s="260"/>
      <c r="G742" s="260"/>
      <c r="H742" s="260"/>
      <c r="I742" s="260"/>
      <c r="J742" s="261"/>
    </row>
    <row r="743" spans="1:10" x14ac:dyDescent="0.25">
      <c r="A743" s="259" t="s">
        <v>561</v>
      </c>
      <c r="B743" s="260">
        <v>1.1587647303602575</v>
      </c>
      <c r="C743" s="260">
        <v>1.0854096786599328</v>
      </c>
      <c r="D743" s="260">
        <v>1.0284698928866443</v>
      </c>
      <c r="E743" s="260">
        <f t="shared" si="82"/>
        <v>1.363594657351775</v>
      </c>
      <c r="F743" s="260"/>
      <c r="G743" s="260"/>
      <c r="H743" s="260"/>
      <c r="I743" s="260"/>
      <c r="J743" s="261"/>
    </row>
    <row r="744" spans="1:10" x14ac:dyDescent="0.25">
      <c r="A744" s="259" t="s">
        <v>562</v>
      </c>
      <c r="B744" s="273">
        <v>1.1587647303602575</v>
      </c>
      <c r="C744" s="273">
        <v>1.0854096786599328</v>
      </c>
      <c r="D744" s="273">
        <v>1.0284698928866443</v>
      </c>
      <c r="E744" s="273">
        <f t="shared" si="82"/>
        <v>1.3635946573517748</v>
      </c>
      <c r="F744" s="260"/>
      <c r="G744" s="260"/>
      <c r="H744" s="260"/>
      <c r="I744" s="260"/>
      <c r="J744" s="261"/>
    </row>
    <row r="745" spans="1:10" x14ac:dyDescent="0.25">
      <c r="A745" s="259" t="s">
        <v>563</v>
      </c>
      <c r="B745" s="269">
        <v>0.99410318905494366</v>
      </c>
      <c r="C745" s="269">
        <v>1.0095287120834378</v>
      </c>
      <c r="D745" s="269">
        <v>1.0031762373611459</v>
      </c>
      <c r="E745" s="269">
        <f t="shared" si="82"/>
        <v>0.97316968165904427</v>
      </c>
      <c r="F745" s="260"/>
      <c r="G745" s="260"/>
      <c r="H745" s="260"/>
      <c r="I745" s="260"/>
      <c r="J745" s="261"/>
    </row>
    <row r="746" spans="1:10" x14ac:dyDescent="0.25">
      <c r="A746" s="259" t="s">
        <v>564</v>
      </c>
      <c r="B746" s="291">
        <v>1.0099752422488564</v>
      </c>
      <c r="C746" s="291">
        <v>1.0050974522479115</v>
      </c>
      <c r="D746" s="291">
        <v>1.0016991507493038</v>
      </c>
      <c r="E746" s="291">
        <f t="shared" si="82"/>
        <v>0.99922998787640482</v>
      </c>
      <c r="F746" s="260"/>
      <c r="G746" s="260"/>
      <c r="H746" s="260"/>
      <c r="I746" s="260"/>
      <c r="J746" s="261"/>
    </row>
    <row r="747" spans="1:10" x14ac:dyDescent="0.25">
      <c r="A747" s="259" t="s">
        <v>311</v>
      </c>
      <c r="B747" s="275">
        <v>1.0099752422488564</v>
      </c>
      <c r="C747" s="275">
        <v>1.0050974522479115</v>
      </c>
      <c r="D747" s="275">
        <v>1.0016991507493038</v>
      </c>
      <c r="E747" s="275">
        <f t="shared" si="82"/>
        <v>0.99922998787640471</v>
      </c>
      <c r="F747" s="260"/>
      <c r="G747" s="260"/>
      <c r="H747" s="260"/>
      <c r="I747" s="260"/>
      <c r="J747" s="261"/>
    </row>
    <row r="748" spans="1:10" x14ac:dyDescent="0.25">
      <c r="A748" s="259"/>
      <c r="B748" s="260"/>
      <c r="C748" s="260"/>
      <c r="D748" s="260"/>
      <c r="E748" s="260"/>
      <c r="F748" s="260"/>
      <c r="G748" s="260"/>
      <c r="H748" s="260"/>
      <c r="I748" s="260"/>
      <c r="J748" s="261"/>
    </row>
    <row r="749" spans="1:10" x14ac:dyDescent="0.25">
      <c r="A749" s="259"/>
      <c r="B749" s="260"/>
      <c r="C749" s="260"/>
      <c r="D749" s="260"/>
      <c r="E749" s="1673" t="s">
        <v>565</v>
      </c>
      <c r="F749" s="1673"/>
      <c r="G749" s="1673"/>
      <c r="H749" s="1673"/>
      <c r="I749" s="1673"/>
      <c r="J749" s="262"/>
    </row>
    <row r="750" spans="1:10" x14ac:dyDescent="0.25">
      <c r="A750" s="259" t="s">
        <v>566</v>
      </c>
      <c r="B750" s="260"/>
      <c r="C750" s="260" t="s">
        <v>567</v>
      </c>
      <c r="D750" s="260" t="s">
        <v>567</v>
      </c>
      <c r="E750" s="260"/>
      <c r="F750" s="260"/>
      <c r="G750" s="260"/>
      <c r="H750" s="260"/>
      <c r="I750" s="260"/>
      <c r="J750" s="261"/>
    </row>
    <row r="751" spans="1:10" x14ac:dyDescent="0.25">
      <c r="A751" s="259"/>
      <c r="B751" s="260" t="s">
        <v>1031</v>
      </c>
      <c r="C751" s="260">
        <v>2000</v>
      </c>
      <c r="D751" s="260">
        <v>2005</v>
      </c>
      <c r="E751" s="260">
        <v>2020</v>
      </c>
      <c r="F751" s="260">
        <v>2035</v>
      </c>
      <c r="G751" s="260">
        <v>2050</v>
      </c>
      <c r="H751" s="260">
        <v>2065</v>
      </c>
      <c r="I751" s="260">
        <v>2080</v>
      </c>
      <c r="J751" s="261"/>
    </row>
    <row r="752" spans="1:10" x14ac:dyDescent="0.25">
      <c r="A752" s="259" t="s">
        <v>558</v>
      </c>
      <c r="B752" s="260" t="s">
        <v>568</v>
      </c>
      <c r="C752" s="260">
        <v>25.276500000000002</v>
      </c>
      <c r="D752" s="260">
        <v>25.071000000000002</v>
      </c>
      <c r="E752" s="260">
        <v>24.427484559</v>
      </c>
      <c r="F752" s="260">
        <v>26.147942478000001</v>
      </c>
      <c r="G752" s="260">
        <v>27.297862937999998</v>
      </c>
      <c r="H752" s="260">
        <v>28.074449492999999</v>
      </c>
      <c r="I752" s="260">
        <v>29.9967939</v>
      </c>
      <c r="J752" s="261"/>
    </row>
    <row r="753" spans="1:10" x14ac:dyDescent="0.25">
      <c r="A753" s="259" t="s">
        <v>559</v>
      </c>
      <c r="B753" s="260" t="s">
        <v>569</v>
      </c>
      <c r="C753" s="260">
        <v>3.83</v>
      </c>
      <c r="D753" s="260">
        <v>2.88</v>
      </c>
      <c r="E753" s="260">
        <v>3.1020351176470586</v>
      </c>
      <c r="F753" s="260">
        <v>3.5179781764705877</v>
      </c>
      <c r="G753" s="260">
        <v>4.2559817058823528</v>
      </c>
      <c r="H753" s="260">
        <v>4.9919869411764699</v>
      </c>
      <c r="I753" s="260">
        <v>5.7211905294117642</v>
      </c>
      <c r="J753" s="261"/>
    </row>
    <row r="754" spans="1:10" x14ac:dyDescent="0.25">
      <c r="A754" s="259" t="s">
        <v>560</v>
      </c>
      <c r="B754" s="260" t="s">
        <v>569</v>
      </c>
      <c r="C754" s="260">
        <v>4.333333333333333</v>
      </c>
      <c r="D754" s="260">
        <v>3.2058823529411766</v>
      </c>
      <c r="E754" s="260">
        <v>4.0727964705882354</v>
      </c>
      <c r="F754" s="260">
        <v>4.4965961764705868</v>
      </c>
      <c r="G754" s="260">
        <v>5.2600686470588229</v>
      </c>
      <c r="H754" s="260">
        <v>6.0413271764705883</v>
      </c>
      <c r="I754" s="260">
        <v>6.8262844117647052</v>
      </c>
      <c r="J754" s="261"/>
    </row>
    <row r="755" spans="1:10" x14ac:dyDescent="0.25">
      <c r="A755" s="259" t="s">
        <v>561</v>
      </c>
      <c r="B755" s="260" t="s">
        <v>570</v>
      </c>
      <c r="C755" s="260">
        <v>28.35</v>
      </c>
      <c r="D755" s="260">
        <v>23.27</v>
      </c>
      <c r="E755" s="260">
        <v>17.294973600000002</v>
      </c>
      <c r="F755" s="260">
        <v>23.583333599999996</v>
      </c>
      <c r="G755" s="260">
        <v>27.327535199999996</v>
      </c>
      <c r="H755" s="260">
        <v>29.661571199999997</v>
      </c>
      <c r="I755" s="260"/>
      <c r="J755" s="261"/>
    </row>
    <row r="756" spans="1:10" x14ac:dyDescent="0.25">
      <c r="A756" s="259" t="s">
        <v>562</v>
      </c>
      <c r="B756" s="260" t="s">
        <v>571</v>
      </c>
      <c r="C756" s="260">
        <v>1.5176666666666667</v>
      </c>
      <c r="D756" s="260">
        <v>1.2925714285714285</v>
      </c>
      <c r="E756" s="260">
        <v>0.93587519480519499</v>
      </c>
      <c r="F756" s="260">
        <v>1.2761544155844153</v>
      </c>
      <c r="G756" s="260">
        <v>1.4787627272727271</v>
      </c>
      <c r="H756" s="260">
        <v>1.6050633766233764</v>
      </c>
      <c r="I756" s="260"/>
      <c r="J756" s="261"/>
    </row>
    <row r="757" spans="1:10" x14ac:dyDescent="0.25">
      <c r="A757" s="259" t="s">
        <v>563</v>
      </c>
      <c r="B757" s="260" t="s">
        <v>572</v>
      </c>
      <c r="C757" s="260">
        <v>6.9</v>
      </c>
      <c r="D757" s="260">
        <v>6.4</v>
      </c>
      <c r="E757" s="260">
        <v>6.9130361604720001</v>
      </c>
      <c r="F757" s="260">
        <v>6.7275571995839982</v>
      </c>
      <c r="G757" s="260">
        <v>6.6878860666559987</v>
      </c>
      <c r="H757" s="260">
        <v>6.7516130074319989</v>
      </c>
      <c r="I757" s="260">
        <v>6.8294477356799987</v>
      </c>
      <c r="J757" s="261"/>
    </row>
    <row r="758" spans="1:10" x14ac:dyDescent="0.25">
      <c r="A758" s="259" t="s">
        <v>564</v>
      </c>
      <c r="B758" s="260" t="s">
        <v>573</v>
      </c>
      <c r="C758" s="260"/>
      <c r="D758" s="260"/>
      <c r="E758" s="260">
        <v>3.8637053999999993</v>
      </c>
      <c r="F758" s="260">
        <v>3.8607302999999993</v>
      </c>
      <c r="G758" s="260">
        <v>3.8992420199999995</v>
      </c>
      <c r="H758" s="260">
        <v>3.9191182199999997</v>
      </c>
      <c r="I758" s="260">
        <v>4.4580291000000001</v>
      </c>
      <c r="J758" s="261"/>
    </row>
    <row r="759" spans="1:10" x14ac:dyDescent="0.25">
      <c r="A759" s="259" t="s">
        <v>311</v>
      </c>
      <c r="B759" s="260" t="s">
        <v>573</v>
      </c>
      <c r="C759" s="260"/>
      <c r="D759" s="260"/>
      <c r="E759" s="260">
        <v>19.318526999999996</v>
      </c>
      <c r="F759" s="260">
        <v>19.303651499999994</v>
      </c>
      <c r="G759" s="260">
        <v>19.496210099999995</v>
      </c>
      <c r="H759" s="260">
        <v>19.595591099999996</v>
      </c>
      <c r="I759" s="260">
        <v>22.290145499999998</v>
      </c>
      <c r="J759" s="261"/>
    </row>
    <row r="760" spans="1:10" x14ac:dyDescent="0.25">
      <c r="A760" s="259"/>
      <c r="B760" s="260"/>
      <c r="C760" s="260"/>
      <c r="D760" s="260"/>
      <c r="E760" s="260"/>
      <c r="F760" s="260"/>
      <c r="G760" s="260"/>
      <c r="H760" s="260"/>
      <c r="I760" s="260"/>
      <c r="J760" s="261"/>
    </row>
    <row r="761" spans="1:10" ht="39.6" x14ac:dyDescent="0.25">
      <c r="A761" s="263" t="s">
        <v>574</v>
      </c>
      <c r="B761" s="260" t="s">
        <v>568</v>
      </c>
      <c r="C761" s="260"/>
      <c r="D761" s="260"/>
      <c r="E761" s="260">
        <v>76.455732879999985</v>
      </c>
      <c r="F761" s="260">
        <v>76.404561159999986</v>
      </c>
      <c r="G761" s="260">
        <v>77.066962743999994</v>
      </c>
      <c r="H761" s="260">
        <v>77.40883338399999</v>
      </c>
      <c r="I761" s="260">
        <v>86.678100520000001</v>
      </c>
      <c r="J761" s="261"/>
    </row>
    <row r="762" spans="1:10" ht="13.8" thickBot="1" x14ac:dyDescent="0.3">
      <c r="A762" s="264"/>
      <c r="B762" s="265">
        <v>17.2</v>
      </c>
      <c r="C762" s="265" t="s">
        <v>575</v>
      </c>
      <c r="D762" s="265"/>
      <c r="E762" s="265"/>
      <c r="F762" s="265"/>
      <c r="G762" s="265"/>
      <c r="H762" s="265"/>
      <c r="I762" s="265"/>
      <c r="J762" s="266"/>
    </row>
    <row r="763" spans="1:10" ht="13.8" thickTop="1" x14ac:dyDescent="0.25"/>
    <row r="764" spans="1:10" x14ac:dyDescent="0.25">
      <c r="A764" s="434" t="s">
        <v>802</v>
      </c>
    </row>
    <row r="765" spans="1:10" x14ac:dyDescent="0.25">
      <c r="A765" t="s">
        <v>796</v>
      </c>
    </row>
    <row r="766" spans="1:10" x14ac:dyDescent="0.25">
      <c r="A766" t="s">
        <v>797</v>
      </c>
    </row>
    <row r="767" spans="1:10" x14ac:dyDescent="0.25">
      <c r="A767" t="s">
        <v>798</v>
      </c>
    </row>
    <row r="769" spans="1:27" x14ac:dyDescent="0.25">
      <c r="A769" t="s">
        <v>437</v>
      </c>
    </row>
    <row r="770" spans="1:27" x14ac:dyDescent="0.25">
      <c r="A770" t="s">
        <v>711</v>
      </c>
    </row>
    <row r="773" spans="1:27" x14ac:dyDescent="0.25">
      <c r="AA773" t="s">
        <v>799</v>
      </c>
    </row>
    <row r="774" spans="1:27" x14ac:dyDescent="0.25">
      <c r="B774" t="s">
        <v>443</v>
      </c>
      <c r="C774" t="s">
        <v>444</v>
      </c>
      <c r="D774" t="s">
        <v>445</v>
      </c>
      <c r="E774" t="s">
        <v>446</v>
      </c>
      <c r="F774" t="s">
        <v>447</v>
      </c>
      <c r="G774" t="s">
        <v>448</v>
      </c>
      <c r="H774" t="s">
        <v>449</v>
      </c>
      <c r="I774" t="s">
        <v>450</v>
      </c>
      <c r="J774" t="s">
        <v>451</v>
      </c>
      <c r="K774" t="s">
        <v>452</v>
      </c>
      <c r="L774" t="s">
        <v>453</v>
      </c>
      <c r="M774" t="s">
        <v>454</v>
      </c>
      <c r="N774" t="s">
        <v>455</v>
      </c>
      <c r="O774" t="s">
        <v>456</v>
      </c>
      <c r="P774" t="s">
        <v>457</v>
      </c>
      <c r="Q774" t="s">
        <v>458</v>
      </c>
      <c r="R774" t="s">
        <v>459</v>
      </c>
      <c r="S774" t="s">
        <v>460</v>
      </c>
      <c r="T774" t="s">
        <v>461</v>
      </c>
      <c r="U774" t="s">
        <v>462</v>
      </c>
      <c r="V774" t="s">
        <v>593</v>
      </c>
      <c r="W774" t="s">
        <v>594</v>
      </c>
      <c r="X774" t="s">
        <v>595</v>
      </c>
      <c r="Y774" t="s">
        <v>596</v>
      </c>
      <c r="Z774" t="s">
        <v>597</v>
      </c>
      <c r="AA774" t="s">
        <v>597</v>
      </c>
    </row>
    <row r="777" spans="1:27" x14ac:dyDescent="0.25">
      <c r="A777" t="s">
        <v>463</v>
      </c>
    </row>
    <row r="778" spans="1:27" x14ac:dyDescent="0.25">
      <c r="A778" t="s">
        <v>598</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599</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500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469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470</v>
      </c>
    </row>
    <row r="784" spans="1:27" x14ac:dyDescent="0.25">
      <c r="A784" t="s">
        <v>598</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599</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712</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500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469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601</v>
      </c>
    </row>
    <row r="791" spans="1:27" x14ac:dyDescent="0.25">
      <c r="A791" t="s">
        <v>598</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599</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600</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602</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603</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604</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605</v>
      </c>
      <c r="B797" t="s">
        <v>777</v>
      </c>
      <c r="C797" t="s">
        <v>777</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777</v>
      </c>
    </row>
    <row r="798" spans="1:27" x14ac:dyDescent="0.25">
      <c r="A798" t="s">
        <v>469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477</v>
      </c>
    </row>
    <row r="801" spans="1:27" x14ac:dyDescent="0.25">
      <c r="A801" t="s">
        <v>606</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607</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608</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609</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713</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600</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611</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469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612</v>
      </c>
    </row>
    <row r="811" spans="1:27" x14ac:dyDescent="0.25">
      <c r="A811" t="s">
        <v>599</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600</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500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613</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614</v>
      </c>
    </row>
    <row r="817" spans="1:27" x14ac:dyDescent="0.25">
      <c r="A817" t="s">
        <v>598</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607</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608</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615</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599</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600</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500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603</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616</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605</v>
      </c>
      <c r="B826" t="s">
        <v>777</v>
      </c>
      <c r="C826" t="s">
        <v>777</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777</v>
      </c>
    </row>
    <row r="827" spans="1:27" x14ac:dyDescent="0.25">
      <c r="A827" t="s">
        <v>469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503</v>
      </c>
    </row>
    <row r="830" spans="1:27" x14ac:dyDescent="0.25">
      <c r="A830" t="s">
        <v>714</v>
      </c>
    </row>
    <row r="831" spans="1:27" x14ac:dyDescent="0.25">
      <c r="A831" t="s">
        <v>463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470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505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477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506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618</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508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715</v>
      </c>
    </row>
    <row r="841" spans="1:27" x14ac:dyDescent="0.25">
      <c r="A841" t="s">
        <v>463</v>
      </c>
    </row>
    <row r="842" spans="1:27" x14ac:dyDescent="0.25">
      <c r="A842" t="s">
        <v>598</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599</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500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469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470</v>
      </c>
    </row>
    <row r="848" spans="1:27" x14ac:dyDescent="0.25">
      <c r="A848" t="s">
        <v>598</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599</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712</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500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469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601</v>
      </c>
    </row>
    <row r="855" spans="1:27" x14ac:dyDescent="0.25">
      <c r="A855" t="s">
        <v>598</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599</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600</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602</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603</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604</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605</v>
      </c>
      <c r="B861" t="s">
        <v>777</v>
      </c>
      <c r="C861" t="s">
        <v>777</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777</v>
      </c>
    </row>
    <row r="862" spans="1:27" x14ac:dyDescent="0.25">
      <c r="A862" t="s">
        <v>469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299" t="s">
        <v>477</v>
      </c>
      <c r="B864" s="299"/>
      <c r="C864" s="299"/>
      <c r="D864" s="299"/>
      <c r="E864" s="299"/>
      <c r="F864" s="299"/>
      <c r="G864" s="299"/>
      <c r="H864" s="299"/>
      <c r="I864" s="299"/>
      <c r="J864" s="299"/>
      <c r="K864" s="299"/>
      <c r="L864" s="299"/>
      <c r="M864" s="299"/>
      <c r="N864" s="299"/>
      <c r="O864" s="299"/>
      <c r="P864" s="299"/>
      <c r="Q864" s="299"/>
      <c r="R864" s="299"/>
      <c r="S864" s="299"/>
      <c r="T864" s="299"/>
      <c r="U864" s="299"/>
      <c r="V864" s="299"/>
      <c r="W864" s="299"/>
      <c r="X864" s="299"/>
      <c r="Y864" s="299"/>
      <c r="Z864" s="299"/>
    </row>
    <row r="865" spans="1:27" x14ac:dyDescent="0.25">
      <c r="A865" t="s">
        <v>606</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607</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608</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609</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713</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600</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611</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469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612</v>
      </c>
    </row>
    <row r="875" spans="1:27" x14ac:dyDescent="0.25">
      <c r="A875" t="s">
        <v>599</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600</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500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613</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614</v>
      </c>
    </row>
    <row r="881" spans="1:27" x14ac:dyDescent="0.25">
      <c r="A881" t="s">
        <v>598</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607</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608</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615</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599</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600</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500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603</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616</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605</v>
      </c>
      <c r="B890" t="s">
        <v>777</v>
      </c>
      <c r="C890" t="s">
        <v>777</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777</v>
      </c>
    </row>
    <row r="891" spans="1:27" x14ac:dyDescent="0.25">
      <c r="A891" t="s">
        <v>469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503</v>
      </c>
    </row>
    <row r="894" spans="1:27" x14ac:dyDescent="0.25">
      <c r="A894" t="s">
        <v>716</v>
      </c>
    </row>
    <row r="895" spans="1:27" x14ac:dyDescent="0.25">
      <c r="A895" t="s">
        <v>463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470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505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477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506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618</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508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619</v>
      </c>
    </row>
    <row r="906" spans="1:27" x14ac:dyDescent="0.25">
      <c r="A906" t="s">
        <v>620</v>
      </c>
    </row>
    <row r="907" spans="1:27" x14ac:dyDescent="0.25">
      <c r="A907" t="s">
        <v>621</v>
      </c>
    </row>
    <row r="908" spans="1:27" x14ac:dyDescent="0.25">
      <c r="A908" t="s">
        <v>717</v>
      </c>
    </row>
    <row r="909" spans="1:27" x14ac:dyDescent="0.25">
      <c r="A909" t="s">
        <v>718</v>
      </c>
    </row>
    <row r="910" spans="1:27" x14ac:dyDescent="0.25">
      <c r="A910" t="s">
        <v>638</v>
      </c>
    </row>
    <row r="911" spans="1:27" x14ac:dyDescent="0.25">
      <c r="A911" t="s">
        <v>639</v>
      </c>
    </row>
    <row r="912" spans="1:27" x14ac:dyDescent="0.25">
      <c r="A912" t="s">
        <v>640</v>
      </c>
    </row>
    <row r="913" spans="1:1" x14ac:dyDescent="0.25">
      <c r="A913" t="s">
        <v>641</v>
      </c>
    </row>
    <row r="914" spans="1:1" x14ac:dyDescent="0.25">
      <c r="A914" t="s">
        <v>642</v>
      </c>
    </row>
    <row r="915" spans="1:1" x14ac:dyDescent="0.25">
      <c r="A915" t="s">
        <v>643</v>
      </c>
    </row>
    <row r="916" spans="1:1" x14ac:dyDescent="0.25">
      <c r="A916" t="s">
        <v>535</v>
      </c>
    </row>
    <row r="917" spans="1:1" x14ac:dyDescent="0.25">
      <c r="A917" t="s">
        <v>719</v>
      </c>
    </row>
    <row r="918" spans="1:1" x14ac:dyDescent="0.25">
      <c r="A918" t="s">
        <v>720</v>
      </c>
    </row>
    <row r="919" spans="1:1" x14ac:dyDescent="0.25">
      <c r="A919" t="s">
        <v>721</v>
      </c>
    </row>
    <row r="920" spans="1:1" x14ac:dyDescent="0.25">
      <c r="A920" t="s">
        <v>722</v>
      </c>
    </row>
    <row r="921" spans="1:1" x14ac:dyDescent="0.25">
      <c r="A921" t="s">
        <v>723</v>
      </c>
    </row>
    <row r="922" spans="1:1" x14ac:dyDescent="0.25">
      <c r="A922" t="s">
        <v>724</v>
      </c>
    </row>
    <row r="923" spans="1:1" x14ac:dyDescent="0.25">
      <c r="A923" t="s">
        <v>725</v>
      </c>
    </row>
    <row r="924" spans="1:1" x14ac:dyDescent="0.25">
      <c r="A924" t="s">
        <v>726</v>
      </c>
    </row>
    <row r="925" spans="1:1" x14ac:dyDescent="0.25">
      <c r="A925" t="s">
        <v>727</v>
      </c>
    </row>
    <row r="926" spans="1:1" x14ac:dyDescent="0.25">
      <c r="A926" t="s">
        <v>728</v>
      </c>
    </row>
    <row r="927" spans="1:1" x14ac:dyDescent="0.25">
      <c r="A927" t="s">
        <v>800</v>
      </c>
    </row>
    <row r="928" spans="1:1" x14ac:dyDescent="0.25">
      <c r="A928" t="s">
        <v>730</v>
      </c>
    </row>
    <row r="929" spans="1:1" x14ac:dyDescent="0.25">
      <c r="A929" t="s">
        <v>801</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3"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6"/>
  <sheetViews>
    <sheetView topLeftCell="A91" zoomScale="85" zoomScaleNormal="85" workbookViewId="0">
      <selection activeCell="L95" sqref="L95:L124"/>
    </sheetView>
  </sheetViews>
  <sheetFormatPr defaultRowHeight="13.2" x14ac:dyDescent="0.25"/>
  <cols>
    <col min="1" max="1" width="33" customWidth="1"/>
    <col min="2" max="2" width="28.5546875" customWidth="1"/>
    <col min="3" max="3" width="14" customWidth="1"/>
    <col min="4" max="4" width="12.6640625" customWidth="1"/>
    <col min="5" max="5" width="15.33203125" customWidth="1"/>
    <col min="6" max="6" width="21.44140625" customWidth="1"/>
    <col min="7" max="8" width="14" customWidth="1"/>
    <col min="9" max="9" width="15.33203125" customWidth="1"/>
    <col min="10" max="10" width="17.6640625" customWidth="1"/>
    <col min="11" max="11" width="19.33203125" customWidth="1"/>
    <col min="12" max="12" width="17.33203125" customWidth="1"/>
    <col min="13" max="14" width="18.6640625" customWidth="1"/>
    <col min="15" max="15" width="8.5546875" customWidth="1"/>
    <col min="16" max="18" width="18.6640625" customWidth="1"/>
    <col min="19" max="20" width="13.44140625" customWidth="1"/>
    <col min="23" max="23" width="12.44140625" bestFit="1" customWidth="1"/>
  </cols>
  <sheetData>
    <row r="1" spans="1:23" ht="13.8" x14ac:dyDescent="0.25">
      <c r="A1" s="466" t="s">
        <v>300</v>
      </c>
      <c r="B1" s="467"/>
      <c r="C1" s="467"/>
      <c r="D1" s="468"/>
      <c r="E1" s="467"/>
      <c r="F1" s="467"/>
      <c r="G1" s="467"/>
      <c r="H1" s="467"/>
      <c r="I1" s="467"/>
      <c r="J1" s="467"/>
      <c r="K1" s="467"/>
    </row>
    <row r="2" spans="1:23" ht="12.75" customHeight="1" x14ac:dyDescent="0.3">
      <c r="A2" s="1694" t="s">
        <v>855</v>
      </c>
      <c r="B2" s="1695"/>
      <c r="C2" s="1695"/>
      <c r="D2" s="1695"/>
      <c r="E2" s="1695"/>
      <c r="F2" s="1695"/>
      <c r="G2" s="1695"/>
      <c r="H2" s="1695"/>
      <c r="I2" s="1695"/>
      <c r="J2" s="1695"/>
      <c r="K2" s="1695"/>
    </row>
    <row r="3" spans="1:23" ht="13.8" thickBot="1" x14ac:dyDescent="0.3">
      <c r="A3" s="1696"/>
      <c r="B3" s="1696"/>
      <c r="C3" s="1696"/>
      <c r="D3" s="1696"/>
      <c r="E3" s="1696"/>
      <c r="F3" s="1696"/>
      <c r="G3" s="1696"/>
      <c r="H3" s="1696"/>
      <c r="I3" s="1696"/>
      <c r="J3" s="1696"/>
      <c r="K3" s="1696"/>
    </row>
    <row r="4" spans="1:23" ht="13.8" x14ac:dyDescent="0.25">
      <c r="A4" s="3" t="s">
        <v>301</v>
      </c>
      <c r="B4" s="4"/>
      <c r="C4" s="1697" t="s">
        <v>302</v>
      </c>
      <c r="D4" s="1697"/>
      <c r="E4" s="1697"/>
      <c r="F4" s="5"/>
      <c r="G4" s="1697" t="s">
        <v>303</v>
      </c>
      <c r="H4" s="1697"/>
      <c r="I4" s="1697"/>
      <c r="J4" s="5"/>
      <c r="K4" s="6" t="s">
        <v>304</v>
      </c>
      <c r="O4" s="2" t="s">
        <v>622</v>
      </c>
    </row>
    <row r="5" spans="1:23" x14ac:dyDescent="0.25">
      <c r="A5" s="7" t="s">
        <v>856</v>
      </c>
      <c r="B5" s="8"/>
      <c r="C5" s="9" t="s">
        <v>857</v>
      </c>
      <c r="D5" s="9" t="s">
        <v>305</v>
      </c>
      <c r="E5" s="9" t="s">
        <v>306</v>
      </c>
      <c r="F5" s="9"/>
      <c r="G5" s="9" t="s">
        <v>857</v>
      </c>
      <c r="H5" s="9" t="s">
        <v>305</v>
      </c>
      <c r="I5" s="9" t="s">
        <v>306</v>
      </c>
      <c r="J5" s="9"/>
      <c r="K5" s="10" t="s">
        <v>858</v>
      </c>
      <c r="O5" s="1"/>
      <c r="P5" s="1"/>
      <c r="Q5" s="477"/>
      <c r="R5" s="477">
        <v>2005</v>
      </c>
      <c r="S5" s="477">
        <v>2007</v>
      </c>
      <c r="T5" s="477">
        <v>2005</v>
      </c>
      <c r="U5" s="477">
        <v>2007</v>
      </c>
      <c r="V5" s="476"/>
      <c r="W5" s="476"/>
    </row>
    <row r="6" spans="1:23" x14ac:dyDescent="0.25">
      <c r="A6" s="15" t="s">
        <v>519</v>
      </c>
      <c r="B6" s="12"/>
      <c r="C6" s="13">
        <v>983</v>
      </c>
      <c r="D6" s="14">
        <f>C6/$K6*453.59</f>
        <v>20267.225909090906</v>
      </c>
      <c r="E6" s="469">
        <f>D6*1.05506/1000*2.2046</f>
        <v>47.141269049911173</v>
      </c>
      <c r="F6" s="13"/>
      <c r="G6" s="13">
        <v>1089</v>
      </c>
      <c r="H6" s="14">
        <f>G6/$K6*453.59</f>
        <v>22452.704999999998</v>
      </c>
      <c r="I6" s="469">
        <f>H6*1.05506/1000*2.2046</f>
        <v>52.224661236371581</v>
      </c>
      <c r="J6" s="13"/>
      <c r="K6" s="470">
        <v>22</v>
      </c>
      <c r="O6" s="1" t="s">
        <v>247</v>
      </c>
      <c r="P6" s="1" t="s">
        <v>1031</v>
      </c>
      <c r="Q6" s="477" t="s">
        <v>626</v>
      </c>
      <c r="R6" s="477" t="s">
        <v>625</v>
      </c>
      <c r="S6" s="477" t="s">
        <v>625</v>
      </c>
      <c r="T6" s="477" t="s">
        <v>1020</v>
      </c>
      <c r="U6" s="477" t="s">
        <v>1020</v>
      </c>
      <c r="V6" s="476"/>
      <c r="W6" s="476"/>
    </row>
    <row r="7" spans="1:23" x14ac:dyDescent="0.25">
      <c r="A7" s="15" t="s">
        <v>859</v>
      </c>
      <c r="B7" s="16"/>
      <c r="C7" s="471">
        <v>290</v>
      </c>
      <c r="D7" s="17">
        <f t="shared" ref="D7:D40" si="0">C7/K7*453.59</f>
        <v>51682.028917177428</v>
      </c>
      <c r="E7" s="472">
        <f t="shared" ref="E7:E40" si="1">D7*1.05506/1000*2.2046</f>
        <v>120.21163829516094</v>
      </c>
      <c r="F7" s="18"/>
      <c r="G7" s="19">
        <v>343</v>
      </c>
      <c r="H7" s="17">
        <f t="shared" ref="H7:H40" si="2">G7/$K7*453.59</f>
        <v>61127.365236523648</v>
      </c>
      <c r="I7" s="472">
        <f t="shared" ref="I7:I40" si="3">H7*1.05506/1000*2.2046</f>
        <v>142.1813515008283</v>
      </c>
      <c r="J7" s="18"/>
      <c r="K7" s="473">
        <v>2.5451999999999999</v>
      </c>
      <c r="O7" t="s">
        <v>838</v>
      </c>
      <c r="P7" t="s">
        <v>627</v>
      </c>
      <c r="Q7" s="476">
        <v>930</v>
      </c>
      <c r="R7" s="476">
        <v>1027</v>
      </c>
      <c r="S7" s="476">
        <v>1030</v>
      </c>
      <c r="T7" s="476">
        <f>R7/Q7</f>
        <v>1.1043010752688172</v>
      </c>
      <c r="U7" s="476">
        <f>S7/Q7</f>
        <v>1.10752688172043</v>
      </c>
      <c r="V7" s="476"/>
      <c r="W7" s="476"/>
    </row>
    <row r="8" spans="1:23" x14ac:dyDescent="0.25">
      <c r="A8" s="15" t="s">
        <v>860</v>
      </c>
      <c r="B8" s="16"/>
      <c r="C8" s="471">
        <v>1458</v>
      </c>
      <c r="D8" s="17">
        <f t="shared" si="0"/>
        <v>20162.628658536585</v>
      </c>
      <c r="E8" s="469">
        <f t="shared" si="1"/>
        <v>46.897977385211739</v>
      </c>
      <c r="F8" s="18"/>
      <c r="G8" s="19">
        <v>1584</v>
      </c>
      <c r="H8" s="17">
        <f t="shared" si="2"/>
        <v>21905.078048780488</v>
      </c>
      <c r="I8" s="469">
        <f t="shared" si="3"/>
        <v>50.950889011094226</v>
      </c>
      <c r="J8" s="18"/>
      <c r="K8" s="20">
        <v>32.799999999999997</v>
      </c>
      <c r="O8" t="s">
        <v>839</v>
      </c>
      <c r="P8" t="s">
        <v>627</v>
      </c>
      <c r="Q8" s="476">
        <v>930</v>
      </c>
      <c r="R8" s="476">
        <v>1027</v>
      </c>
      <c r="S8" s="476">
        <v>1030</v>
      </c>
      <c r="T8" s="476">
        <f>R8/Q8</f>
        <v>1.1043010752688172</v>
      </c>
      <c r="U8" s="476">
        <f>S8/Q8</f>
        <v>1.10752688172043</v>
      </c>
      <c r="V8" s="476"/>
      <c r="W8" s="476"/>
    </row>
    <row r="9" spans="1:23" x14ac:dyDescent="0.25">
      <c r="A9" s="7" t="s">
        <v>307</v>
      </c>
      <c r="B9" s="8"/>
      <c r="C9" s="9" t="s">
        <v>308</v>
      </c>
      <c r="D9" s="9" t="s">
        <v>305</v>
      </c>
      <c r="E9" s="9" t="s">
        <v>306</v>
      </c>
      <c r="F9" s="9"/>
      <c r="G9" s="9" t="s">
        <v>308</v>
      </c>
      <c r="H9" s="9" t="s">
        <v>305</v>
      </c>
      <c r="I9" s="9" t="s">
        <v>306</v>
      </c>
      <c r="J9" s="9"/>
      <c r="K9" s="10" t="s">
        <v>309</v>
      </c>
      <c r="O9" t="s">
        <v>840</v>
      </c>
      <c r="P9" t="s">
        <v>627</v>
      </c>
      <c r="Q9" s="476">
        <v>930</v>
      </c>
      <c r="R9" s="476">
        <v>1027</v>
      </c>
      <c r="S9" s="476">
        <v>1030</v>
      </c>
      <c r="T9" s="476">
        <f>R9/Q9</f>
        <v>1.1043010752688172</v>
      </c>
      <c r="U9" s="476">
        <f>S9/Q9</f>
        <v>1.10752688172043</v>
      </c>
      <c r="V9" s="476"/>
      <c r="W9" s="476"/>
    </row>
    <row r="10" spans="1:23" x14ac:dyDescent="0.25">
      <c r="A10" s="11" t="s">
        <v>861</v>
      </c>
      <c r="B10" s="16"/>
      <c r="C10" s="19">
        <v>129670</v>
      </c>
      <c r="D10" s="17">
        <f t="shared" si="0"/>
        <v>18351.642839313572</v>
      </c>
      <c r="E10" s="469">
        <f t="shared" si="1"/>
        <v>42.685651034654214</v>
      </c>
      <c r="F10" s="18"/>
      <c r="G10" s="19">
        <v>138350</v>
      </c>
      <c r="H10" s="17">
        <f t="shared" si="2"/>
        <v>19580.086271450855</v>
      </c>
      <c r="I10" s="469">
        <f t="shared" si="3"/>
        <v>45.542992370204438</v>
      </c>
      <c r="J10" s="18"/>
      <c r="K10" s="21">
        <v>3205</v>
      </c>
      <c r="O10" t="s">
        <v>915</v>
      </c>
      <c r="Q10" s="476"/>
      <c r="R10" s="476"/>
      <c r="S10" s="476"/>
      <c r="T10" s="476">
        <v>1</v>
      </c>
      <c r="U10" s="476">
        <v>1</v>
      </c>
      <c r="V10" s="476"/>
      <c r="W10" s="476"/>
    </row>
    <row r="11" spans="1:23" x14ac:dyDescent="0.25">
      <c r="A11" s="11" t="s">
        <v>862</v>
      </c>
      <c r="B11" s="16"/>
      <c r="C11" s="19">
        <v>116090</v>
      </c>
      <c r="D11" s="17">
        <f t="shared" si="0"/>
        <v>18679.412238382403</v>
      </c>
      <c r="E11" s="469">
        <f t="shared" si="1"/>
        <v>43.448037830811678</v>
      </c>
      <c r="F11" s="18"/>
      <c r="G11" s="19">
        <v>124340</v>
      </c>
      <c r="H11" s="17">
        <f t="shared" si="2"/>
        <v>20006.874991131608</v>
      </c>
      <c r="I11" s="469">
        <f t="shared" si="3"/>
        <v>46.535696648144757</v>
      </c>
      <c r="J11" s="18"/>
      <c r="K11" s="21">
        <v>2819</v>
      </c>
      <c r="O11" t="s">
        <v>917</v>
      </c>
      <c r="Q11" s="476"/>
      <c r="R11" s="476"/>
      <c r="S11" s="476"/>
      <c r="T11" s="476">
        <v>1</v>
      </c>
      <c r="U11" s="476">
        <v>1</v>
      </c>
      <c r="V11" s="476"/>
      <c r="W11" s="476"/>
    </row>
    <row r="12" spans="1:23" x14ac:dyDescent="0.25">
      <c r="A12" s="11" t="s">
        <v>863</v>
      </c>
      <c r="B12" s="16"/>
      <c r="C12" s="19">
        <v>113601.50975397152</v>
      </c>
      <c r="D12" s="17">
        <f t="shared" si="0"/>
        <v>18210.67343395916</v>
      </c>
      <c r="E12" s="469">
        <f t="shared" si="1"/>
        <v>42.357758273433376</v>
      </c>
      <c r="F12" s="18"/>
      <c r="G12" s="19">
        <v>121848.38036482914</v>
      </c>
      <c r="H12" s="17">
        <f t="shared" si="2"/>
        <v>19532.672304147527</v>
      </c>
      <c r="I12" s="469">
        <f t="shared" si="3"/>
        <v>45.432708180380153</v>
      </c>
      <c r="J12" s="18"/>
      <c r="K12" s="21">
        <v>2829.5773353012783</v>
      </c>
      <c r="O12" t="s">
        <v>841</v>
      </c>
      <c r="P12" t="s">
        <v>628</v>
      </c>
      <c r="Q12" s="478">
        <v>19546300</v>
      </c>
      <c r="R12" s="478">
        <v>20754000</v>
      </c>
      <c r="S12" s="478">
        <v>20231000</v>
      </c>
      <c r="T12" s="476">
        <f>R12/Q12</f>
        <v>1.0617866296946226</v>
      </c>
      <c r="U12" s="476">
        <f>S12/Q12</f>
        <v>1.0350296475547802</v>
      </c>
      <c r="V12" s="476"/>
      <c r="W12" s="476"/>
    </row>
    <row r="13" spans="1:23" x14ac:dyDescent="0.25">
      <c r="A13" s="11" t="s">
        <v>864</v>
      </c>
      <c r="B13" s="16"/>
      <c r="C13" s="19">
        <v>113927.15396104372</v>
      </c>
      <c r="D13" s="17">
        <f t="shared" si="0"/>
        <v>18271.813278014368</v>
      </c>
      <c r="E13" s="469">
        <f t="shared" si="1"/>
        <v>42.499968650482714</v>
      </c>
      <c r="F13" s="18"/>
      <c r="G13" s="19">
        <v>122174.43408423416</v>
      </c>
      <c r="H13" s="17">
        <f t="shared" si="2"/>
        <v>19594.524828536756</v>
      </c>
      <c r="I13" s="469">
        <f t="shared" si="3"/>
        <v>45.576576241392928</v>
      </c>
      <c r="J13" s="18"/>
      <c r="K13" s="21">
        <v>2828.193183616288</v>
      </c>
      <c r="O13" t="s">
        <v>898</v>
      </c>
      <c r="P13" t="s">
        <v>629</v>
      </c>
      <c r="Q13" s="478">
        <v>128450</v>
      </c>
      <c r="R13" s="478">
        <f>5825000/42</f>
        <v>138690.47619047618</v>
      </c>
      <c r="S13" s="478">
        <f>5799000/42</f>
        <v>138071.42857142858</v>
      </c>
      <c r="T13" s="476">
        <f>R13/Q13</f>
        <v>1.0797234425105191</v>
      </c>
      <c r="U13" s="476">
        <f>S13/Q13</f>
        <v>1.0749040760718458</v>
      </c>
      <c r="V13" s="476"/>
      <c r="W13" s="476"/>
    </row>
    <row r="14" spans="1:23" x14ac:dyDescent="0.25">
      <c r="A14" s="11" t="s">
        <v>865</v>
      </c>
      <c r="B14" s="16"/>
      <c r="C14" s="19">
        <v>128450</v>
      </c>
      <c r="D14" s="17">
        <f t="shared" si="0"/>
        <v>18397.106251973477</v>
      </c>
      <c r="E14" s="469">
        <f t="shared" si="1"/>
        <v>42.791398263097854</v>
      </c>
      <c r="F14" s="18"/>
      <c r="G14" s="19">
        <v>137380</v>
      </c>
      <c r="H14" s="17">
        <f t="shared" si="2"/>
        <v>19676.095421534574</v>
      </c>
      <c r="I14" s="469">
        <f t="shared" si="3"/>
        <v>45.766308239660439</v>
      </c>
      <c r="J14" s="18"/>
      <c r="K14" s="21">
        <v>3167</v>
      </c>
      <c r="O14" t="s">
        <v>896</v>
      </c>
      <c r="P14" t="s">
        <v>629</v>
      </c>
      <c r="Q14" s="478">
        <v>86668</v>
      </c>
      <c r="R14" s="478">
        <v>94706</v>
      </c>
      <c r="S14" s="478">
        <v>94854</v>
      </c>
      <c r="T14" s="476">
        <f>R14/Q14</f>
        <v>1.0927447270041999</v>
      </c>
      <c r="U14" s="476">
        <f>S14/Q14</f>
        <v>1.0944523930401071</v>
      </c>
      <c r="V14" s="476"/>
      <c r="W14" s="476"/>
    </row>
    <row r="15" spans="1:23" x14ac:dyDescent="0.25">
      <c r="A15" s="11" t="s">
        <v>518</v>
      </c>
      <c r="B15" s="16"/>
      <c r="C15" s="19">
        <v>129487.84757606639</v>
      </c>
      <c r="D15" s="17">
        <f t="shared" si="0"/>
        <v>18320.147467881456</v>
      </c>
      <c r="E15" s="469">
        <f t="shared" si="1"/>
        <v>42.612393264440954</v>
      </c>
      <c r="F15" s="18"/>
      <c r="G15" s="19">
        <v>138490</v>
      </c>
      <c r="H15" s="17">
        <f t="shared" si="2"/>
        <v>19593.786369307545</v>
      </c>
      <c r="I15" s="469">
        <f t="shared" si="3"/>
        <v>45.574858596098856</v>
      </c>
      <c r="J15" s="18"/>
      <c r="K15" s="21">
        <v>3206</v>
      </c>
      <c r="O15" t="s">
        <v>842</v>
      </c>
      <c r="P15" t="s">
        <v>629</v>
      </c>
      <c r="Q15" s="478"/>
      <c r="R15" s="478"/>
      <c r="S15" s="478"/>
      <c r="T15" s="476">
        <f>$I$19/$E$19</f>
        <v>1.1388646288209607</v>
      </c>
      <c r="U15" s="476">
        <f>$I$19/$E$19</f>
        <v>1.1388646288209607</v>
      </c>
      <c r="V15" s="476"/>
      <c r="W15" s="476"/>
    </row>
    <row r="16" spans="1:23" x14ac:dyDescent="0.25">
      <c r="A16" s="11" t="s">
        <v>866</v>
      </c>
      <c r="B16" s="16"/>
      <c r="C16" s="19">
        <v>116920</v>
      </c>
      <c r="D16" s="17">
        <f t="shared" si="0"/>
        <v>19320.124881602911</v>
      </c>
      <c r="E16" s="469">
        <f t="shared" si="1"/>
        <v>44.938326005089621</v>
      </c>
      <c r="F16" s="18"/>
      <c r="G16" s="19">
        <v>125080</v>
      </c>
      <c r="H16" s="17">
        <f t="shared" si="2"/>
        <v>20668.501712204008</v>
      </c>
      <c r="I16" s="469">
        <f t="shared" si="3"/>
        <v>48.074630659567319</v>
      </c>
      <c r="J16" s="18"/>
      <c r="K16" s="22">
        <v>2745</v>
      </c>
      <c r="O16" t="s">
        <v>901</v>
      </c>
      <c r="P16" t="s">
        <v>629</v>
      </c>
      <c r="Q16" s="478">
        <v>116090</v>
      </c>
      <c r="R16" s="478">
        <f>5194000/42</f>
        <v>123666.66666666667</v>
      </c>
      <c r="S16" s="478">
        <f>5218000/42</f>
        <v>124238.09523809524</v>
      </c>
      <c r="T16" s="476">
        <f>R16/Q16</f>
        <v>1.0652654549631033</v>
      </c>
      <c r="U16" s="476">
        <f>S16/Q16</f>
        <v>1.0701877443198831</v>
      </c>
      <c r="V16" s="476"/>
      <c r="W16" s="476"/>
    </row>
    <row r="17" spans="1:23" x14ac:dyDescent="0.25">
      <c r="A17" s="11" t="s">
        <v>867</v>
      </c>
      <c r="B17" s="16"/>
      <c r="C17" s="19">
        <v>111520</v>
      </c>
      <c r="D17" s="17">
        <f t="shared" si="0"/>
        <v>19081.236061863448</v>
      </c>
      <c r="E17" s="469">
        <f t="shared" si="1"/>
        <v>44.382674127774621</v>
      </c>
      <c r="F17" s="18"/>
      <c r="G17" s="19">
        <v>119740</v>
      </c>
      <c r="H17" s="17">
        <f t="shared" si="2"/>
        <v>20487.69015465862</v>
      </c>
      <c r="I17" s="469">
        <f t="shared" si="3"/>
        <v>47.654065638986118</v>
      </c>
      <c r="J17" s="18"/>
      <c r="K17" s="21">
        <v>2651</v>
      </c>
      <c r="O17" t="s">
        <v>843</v>
      </c>
      <c r="P17" t="s">
        <v>628</v>
      </c>
      <c r="Q17" s="478">
        <v>16811000</v>
      </c>
      <c r="R17" s="478">
        <v>17200000</v>
      </c>
      <c r="S17" s="478">
        <v>17200000</v>
      </c>
      <c r="T17" s="476">
        <f>R17/Q17</f>
        <v>1.0231396109690083</v>
      </c>
      <c r="U17" s="476">
        <f>S17/Q17</f>
        <v>1.0231396109690083</v>
      </c>
      <c r="V17" s="476"/>
      <c r="W17" s="476"/>
    </row>
    <row r="18" spans="1:23" x14ac:dyDescent="0.25">
      <c r="A18" s="11" t="s">
        <v>868</v>
      </c>
      <c r="B18" s="16"/>
      <c r="C18" s="19">
        <v>140352.52220119376</v>
      </c>
      <c r="D18" s="17">
        <f t="shared" si="0"/>
        <v>16967.617416108602</v>
      </c>
      <c r="E18" s="469">
        <f t="shared" si="1"/>
        <v>39.466428278669781</v>
      </c>
      <c r="F18" s="18"/>
      <c r="G18" s="19">
        <v>150110</v>
      </c>
      <c r="H18" s="17">
        <f t="shared" si="2"/>
        <v>18147.226785714287</v>
      </c>
      <c r="I18" s="469">
        <f t="shared" si="3"/>
        <v>42.210182303804245</v>
      </c>
      <c r="J18" s="18"/>
      <c r="K18" s="21">
        <v>3752</v>
      </c>
      <c r="O18" t="s">
        <v>844</v>
      </c>
      <c r="P18" t="s">
        <v>630</v>
      </c>
      <c r="Q18" s="479">
        <v>2.8300000000000001E-3</v>
      </c>
      <c r="R18" s="478"/>
      <c r="S18" s="478"/>
      <c r="T18" s="476">
        <v>1</v>
      </c>
      <c r="U18" s="476">
        <v>1</v>
      </c>
      <c r="V18" s="476"/>
      <c r="W18" s="476"/>
    </row>
    <row r="19" spans="1:23" x14ac:dyDescent="0.25">
      <c r="A19" s="11" t="s">
        <v>310</v>
      </c>
      <c r="B19" s="23"/>
      <c r="C19" s="19">
        <v>57250</v>
      </c>
      <c r="D19" s="17">
        <f t="shared" si="0"/>
        <v>8638.7317032601459</v>
      </c>
      <c r="E19" s="469">
        <f t="shared" si="1"/>
        <v>20.093562745097504</v>
      </c>
      <c r="F19" s="18"/>
      <c r="G19" s="19">
        <v>65200</v>
      </c>
      <c r="H19" s="17">
        <f t="shared" si="2"/>
        <v>9838.345974717231</v>
      </c>
      <c r="I19" s="469">
        <f t="shared" si="3"/>
        <v>22.883847877386152</v>
      </c>
      <c r="J19" s="18"/>
      <c r="K19" s="22">
        <v>3006</v>
      </c>
      <c r="Q19" s="476"/>
      <c r="R19" s="476"/>
      <c r="S19" s="476"/>
      <c r="T19" s="476"/>
      <c r="U19" s="476"/>
      <c r="V19" s="476"/>
      <c r="W19" s="476"/>
    </row>
    <row r="20" spans="1:23" x14ac:dyDescent="0.25">
      <c r="A20" s="11" t="s">
        <v>311</v>
      </c>
      <c r="B20" s="23"/>
      <c r="C20" s="19">
        <v>76330</v>
      </c>
      <c r="D20" s="17">
        <f t="shared" si="0"/>
        <v>11587.19032797858</v>
      </c>
      <c r="E20" s="469">
        <f t="shared" si="1"/>
        <v>26.95163409308779</v>
      </c>
      <c r="F20" s="18"/>
      <c r="G20" s="19">
        <v>84530</v>
      </c>
      <c r="H20" s="17">
        <f t="shared" si="2"/>
        <v>12831.982161981257</v>
      </c>
      <c r="I20" s="469">
        <f t="shared" si="3"/>
        <v>29.847001570663057</v>
      </c>
      <c r="J20" s="18"/>
      <c r="K20" s="22">
        <v>2988</v>
      </c>
      <c r="Q20" s="476"/>
      <c r="R20" s="476"/>
      <c r="S20" s="476"/>
      <c r="T20" s="476"/>
      <c r="U20" s="476"/>
      <c r="V20" s="476"/>
      <c r="W20" s="476"/>
    </row>
    <row r="21" spans="1:23" x14ac:dyDescent="0.25">
      <c r="A21" s="11" t="s">
        <v>949</v>
      </c>
      <c r="B21" s="23"/>
      <c r="C21" s="19">
        <v>99837</v>
      </c>
      <c r="D21" s="17">
        <f t="shared" si="0"/>
        <v>14774.898802610114</v>
      </c>
      <c r="E21" s="469">
        <f t="shared" si="1"/>
        <v>34.366197069261162</v>
      </c>
      <c r="F21" s="18"/>
      <c r="G21" s="19">
        <v>108458</v>
      </c>
      <c r="H21" s="17">
        <f t="shared" si="2"/>
        <v>16050.722420880913</v>
      </c>
      <c r="I21" s="469">
        <f t="shared" si="3"/>
        <v>37.33374402013208</v>
      </c>
      <c r="J21" s="18"/>
      <c r="K21" s="22">
        <v>3065</v>
      </c>
      <c r="Q21" s="476"/>
      <c r="R21" s="476"/>
      <c r="S21" s="476"/>
      <c r="T21" s="476"/>
      <c r="U21" s="476"/>
      <c r="V21" s="476"/>
      <c r="W21" s="476"/>
    </row>
    <row r="22" spans="1:23" x14ac:dyDescent="0.25">
      <c r="A22" s="11" t="s">
        <v>950</v>
      </c>
      <c r="B22" s="23"/>
      <c r="C22" s="19">
        <v>83127</v>
      </c>
      <c r="D22" s="17">
        <f t="shared" si="0"/>
        <v>12721.179463562754</v>
      </c>
      <c r="E22" s="469">
        <f t="shared" si="1"/>
        <v>29.589276125600549</v>
      </c>
      <c r="F22" s="18"/>
      <c r="G22" s="19">
        <v>89511</v>
      </c>
      <c r="H22" s="17">
        <f t="shared" si="2"/>
        <v>13698.142540485829</v>
      </c>
      <c r="I22" s="469">
        <f t="shared" si="3"/>
        <v>31.861677857719279</v>
      </c>
      <c r="J22" s="18"/>
      <c r="K22" s="22">
        <v>2964</v>
      </c>
      <c r="Q22" s="476"/>
      <c r="R22" s="476"/>
      <c r="S22" s="476"/>
      <c r="T22" s="476"/>
      <c r="U22" s="476"/>
      <c r="V22" s="476"/>
      <c r="W22" s="476"/>
    </row>
    <row r="23" spans="1:23" x14ac:dyDescent="0.25">
      <c r="A23" s="11" t="s">
        <v>869</v>
      </c>
      <c r="B23" s="23"/>
      <c r="C23" s="19">
        <v>116090</v>
      </c>
      <c r="D23" s="17">
        <f t="shared" si="0"/>
        <v>18679.412238382403</v>
      </c>
      <c r="E23" s="469">
        <f t="shared" si="1"/>
        <v>43.448037830811678</v>
      </c>
      <c r="F23" s="18"/>
      <c r="G23" s="19">
        <v>124340</v>
      </c>
      <c r="H23" s="17">
        <f t="shared" si="2"/>
        <v>20006.874991131608</v>
      </c>
      <c r="I23" s="469">
        <f t="shared" si="3"/>
        <v>46.535696648144757</v>
      </c>
      <c r="J23" s="18"/>
      <c r="K23" s="22">
        <v>2819</v>
      </c>
      <c r="Q23" s="476"/>
      <c r="R23" s="476"/>
      <c r="S23" s="476"/>
      <c r="T23" s="476"/>
      <c r="U23" s="476"/>
      <c r="V23" s="476"/>
      <c r="W23" s="476"/>
    </row>
    <row r="24" spans="1:23" x14ac:dyDescent="0.25">
      <c r="A24" s="11" t="s">
        <v>870</v>
      </c>
      <c r="B24" s="23"/>
      <c r="C24" s="19">
        <v>84950</v>
      </c>
      <c r="D24" s="17">
        <f t="shared" si="0"/>
        <v>20037.686167446696</v>
      </c>
      <c r="E24" s="469">
        <f t="shared" si="1"/>
        <v>46.607362990589891</v>
      </c>
      <c r="F24" s="18"/>
      <c r="G24" s="19">
        <v>91410</v>
      </c>
      <c r="H24" s="17">
        <f t="shared" si="2"/>
        <v>21561.446645865835</v>
      </c>
      <c r="I24" s="469">
        <f t="shared" si="3"/>
        <v>50.151607427543532</v>
      </c>
      <c r="J24" s="18"/>
      <c r="K24" s="22">
        <v>1923</v>
      </c>
      <c r="Q24" s="476"/>
      <c r="R24" s="476"/>
      <c r="S24" s="476"/>
      <c r="T24" s="476"/>
      <c r="U24" s="476"/>
      <c r="V24" s="476"/>
      <c r="W24" s="476"/>
    </row>
    <row r="25" spans="1:23" x14ac:dyDescent="0.25">
      <c r="A25" s="11" t="s">
        <v>871</v>
      </c>
      <c r="B25" s="23"/>
      <c r="C25" s="19">
        <v>74720</v>
      </c>
      <c r="D25" s="17">
        <f t="shared" si="0"/>
        <v>20908.23244910549</v>
      </c>
      <c r="E25" s="469">
        <f t="shared" si="1"/>
        <v>48.632240823804793</v>
      </c>
      <c r="F25" s="18"/>
      <c r="G25" s="19">
        <v>84820</v>
      </c>
      <c r="H25" s="17">
        <f t="shared" si="2"/>
        <v>23734.425539790249</v>
      </c>
      <c r="I25" s="469">
        <f t="shared" si="3"/>
        <v>55.205924339870478</v>
      </c>
      <c r="J25" s="18"/>
      <c r="K25" s="22">
        <v>1621</v>
      </c>
      <c r="Q25" s="476"/>
      <c r="R25" s="476"/>
      <c r="S25" s="476"/>
      <c r="T25" s="476"/>
      <c r="U25" s="476"/>
      <c r="V25" s="476"/>
      <c r="W25" s="476"/>
    </row>
    <row r="26" spans="1:23" x14ac:dyDescent="0.25">
      <c r="A26" s="11" t="s">
        <v>872</v>
      </c>
      <c r="B26" s="23"/>
      <c r="C26" s="19">
        <v>68930</v>
      </c>
      <c r="D26" s="17">
        <f t="shared" si="0"/>
        <v>12416.981215250198</v>
      </c>
      <c r="E26" s="469">
        <f t="shared" si="1"/>
        <v>28.881715479040551</v>
      </c>
      <c r="F26" s="18"/>
      <c r="G26" s="19">
        <v>75610</v>
      </c>
      <c r="H26" s="17">
        <f t="shared" si="2"/>
        <v>13620.3097299444</v>
      </c>
      <c r="I26" s="469">
        <f t="shared" si="3"/>
        <v>31.680639886410216</v>
      </c>
      <c r="J26" s="18"/>
      <c r="K26" s="22">
        <v>2518</v>
      </c>
      <c r="Q26" s="476"/>
      <c r="R26" s="476"/>
      <c r="S26" s="476"/>
      <c r="T26" s="476"/>
      <c r="U26" s="476"/>
      <c r="V26" s="476"/>
      <c r="W26" s="476"/>
    </row>
    <row r="27" spans="1:23" x14ac:dyDescent="0.25">
      <c r="A27" s="11" t="s">
        <v>873</v>
      </c>
      <c r="B27" s="23"/>
      <c r="C27" s="19">
        <v>72200</v>
      </c>
      <c r="D27" s="17">
        <f t="shared" si="0"/>
        <v>10061.197542242702</v>
      </c>
      <c r="E27" s="469">
        <f t="shared" si="1"/>
        <v>23.402197342183918</v>
      </c>
      <c r="F27" s="18"/>
      <c r="G27" s="19">
        <v>79196.89540113158</v>
      </c>
      <c r="H27" s="17">
        <f t="shared" si="2"/>
        <v>11036.227276497471</v>
      </c>
      <c r="I27" s="469">
        <f t="shared" si="3"/>
        <v>25.670102147722705</v>
      </c>
      <c r="J27" s="18"/>
      <c r="K27" s="22">
        <v>3255</v>
      </c>
      <c r="Q27" s="476"/>
      <c r="R27" s="476"/>
      <c r="S27" s="476"/>
      <c r="T27" s="476"/>
      <c r="U27" s="476"/>
      <c r="V27" s="476"/>
      <c r="W27" s="476"/>
    </row>
    <row r="28" spans="1:23" x14ac:dyDescent="0.25">
      <c r="A28" s="11" t="s">
        <v>874</v>
      </c>
      <c r="B28" s="23"/>
      <c r="C28" s="19">
        <v>119550</v>
      </c>
      <c r="D28" s="17">
        <f t="shared" si="0"/>
        <v>16134.09238321928</v>
      </c>
      <c r="E28" s="469">
        <f t="shared" si="1"/>
        <v>37.527661324991804</v>
      </c>
      <c r="F28" s="18"/>
      <c r="G28" s="19">
        <v>127960</v>
      </c>
      <c r="H28" s="17">
        <f t="shared" si="2"/>
        <v>17269.079559654863</v>
      </c>
      <c r="I28" s="469">
        <f t="shared" si="3"/>
        <v>40.167624785829787</v>
      </c>
      <c r="J28" s="18"/>
      <c r="K28" s="22">
        <v>3361</v>
      </c>
      <c r="Q28" s="476"/>
      <c r="R28" s="476"/>
      <c r="S28" s="476"/>
      <c r="T28" s="476"/>
      <c r="U28" s="476"/>
      <c r="V28" s="476"/>
      <c r="W28" s="476"/>
    </row>
    <row r="29" spans="1:23" x14ac:dyDescent="0.25">
      <c r="A29" s="11" t="s">
        <v>875</v>
      </c>
      <c r="B29" s="23"/>
      <c r="C29" s="19">
        <v>123670</v>
      </c>
      <c r="D29" s="17">
        <f t="shared" si="0"/>
        <v>18593.130692741131</v>
      </c>
      <c r="E29" s="469">
        <f t="shared" si="1"/>
        <v>43.247348226059557</v>
      </c>
      <c r="F29" s="18"/>
      <c r="G29" s="19">
        <v>130030</v>
      </c>
      <c r="H29" s="17">
        <f t="shared" si="2"/>
        <v>19549.323069274113</v>
      </c>
      <c r="I29" s="469">
        <f t="shared" si="3"/>
        <v>45.471437614898726</v>
      </c>
      <c r="J29" s="18"/>
      <c r="K29" s="22">
        <v>3017</v>
      </c>
      <c r="Q29" s="476"/>
      <c r="R29" s="476"/>
      <c r="S29" s="476"/>
      <c r="T29" s="476"/>
      <c r="U29" s="476"/>
      <c r="V29" s="476"/>
      <c r="W29" s="476"/>
    </row>
    <row r="30" spans="1:23" x14ac:dyDescent="0.25">
      <c r="A30" s="11" t="s">
        <v>951</v>
      </c>
      <c r="B30" s="23"/>
      <c r="C30" s="19">
        <v>117059</v>
      </c>
      <c r="D30" s="17">
        <f t="shared" si="0"/>
        <v>18729.027093474426</v>
      </c>
      <c r="E30" s="469">
        <f t="shared" si="1"/>
        <v>43.563441253226593</v>
      </c>
      <c r="F30" s="18"/>
      <c r="G30" s="19">
        <v>125294</v>
      </c>
      <c r="H30" s="17">
        <f t="shared" si="2"/>
        <v>20046.598045855379</v>
      </c>
      <c r="I30" s="469">
        <f t="shared" si="3"/>
        <v>46.628091888549989</v>
      </c>
      <c r="J30" s="18"/>
      <c r="K30" s="22">
        <v>2835</v>
      </c>
      <c r="Q30" s="476"/>
      <c r="R30" s="476"/>
      <c r="S30" s="476"/>
      <c r="T30" s="476"/>
      <c r="U30" s="476"/>
      <c r="V30" s="476"/>
      <c r="W30" s="476"/>
    </row>
    <row r="31" spans="1:23" x14ac:dyDescent="0.25">
      <c r="A31" s="11" t="s">
        <v>952</v>
      </c>
      <c r="B31" s="23"/>
      <c r="C31" s="19">
        <v>122887</v>
      </c>
      <c r="D31" s="17">
        <f t="shared" si="0"/>
        <v>18907.840681818183</v>
      </c>
      <c r="E31" s="469">
        <f t="shared" si="1"/>
        <v>43.979359026862895</v>
      </c>
      <c r="F31" s="18"/>
      <c r="G31" s="19">
        <v>130817</v>
      </c>
      <c r="H31" s="17">
        <f t="shared" si="2"/>
        <v>20127.979318181817</v>
      </c>
      <c r="I31" s="469">
        <f t="shared" si="3"/>
        <v>46.817383529723436</v>
      </c>
      <c r="J31" s="18"/>
      <c r="K31" s="22">
        <v>2948</v>
      </c>
      <c r="Q31" s="476"/>
      <c r="R31" s="476"/>
      <c r="S31" s="476"/>
      <c r="T31" s="476"/>
      <c r="U31" s="476"/>
      <c r="V31" s="476"/>
      <c r="W31" s="476"/>
    </row>
    <row r="32" spans="1:23" x14ac:dyDescent="0.25">
      <c r="A32" s="11" t="s">
        <v>953</v>
      </c>
      <c r="B32" s="23"/>
      <c r="C32" s="19">
        <v>115983</v>
      </c>
      <c r="D32" s="17">
        <f t="shared" si="0"/>
        <v>18589.656879858656</v>
      </c>
      <c r="E32" s="469">
        <f t="shared" si="1"/>
        <v>43.23926818844334</v>
      </c>
      <c r="F32" s="18"/>
      <c r="G32" s="19">
        <v>124230</v>
      </c>
      <c r="H32" s="17">
        <f t="shared" si="2"/>
        <v>19911.479045936394</v>
      </c>
      <c r="I32" s="469">
        <f t="shared" si="3"/>
        <v>46.313807084230582</v>
      </c>
      <c r="J32" s="18"/>
      <c r="K32" s="22">
        <v>2830</v>
      </c>
      <c r="Q32" s="476"/>
      <c r="R32" s="476"/>
      <c r="S32" s="476"/>
      <c r="T32" s="476"/>
      <c r="U32" s="476"/>
      <c r="V32" s="476"/>
      <c r="W32" s="476"/>
    </row>
    <row r="33" spans="1:23" x14ac:dyDescent="0.25">
      <c r="A33" s="11" t="s">
        <v>876</v>
      </c>
      <c r="B33" s="23"/>
      <c r="C33" s="19">
        <v>30500</v>
      </c>
      <c r="D33" s="17">
        <f t="shared" si="0"/>
        <v>51621.249999999993</v>
      </c>
      <c r="E33" s="472">
        <f t="shared" si="1"/>
        <v>120.070267428715</v>
      </c>
      <c r="F33" s="18"/>
      <c r="G33" s="19">
        <v>36020</v>
      </c>
      <c r="H33" s="17">
        <f t="shared" si="2"/>
        <v>60963.849999999991</v>
      </c>
      <c r="I33" s="472">
        <f t="shared" si="3"/>
        <v>141.80101746827262</v>
      </c>
      <c r="J33" s="18"/>
      <c r="K33" s="22">
        <v>268</v>
      </c>
      <c r="Q33" s="476"/>
      <c r="R33" s="476"/>
      <c r="S33" s="476"/>
      <c r="T33" s="476"/>
      <c r="U33" s="476"/>
      <c r="V33" s="476"/>
      <c r="W33" s="476"/>
    </row>
    <row r="34" spans="1:23" x14ac:dyDescent="0.25">
      <c r="A34" s="11" t="s">
        <v>877</v>
      </c>
      <c r="B34" s="23"/>
      <c r="C34" s="19">
        <v>93540</v>
      </c>
      <c r="D34" s="17">
        <f t="shared" si="0"/>
        <v>15093.848665955175</v>
      </c>
      <c r="E34" s="469">
        <f t="shared" si="1"/>
        <v>35.108069755183983</v>
      </c>
      <c r="F34" s="18"/>
      <c r="G34" s="19">
        <v>101130</v>
      </c>
      <c r="H34" s="17">
        <f t="shared" si="2"/>
        <v>16318.59007470651</v>
      </c>
      <c r="I34" s="469">
        <f t="shared" si="3"/>
        <v>37.95680023884708</v>
      </c>
      <c r="J34" s="18"/>
      <c r="K34" s="22">
        <v>2811</v>
      </c>
      <c r="Q34" s="476"/>
      <c r="R34" s="476"/>
      <c r="S34" s="476"/>
      <c r="T34" s="476"/>
      <c r="U34" s="476"/>
      <c r="V34" s="476"/>
      <c r="W34" s="476"/>
    </row>
    <row r="35" spans="1:23" x14ac:dyDescent="0.25">
      <c r="A35" s="11" t="s">
        <v>878</v>
      </c>
      <c r="B35" s="16"/>
      <c r="C35" s="19">
        <v>96720</v>
      </c>
      <c r="D35" s="17">
        <f t="shared" si="0"/>
        <v>15612.535516014234</v>
      </c>
      <c r="E35" s="469">
        <f t="shared" si="1"/>
        <v>36.314527731276172</v>
      </c>
      <c r="F35" s="18"/>
      <c r="G35" s="19">
        <v>104530</v>
      </c>
      <c r="H35" s="17">
        <f t="shared" si="2"/>
        <v>16873.225160142349</v>
      </c>
      <c r="I35" s="469">
        <f t="shared" si="3"/>
        <v>39.246873281123854</v>
      </c>
      <c r="J35" s="18"/>
      <c r="K35" s="21">
        <v>2810</v>
      </c>
      <c r="Q35" s="476"/>
      <c r="R35" s="476"/>
      <c r="S35" s="476"/>
      <c r="T35" s="476"/>
      <c r="U35" s="476"/>
      <c r="V35" s="476"/>
      <c r="W35" s="476"/>
    </row>
    <row r="36" spans="1:23" x14ac:dyDescent="0.25">
      <c r="A36" s="11" t="s">
        <v>879</v>
      </c>
      <c r="B36" s="16"/>
      <c r="C36" s="19">
        <v>100480</v>
      </c>
      <c r="D36" s="17">
        <f t="shared" si="0"/>
        <v>15645.974322004806</v>
      </c>
      <c r="E36" s="469">
        <f t="shared" si="1"/>
        <v>36.392305901657274</v>
      </c>
      <c r="F36" s="18"/>
      <c r="G36" s="19">
        <v>108570</v>
      </c>
      <c r="H36" s="17">
        <f t="shared" si="2"/>
        <v>16905.687023686918</v>
      </c>
      <c r="I36" s="469">
        <f t="shared" si="3"/>
        <v>39.322379097760042</v>
      </c>
      <c r="J36" s="18"/>
      <c r="K36" s="21">
        <v>2913</v>
      </c>
      <c r="Q36" s="476"/>
      <c r="R36" s="476"/>
      <c r="S36" s="476"/>
      <c r="T36" s="476"/>
      <c r="U36" s="476"/>
      <c r="V36" s="476"/>
      <c r="W36" s="476"/>
    </row>
    <row r="37" spans="1:23" x14ac:dyDescent="0.25">
      <c r="A37" s="11" t="s">
        <v>880</v>
      </c>
      <c r="B37" s="16"/>
      <c r="C37" s="19">
        <v>94970</v>
      </c>
      <c r="D37" s="17">
        <f t="shared" si="0"/>
        <v>19465.631405332126</v>
      </c>
      <c r="E37" s="469">
        <f t="shared" si="1"/>
        <v>45.27677203684572</v>
      </c>
      <c r="F37" s="18"/>
      <c r="G37" s="19">
        <v>103220</v>
      </c>
      <c r="H37" s="17">
        <f t="shared" si="2"/>
        <v>21156.601807501127</v>
      </c>
      <c r="I37" s="469">
        <f t="shared" si="3"/>
        <v>49.209944294442614</v>
      </c>
      <c r="J37" s="18"/>
      <c r="K37" s="21">
        <v>2213</v>
      </c>
      <c r="Q37" s="476"/>
      <c r="R37" s="476"/>
      <c r="S37" s="476"/>
      <c r="T37" s="476"/>
      <c r="U37" s="476"/>
      <c r="V37" s="476"/>
      <c r="W37" s="476"/>
    </row>
    <row r="38" spans="1:23" x14ac:dyDescent="0.25">
      <c r="A38" s="11" t="s">
        <v>881</v>
      </c>
      <c r="B38" s="16"/>
      <c r="C38" s="19">
        <v>90060</v>
      </c>
      <c r="D38" s="17">
        <f t="shared" si="0"/>
        <v>19287.212181303115</v>
      </c>
      <c r="E38" s="469">
        <f t="shared" si="1"/>
        <v>44.861771548798892</v>
      </c>
      <c r="F38" s="18"/>
      <c r="G38" s="19">
        <v>98560</v>
      </c>
      <c r="H38" s="17">
        <f t="shared" si="2"/>
        <v>21107.568649669498</v>
      </c>
      <c r="I38" s="469">
        <f t="shared" si="3"/>
        <v>49.095893891290459</v>
      </c>
      <c r="J38" s="18"/>
      <c r="K38" s="21">
        <v>2118</v>
      </c>
      <c r="Q38" s="476"/>
      <c r="R38" s="476"/>
      <c r="S38" s="476"/>
      <c r="T38" s="476"/>
      <c r="U38" s="476"/>
      <c r="V38" s="476"/>
      <c r="W38" s="476"/>
    </row>
    <row r="39" spans="1:23" x14ac:dyDescent="0.25">
      <c r="A39" s="11" t="s">
        <v>882</v>
      </c>
      <c r="B39" s="16"/>
      <c r="C39" s="19">
        <v>95720</v>
      </c>
      <c r="D39" s="17">
        <f t="shared" si="0"/>
        <v>19271.031868619615</v>
      </c>
      <c r="E39" s="469">
        <f t="shared" si="1"/>
        <v>44.824136379735997</v>
      </c>
      <c r="F39" s="18"/>
      <c r="G39" s="19">
        <v>103010</v>
      </c>
      <c r="H39" s="17">
        <f t="shared" si="2"/>
        <v>20738.706569019083</v>
      </c>
      <c r="I39" s="469">
        <f t="shared" si="3"/>
        <v>48.237926122822877</v>
      </c>
      <c r="J39" s="18"/>
      <c r="K39" s="21">
        <v>2253</v>
      </c>
      <c r="Q39" s="476"/>
      <c r="R39" s="476"/>
      <c r="S39" s="476"/>
      <c r="T39" s="476"/>
      <c r="U39" s="476"/>
      <c r="V39" s="476"/>
      <c r="W39" s="476"/>
    </row>
    <row r="40" spans="1:23" x14ac:dyDescent="0.25">
      <c r="A40" s="11" t="s">
        <v>312</v>
      </c>
      <c r="B40" s="16"/>
      <c r="C40" s="19">
        <v>84250</v>
      </c>
      <c r="D40" s="17">
        <f t="shared" si="0"/>
        <v>19903.623697916668</v>
      </c>
      <c r="E40" s="469">
        <f t="shared" si="1"/>
        <v>46.295535660398848</v>
      </c>
      <c r="F40" s="18"/>
      <c r="G40" s="19">
        <v>91420</v>
      </c>
      <c r="H40" s="17">
        <f t="shared" si="2"/>
        <v>21597.498854166668</v>
      </c>
      <c r="I40" s="469">
        <f t="shared" si="3"/>
        <v>50.235464333218552</v>
      </c>
      <c r="J40" s="18"/>
      <c r="K40" s="21">
        <v>1920</v>
      </c>
      <c r="Q40" s="476"/>
      <c r="R40" s="476"/>
      <c r="S40" s="476"/>
      <c r="T40" s="476"/>
      <c r="U40" s="476"/>
      <c r="V40" s="476"/>
      <c r="W40" s="476"/>
    </row>
    <row r="41" spans="1:23" x14ac:dyDescent="0.25">
      <c r="A41" s="7" t="s">
        <v>313</v>
      </c>
      <c r="B41" s="8"/>
      <c r="C41" s="9" t="s">
        <v>314</v>
      </c>
      <c r="D41" s="9" t="s">
        <v>315</v>
      </c>
      <c r="E41" s="9" t="s">
        <v>306</v>
      </c>
      <c r="F41" s="9"/>
      <c r="G41" s="9" t="s">
        <v>314</v>
      </c>
      <c r="H41" s="9" t="s">
        <v>315</v>
      </c>
      <c r="I41" s="9" t="s">
        <v>306</v>
      </c>
      <c r="J41" s="9"/>
      <c r="K41" s="10"/>
      <c r="Q41" s="476"/>
      <c r="R41" s="476"/>
      <c r="S41" s="476"/>
      <c r="T41" s="476"/>
      <c r="U41" s="476"/>
      <c r="V41" s="476"/>
      <c r="W41" s="476"/>
    </row>
    <row r="42" spans="1:23" x14ac:dyDescent="0.25">
      <c r="A42" s="15" t="s">
        <v>883</v>
      </c>
      <c r="B42" s="16"/>
      <c r="C42" s="24">
        <v>19546300</v>
      </c>
      <c r="D42" s="17">
        <f t="shared" ref="D42:D50" si="4">C42/2000</f>
        <v>9773.15</v>
      </c>
      <c r="E42" s="469">
        <f t="shared" ref="E42:E50" si="5">D42*1.05506/1000*2.2046</f>
        <v>22.7322030001394</v>
      </c>
      <c r="F42" s="18"/>
      <c r="G42" s="19">
        <v>20608570</v>
      </c>
      <c r="H42" s="17">
        <f>G42/2000</f>
        <v>10304.285</v>
      </c>
      <c r="I42" s="469">
        <f t="shared" ref="I42:I50" si="6">H42*1.05506/1000*2.2046</f>
        <v>23.967615189707661</v>
      </c>
      <c r="J42" s="18"/>
      <c r="K42" s="22"/>
      <c r="Q42" s="476"/>
      <c r="R42" s="476"/>
      <c r="S42" s="476"/>
      <c r="T42" s="476"/>
      <c r="U42" s="476"/>
      <c r="V42" s="476"/>
      <c r="W42" s="476"/>
    </row>
    <row r="43" spans="1:23" x14ac:dyDescent="0.25">
      <c r="A43" s="15" t="s">
        <v>884</v>
      </c>
      <c r="B43" s="16"/>
      <c r="C43" s="24">
        <v>22460600</v>
      </c>
      <c r="D43" s="17">
        <f t="shared" si="4"/>
        <v>11230.3</v>
      </c>
      <c r="E43" s="469">
        <f t="shared" si="5"/>
        <v>26.121512445062798</v>
      </c>
      <c r="F43" s="18"/>
      <c r="G43" s="19">
        <v>23445900</v>
      </c>
      <c r="H43" s="17">
        <f t="shared" ref="H43:H50" si="7">G43/2000</f>
        <v>11722.95</v>
      </c>
      <c r="I43" s="469">
        <f t="shared" si="6"/>
        <v>27.267409091284208</v>
      </c>
      <c r="J43" s="18"/>
      <c r="K43" s="22"/>
      <c r="Q43" s="476"/>
      <c r="R43" s="476"/>
      <c r="S43" s="476"/>
      <c r="T43" s="476"/>
      <c r="U43" s="476"/>
      <c r="V43" s="476"/>
      <c r="W43" s="476"/>
    </row>
    <row r="44" spans="1:23" x14ac:dyDescent="0.25">
      <c r="A44" s="11" t="s">
        <v>885</v>
      </c>
      <c r="B44" s="12"/>
      <c r="C44" s="24">
        <v>24600497.144575384</v>
      </c>
      <c r="D44" s="17">
        <f t="shared" si="4"/>
        <v>12300.248572287692</v>
      </c>
      <c r="E44" s="469">
        <f t="shared" si="5"/>
        <v>28.610197070281195</v>
      </c>
      <c r="F44" s="18"/>
      <c r="G44" s="19">
        <v>25679670</v>
      </c>
      <c r="H44" s="17">
        <f t="shared" si="7"/>
        <v>12839.834999999999</v>
      </c>
      <c r="I44" s="469">
        <f t="shared" si="6"/>
        <v>29.865267156269461</v>
      </c>
      <c r="J44" s="18"/>
      <c r="K44" s="22"/>
    </row>
    <row r="45" spans="1:23" x14ac:dyDescent="0.25">
      <c r="A45" s="15" t="s">
        <v>886</v>
      </c>
      <c r="B45" s="16"/>
      <c r="C45" s="24">
        <v>16811000</v>
      </c>
      <c r="D45" s="17">
        <f t="shared" si="4"/>
        <v>8405.5</v>
      </c>
      <c r="E45" s="469">
        <f t="shared" si="5"/>
        <v>19.551069237418005</v>
      </c>
      <c r="F45" s="18"/>
      <c r="G45" s="19">
        <v>17703170</v>
      </c>
      <c r="H45" s="17">
        <f t="shared" si="7"/>
        <v>8851.5849999999991</v>
      </c>
      <c r="I45" s="469">
        <f t="shared" si="6"/>
        <v>20.588656379262464</v>
      </c>
      <c r="J45" s="18"/>
      <c r="K45" s="22"/>
    </row>
    <row r="46" spans="1:23" x14ac:dyDescent="0.25">
      <c r="A46" s="15" t="s">
        <v>887</v>
      </c>
      <c r="B46" s="16"/>
      <c r="C46" s="24">
        <v>14797554.763920812</v>
      </c>
      <c r="D46" s="17">
        <f t="shared" si="4"/>
        <v>7398.7773819604063</v>
      </c>
      <c r="E46" s="469">
        <f t="shared" si="5"/>
        <v>17.209447250841734</v>
      </c>
      <c r="F46" s="18"/>
      <c r="G46" s="19">
        <v>15582870</v>
      </c>
      <c r="H46" s="17">
        <f t="shared" si="7"/>
        <v>7791.4350000000004</v>
      </c>
      <c r="I46" s="469">
        <f t="shared" si="6"/>
        <v>18.122763088911064</v>
      </c>
      <c r="J46" s="18"/>
      <c r="K46" s="22"/>
    </row>
    <row r="47" spans="1:23" x14ac:dyDescent="0.25">
      <c r="A47" s="15" t="s">
        <v>888</v>
      </c>
      <c r="B47" s="16"/>
      <c r="C47" s="24">
        <v>14075990</v>
      </c>
      <c r="D47" s="17">
        <f t="shared" si="4"/>
        <v>7037.9949999999999</v>
      </c>
      <c r="E47" s="469">
        <f t="shared" si="5"/>
        <v>16.370272742561625</v>
      </c>
      <c r="F47" s="18"/>
      <c r="G47" s="19">
        <v>14974460</v>
      </c>
      <c r="H47" s="17">
        <f t="shared" si="7"/>
        <v>7487.23</v>
      </c>
      <c r="I47" s="469">
        <f t="shared" si="6"/>
        <v>17.415186738025483</v>
      </c>
      <c r="J47" s="18"/>
      <c r="K47" s="22"/>
    </row>
    <row r="48" spans="1:23" x14ac:dyDescent="0.25">
      <c r="A48" s="15" t="s">
        <v>889</v>
      </c>
      <c r="B48" s="16"/>
      <c r="C48" s="24">
        <v>13243490</v>
      </c>
      <c r="D48" s="17">
        <f t="shared" si="4"/>
        <v>6621.7449999999999</v>
      </c>
      <c r="E48" s="469">
        <f t="shared" si="5"/>
        <v>15.40208137142662</v>
      </c>
      <c r="F48" s="18"/>
      <c r="G48" s="19">
        <v>14164160</v>
      </c>
      <c r="H48" s="17">
        <f t="shared" si="7"/>
        <v>7082.08</v>
      </c>
      <c r="I48" s="469">
        <f t="shared" si="6"/>
        <v>16.472813803454081</v>
      </c>
      <c r="J48" s="18"/>
      <c r="K48" s="22"/>
    </row>
    <row r="49" spans="1:11" x14ac:dyDescent="0.25">
      <c r="A49" s="15" t="s">
        <v>954</v>
      </c>
      <c r="B49" s="16"/>
      <c r="C49" s="24">
        <v>12947318</v>
      </c>
      <c r="D49" s="17">
        <f t="shared" si="4"/>
        <v>6473.6589999999997</v>
      </c>
      <c r="E49" s="469">
        <f t="shared" si="5"/>
        <v>15.057635515844886</v>
      </c>
      <c r="F49" s="18"/>
      <c r="G49" s="19">
        <v>14062678</v>
      </c>
      <c r="H49" s="17">
        <f t="shared" si="7"/>
        <v>7031.3389999999999</v>
      </c>
      <c r="I49" s="469">
        <f t="shared" si="6"/>
        <v>16.354790984564566</v>
      </c>
      <c r="J49" s="18"/>
      <c r="K49" s="22"/>
    </row>
    <row r="50" spans="1:11" x14ac:dyDescent="0.25">
      <c r="A50" s="15" t="s">
        <v>955</v>
      </c>
      <c r="B50" s="16"/>
      <c r="C50" s="24">
        <v>25370000</v>
      </c>
      <c r="D50" s="17">
        <f t="shared" si="4"/>
        <v>12685</v>
      </c>
      <c r="E50" s="469">
        <f t="shared" si="5"/>
        <v>29.505123226060004</v>
      </c>
      <c r="F50" s="18"/>
      <c r="G50" s="19">
        <v>26920000</v>
      </c>
      <c r="H50" s="17">
        <f t="shared" si="7"/>
        <v>13460</v>
      </c>
      <c r="I50" s="469">
        <f t="shared" si="6"/>
        <v>31.307761814960006</v>
      </c>
      <c r="J50" s="18"/>
      <c r="K50" s="22"/>
    </row>
    <row r="51" spans="1:11" x14ac:dyDescent="0.25">
      <c r="A51" s="1686" t="s">
        <v>316</v>
      </c>
      <c r="B51" s="1687"/>
      <c r="C51" s="1687"/>
      <c r="D51" s="1687"/>
      <c r="E51" s="1687"/>
      <c r="F51" s="1687"/>
      <c r="G51" s="1687"/>
      <c r="H51" s="1687"/>
      <c r="I51" s="1687"/>
      <c r="J51" s="1687"/>
      <c r="K51" s="1688"/>
    </row>
    <row r="52" spans="1:11" x14ac:dyDescent="0.25">
      <c r="A52" s="1683" t="s">
        <v>890</v>
      </c>
      <c r="B52" s="1684"/>
      <c r="C52" s="1684"/>
      <c r="D52" s="1684"/>
      <c r="E52" s="1684"/>
      <c r="F52" s="1684"/>
      <c r="G52" s="1684"/>
      <c r="H52" s="1684"/>
      <c r="I52" s="1684"/>
      <c r="J52" s="1684"/>
      <c r="K52" s="1685"/>
    </row>
    <row r="53" spans="1:11" x14ac:dyDescent="0.25">
      <c r="A53" s="1691" t="s">
        <v>891</v>
      </c>
      <c r="B53" s="1692"/>
      <c r="C53" s="1692"/>
      <c r="D53" s="1692"/>
      <c r="E53" s="1692"/>
      <c r="F53" s="1692"/>
      <c r="G53" s="1692"/>
      <c r="H53" s="1692"/>
      <c r="I53" s="1692"/>
      <c r="J53" s="1692"/>
      <c r="K53" s="1693"/>
    </row>
    <row r="54" spans="1:11" x14ac:dyDescent="0.25">
      <c r="A54" s="1691" t="s">
        <v>892</v>
      </c>
      <c r="B54" s="1692"/>
      <c r="C54" s="1692"/>
      <c r="D54" s="1692"/>
      <c r="E54" s="1692"/>
      <c r="F54" s="1692"/>
      <c r="G54" s="1692"/>
      <c r="H54" s="1692"/>
      <c r="I54" s="1692"/>
      <c r="J54" s="1692"/>
      <c r="K54" s="1693"/>
    </row>
    <row r="55" spans="1:11" x14ac:dyDescent="0.25">
      <c r="A55" s="1691" t="s">
        <v>893</v>
      </c>
      <c r="B55" s="1692"/>
      <c r="C55" s="1692"/>
      <c r="D55" s="1692"/>
      <c r="E55" s="1692"/>
      <c r="F55" s="1692"/>
      <c r="G55" s="1692"/>
      <c r="H55" s="1692"/>
      <c r="I55" s="1692"/>
      <c r="J55" s="1692"/>
      <c r="K55" s="1693"/>
    </row>
    <row r="56" spans="1:11" x14ac:dyDescent="0.25">
      <c r="A56" s="1698" t="s">
        <v>317</v>
      </c>
      <c r="B56" s="1699"/>
      <c r="C56" s="1699"/>
      <c r="D56" s="1699"/>
      <c r="E56" s="1699"/>
      <c r="F56" s="1699"/>
      <c r="G56" s="1699"/>
      <c r="H56" s="1699"/>
      <c r="I56" s="1699"/>
      <c r="J56" s="1699"/>
      <c r="K56" s="1700"/>
    </row>
    <row r="57" spans="1:11" x14ac:dyDescent="0.25">
      <c r="A57" s="1691" t="s">
        <v>318</v>
      </c>
      <c r="B57" s="1692"/>
      <c r="C57" s="1692"/>
      <c r="D57" s="1692"/>
      <c r="E57" s="1692"/>
      <c r="F57" s="1692"/>
      <c r="G57" s="1692"/>
      <c r="H57" s="1692"/>
      <c r="I57" s="1692"/>
      <c r="J57" s="1692"/>
      <c r="K57" s="1693"/>
    </row>
    <row r="58" spans="1:11" x14ac:dyDescent="0.25">
      <c r="A58" s="1691" t="s">
        <v>894</v>
      </c>
      <c r="B58" s="1692"/>
      <c r="C58" s="1692"/>
      <c r="D58" s="1692"/>
      <c r="E58" s="1692"/>
      <c r="F58" s="1692"/>
      <c r="G58" s="1692"/>
      <c r="H58" s="1692"/>
      <c r="I58" s="1692"/>
      <c r="J58" s="1692"/>
      <c r="K58" s="1693"/>
    </row>
    <row r="59" spans="1:11" x14ac:dyDescent="0.25">
      <c r="A59" s="1691" t="s">
        <v>895</v>
      </c>
      <c r="B59" s="1692"/>
      <c r="C59" s="1692"/>
      <c r="D59" s="1692"/>
      <c r="E59" s="1692"/>
      <c r="F59" s="1692"/>
      <c r="G59" s="1692"/>
      <c r="H59" s="1692"/>
      <c r="I59" s="1692"/>
      <c r="J59" s="1692"/>
      <c r="K59" s="1693"/>
    </row>
    <row r="60" spans="1:11" x14ac:dyDescent="0.25">
      <c r="A60" s="25"/>
      <c r="B60" s="26"/>
      <c r="C60" s="26"/>
      <c r="D60" s="26"/>
      <c r="E60" s="26"/>
      <c r="F60" s="26"/>
      <c r="G60" s="26"/>
      <c r="H60" s="26"/>
      <c r="I60" s="26"/>
      <c r="J60" s="26"/>
      <c r="K60" s="27"/>
    </row>
    <row r="61" spans="1:11" x14ac:dyDescent="0.25">
      <c r="A61" s="1691" t="s">
        <v>319</v>
      </c>
      <c r="B61" s="1692"/>
      <c r="C61" s="1692"/>
      <c r="D61" s="1692"/>
      <c r="E61" s="1692"/>
      <c r="F61" s="1692"/>
      <c r="G61" s="1692"/>
      <c r="H61" s="1692"/>
      <c r="I61" s="1692"/>
      <c r="J61" s="1692"/>
      <c r="K61" s="1693"/>
    </row>
    <row r="62" spans="1:11" ht="13.8" thickBot="1" x14ac:dyDescent="0.3">
      <c r="A62" s="1706" t="s">
        <v>956</v>
      </c>
      <c r="B62" s="1707"/>
      <c r="C62" s="1707"/>
      <c r="D62" s="1707"/>
      <c r="E62" s="1707"/>
      <c r="F62" s="1707"/>
      <c r="G62" s="1707"/>
      <c r="H62" s="1707"/>
      <c r="I62" s="1707"/>
      <c r="J62" s="1707"/>
      <c r="K62" s="1708"/>
    </row>
    <row r="63" spans="1:11" x14ac:dyDescent="0.25">
      <c r="A63" s="464"/>
      <c r="B63" s="465"/>
      <c r="C63" s="465"/>
      <c r="D63" s="465"/>
      <c r="E63" s="465"/>
      <c r="F63" s="465"/>
      <c r="G63" s="465"/>
      <c r="H63" s="465"/>
      <c r="I63" s="465"/>
      <c r="J63" s="465"/>
      <c r="K63" s="465"/>
    </row>
    <row r="64" spans="1:11" x14ac:dyDescent="0.25">
      <c r="A64" s="464"/>
      <c r="B64" s="465"/>
      <c r="C64" s="465"/>
      <c r="D64" s="465"/>
      <c r="E64" s="465"/>
      <c r="F64" s="465"/>
      <c r="G64" s="465"/>
      <c r="H64" s="465"/>
      <c r="I64" s="465"/>
      <c r="J64" s="465"/>
      <c r="K64" s="465"/>
    </row>
    <row r="65" spans="1:14" x14ac:dyDescent="0.25">
      <c r="A65" s="464"/>
      <c r="B65" s="465"/>
      <c r="C65" s="465"/>
      <c r="D65" s="465"/>
      <c r="E65" s="465"/>
      <c r="F65" s="465"/>
      <c r="G65" s="465"/>
      <c r="H65" s="465"/>
      <c r="I65" s="465"/>
      <c r="J65" s="465"/>
      <c r="K65" s="465"/>
    </row>
    <row r="66" spans="1:14" x14ac:dyDescent="0.25">
      <c r="A66" s="464"/>
      <c r="B66" s="465"/>
      <c r="C66" s="465"/>
      <c r="D66" s="465"/>
      <c r="E66" s="465"/>
      <c r="F66" s="465"/>
      <c r="G66" s="465"/>
      <c r="H66" s="465"/>
      <c r="I66" s="465"/>
      <c r="J66" s="465"/>
      <c r="K66" s="465"/>
    </row>
    <row r="68" spans="1:14" ht="13.8" thickBot="1" x14ac:dyDescent="0.3"/>
    <row r="69" spans="1:14" ht="43.5" customHeight="1" thickTop="1" thickBot="1" x14ac:dyDescent="0.3">
      <c r="A69" s="351" t="s">
        <v>1065</v>
      </c>
      <c r="B69" s="352"/>
      <c r="C69" s="352"/>
      <c r="D69" s="352"/>
      <c r="E69" s="352"/>
      <c r="F69" s="352"/>
      <c r="G69" s="352"/>
      <c r="H69" s="352"/>
      <c r="I69" s="352"/>
      <c r="J69" s="352"/>
      <c r="K69" s="353"/>
      <c r="L69" s="353"/>
      <c r="M69" s="545"/>
      <c r="N69" s="546"/>
    </row>
    <row r="70" spans="1:14" ht="55.8" thickTop="1" x14ac:dyDescent="0.25">
      <c r="A70" s="547" t="s">
        <v>1072</v>
      </c>
      <c r="B70" s="548" t="s">
        <v>1013</v>
      </c>
      <c r="C70" s="549" t="s">
        <v>1022</v>
      </c>
      <c r="D70" s="549" t="s">
        <v>1023</v>
      </c>
      <c r="E70" s="548" t="s">
        <v>189</v>
      </c>
      <c r="F70" s="548" t="s">
        <v>1021</v>
      </c>
      <c r="G70" s="550" t="s">
        <v>1020</v>
      </c>
      <c r="H70" s="551" t="s">
        <v>266</v>
      </c>
      <c r="I70" s="548" t="s">
        <v>692</v>
      </c>
      <c r="J70" s="548" t="s">
        <v>1038</v>
      </c>
      <c r="K70" s="552" t="s">
        <v>691</v>
      </c>
      <c r="L70" s="552" t="s">
        <v>918</v>
      </c>
      <c r="M70" s="553" t="s">
        <v>523</v>
      </c>
      <c r="N70" s="554" t="s">
        <v>524</v>
      </c>
    </row>
    <row r="71" spans="1:14" ht="52.8" x14ac:dyDescent="0.25">
      <c r="A71" s="744" t="s">
        <v>1067</v>
      </c>
      <c r="B71" s="559" t="s">
        <v>852</v>
      </c>
      <c r="C71" s="745" t="s">
        <v>688</v>
      </c>
      <c r="D71" s="559">
        <v>2007</v>
      </c>
      <c r="E71" s="746" t="s">
        <v>689</v>
      </c>
      <c r="F71" s="560"/>
      <c r="G71" s="559"/>
      <c r="H71" s="746" t="s">
        <v>851</v>
      </c>
      <c r="I71" s="707">
        <f>mmBTU_to_GJ</f>
        <v>1.0549999999999999</v>
      </c>
      <c r="J71" s="555" t="s">
        <v>1040</v>
      </c>
      <c r="K71" s="556">
        <v>56.31533863997597</v>
      </c>
      <c r="L71" s="556" t="s">
        <v>919</v>
      </c>
      <c r="M71" s="557"/>
      <c r="N71" s="558"/>
    </row>
    <row r="72" spans="1:14" ht="52.8" x14ac:dyDescent="0.25">
      <c r="A72" s="744" t="s">
        <v>282</v>
      </c>
      <c r="B72" s="559" t="s">
        <v>852</v>
      </c>
      <c r="C72" s="745" t="s">
        <v>688</v>
      </c>
      <c r="D72" s="559">
        <v>2007</v>
      </c>
      <c r="E72" s="746" t="s">
        <v>689</v>
      </c>
      <c r="F72" s="560"/>
      <c r="G72" s="559"/>
      <c r="H72" s="746" t="s">
        <v>851</v>
      </c>
      <c r="I72" s="707">
        <f>mmBTU_to_GJ</f>
        <v>1.0549999999999999</v>
      </c>
      <c r="J72" s="555" t="s">
        <v>1040</v>
      </c>
      <c r="K72" s="556">
        <v>56.31533863997597</v>
      </c>
      <c r="L72" s="556" t="s">
        <v>919</v>
      </c>
      <c r="M72" s="557"/>
      <c r="N72" s="558"/>
    </row>
    <row r="73" spans="1:14" ht="52.8" x14ac:dyDescent="0.25">
      <c r="A73" s="744" t="s">
        <v>670</v>
      </c>
      <c r="B73" s="559" t="s">
        <v>852</v>
      </c>
      <c r="C73" s="745" t="s">
        <v>688</v>
      </c>
      <c r="D73" s="559">
        <v>2007</v>
      </c>
      <c r="E73" s="746" t="s">
        <v>689</v>
      </c>
      <c r="F73" s="560"/>
      <c r="G73" s="559"/>
      <c r="H73" s="746" t="s">
        <v>851</v>
      </c>
      <c r="I73" s="707">
        <f>mmBTU_to_GJ</f>
        <v>1.0549999999999999</v>
      </c>
      <c r="J73" s="555" t="s">
        <v>1040</v>
      </c>
      <c r="K73" s="556">
        <v>56.31533863997597</v>
      </c>
      <c r="L73" s="556" t="s">
        <v>919</v>
      </c>
      <c r="M73" s="557"/>
      <c r="N73" s="558"/>
    </row>
    <row r="74" spans="1:14" ht="52.8" x14ac:dyDescent="0.25">
      <c r="A74" s="744" t="s">
        <v>1068</v>
      </c>
      <c r="B74" s="559" t="s">
        <v>852</v>
      </c>
      <c r="C74" s="745" t="s">
        <v>688</v>
      </c>
      <c r="D74" s="559">
        <v>2007</v>
      </c>
      <c r="E74" s="746" t="s">
        <v>689</v>
      </c>
      <c r="F74" s="560"/>
      <c r="G74" s="559"/>
      <c r="H74" s="746" t="s">
        <v>851</v>
      </c>
      <c r="I74" s="707">
        <f>mmBTU_to_GJ</f>
        <v>1.0549999999999999</v>
      </c>
      <c r="J74" s="555" t="s">
        <v>1040</v>
      </c>
      <c r="K74" s="556">
        <v>56.31533863997597</v>
      </c>
      <c r="L74" s="556" t="s">
        <v>919</v>
      </c>
      <c r="M74" s="557"/>
      <c r="N74" s="558"/>
    </row>
    <row r="75" spans="1:14" ht="26.4" x14ac:dyDescent="0.25">
      <c r="A75" s="744" t="s">
        <v>671</v>
      </c>
      <c r="B75" s="559"/>
      <c r="C75" s="745" t="s">
        <v>688</v>
      </c>
      <c r="D75" s="559">
        <v>2007</v>
      </c>
      <c r="E75" s="746" t="s">
        <v>689</v>
      </c>
      <c r="F75" s="560"/>
      <c r="G75" s="559"/>
      <c r="H75" s="746" t="s">
        <v>851</v>
      </c>
      <c r="I75" s="707">
        <f>mmBTU_to_GJ</f>
        <v>1.0549999999999999</v>
      </c>
      <c r="J75" s="555" t="s">
        <v>1040</v>
      </c>
      <c r="K75" s="556">
        <v>56.31533863997597</v>
      </c>
      <c r="L75" s="556" t="s">
        <v>919</v>
      </c>
      <c r="M75" s="557"/>
      <c r="N75" s="558"/>
    </row>
    <row r="76" spans="1:14" ht="52.8" x14ac:dyDescent="0.25">
      <c r="A76" s="744" t="s">
        <v>672</v>
      </c>
      <c r="B76" s="559" t="s">
        <v>852</v>
      </c>
      <c r="C76" s="745" t="s">
        <v>688</v>
      </c>
      <c r="D76" s="559">
        <v>2007</v>
      </c>
      <c r="E76" s="746" t="s">
        <v>690</v>
      </c>
      <c r="F76" s="559"/>
      <c r="G76" s="559"/>
      <c r="H76" s="555" t="s">
        <v>295</v>
      </c>
      <c r="I76" s="707">
        <f>1/MJ_to_kWh/1000</f>
        <v>3.5999999999999995E-3</v>
      </c>
      <c r="J76" s="555" t="s">
        <v>1053</v>
      </c>
      <c r="K76" s="556">
        <v>0</v>
      </c>
      <c r="L76" s="556" t="s">
        <v>919</v>
      </c>
      <c r="M76" s="557"/>
      <c r="N76" s="558"/>
    </row>
    <row r="77" spans="1:14" ht="52.8" x14ac:dyDescent="0.25">
      <c r="A77" s="744" t="s">
        <v>687</v>
      </c>
      <c r="B77" s="559" t="s">
        <v>852</v>
      </c>
      <c r="C77" s="745" t="s">
        <v>688</v>
      </c>
      <c r="D77" s="559">
        <v>2007</v>
      </c>
      <c r="E77" s="746" t="s">
        <v>690</v>
      </c>
      <c r="F77" s="559"/>
      <c r="G77" s="559"/>
      <c r="H77" s="555" t="s">
        <v>295</v>
      </c>
      <c r="I77" s="707">
        <f>1/MJ_to_kWh/1000</f>
        <v>3.5999999999999995E-3</v>
      </c>
      <c r="J77" s="555" t="s">
        <v>1053</v>
      </c>
      <c r="K77" s="556">
        <v>0</v>
      </c>
      <c r="L77" s="556" t="s">
        <v>919</v>
      </c>
      <c r="M77" s="557"/>
      <c r="N77" s="558"/>
    </row>
    <row r="78" spans="1:14" ht="52.8" x14ac:dyDescent="0.25">
      <c r="A78" s="744" t="s">
        <v>673</v>
      </c>
      <c r="B78" s="559" t="s">
        <v>852</v>
      </c>
      <c r="C78" s="745" t="s">
        <v>688</v>
      </c>
      <c r="D78" s="559">
        <v>2007</v>
      </c>
      <c r="E78" s="746" t="s">
        <v>690</v>
      </c>
      <c r="F78" s="559"/>
      <c r="G78" s="559"/>
      <c r="H78" s="555" t="s">
        <v>295</v>
      </c>
      <c r="I78" s="707">
        <f>1/MJ_to_kWh/1000</f>
        <v>3.5999999999999995E-3</v>
      </c>
      <c r="J78" s="555" t="s">
        <v>1053</v>
      </c>
      <c r="K78" s="556">
        <v>0</v>
      </c>
      <c r="L78" s="556" t="s">
        <v>919</v>
      </c>
      <c r="M78" s="557"/>
      <c r="N78" s="558"/>
    </row>
    <row r="79" spans="1:14" ht="52.8" x14ac:dyDescent="0.25">
      <c r="A79" s="744" t="s">
        <v>1069</v>
      </c>
      <c r="B79" s="559" t="s">
        <v>852</v>
      </c>
      <c r="C79" s="745" t="s">
        <v>688</v>
      </c>
      <c r="D79" s="559">
        <v>2007</v>
      </c>
      <c r="E79" s="746" t="s">
        <v>689</v>
      </c>
      <c r="F79" s="560"/>
      <c r="G79" s="559"/>
      <c r="H79" s="555" t="s">
        <v>267</v>
      </c>
      <c r="I79" s="707">
        <f>$C$42/2000/lb_to_kg/1000000*mmBTU_to_GJ</f>
        <v>2.2735034516249999E-2</v>
      </c>
      <c r="J79" s="555" t="s">
        <v>1034</v>
      </c>
      <c r="K79" s="556">
        <v>102.75287348239476</v>
      </c>
      <c r="L79" s="556" t="s">
        <v>919</v>
      </c>
      <c r="M79" s="557"/>
      <c r="N79" s="558"/>
    </row>
    <row r="80" spans="1:14" ht="52.8" x14ac:dyDescent="0.25">
      <c r="A80" s="744" t="s">
        <v>705</v>
      </c>
      <c r="B80" s="559" t="s">
        <v>852</v>
      </c>
      <c r="C80" s="745" t="s">
        <v>688</v>
      </c>
      <c r="D80" s="559">
        <v>2007</v>
      </c>
      <c r="E80" s="746" t="s">
        <v>689</v>
      </c>
      <c r="F80" s="560"/>
      <c r="G80" s="559"/>
      <c r="H80" s="555" t="s">
        <v>267</v>
      </c>
      <c r="I80" s="707">
        <f>$C$42/2000/lb_to_kg/1000000*mmBTU_to_GJ</f>
        <v>2.2735034516249999E-2</v>
      </c>
      <c r="J80" s="555" t="s">
        <v>1034</v>
      </c>
      <c r="K80" s="556">
        <v>102.75287348239476</v>
      </c>
      <c r="L80" s="556" t="s">
        <v>919</v>
      </c>
      <c r="M80" s="557"/>
      <c r="N80" s="558"/>
    </row>
    <row r="81" spans="1:14" ht="52.8" x14ac:dyDescent="0.25">
      <c r="A81" s="744" t="s">
        <v>706</v>
      </c>
      <c r="B81" s="559" t="s">
        <v>852</v>
      </c>
      <c r="C81" s="745" t="s">
        <v>688</v>
      </c>
      <c r="D81" s="559">
        <v>2007</v>
      </c>
      <c r="E81" s="746" t="s">
        <v>689</v>
      </c>
      <c r="F81" s="560"/>
      <c r="G81" s="559"/>
      <c r="H81" s="555" t="s">
        <v>267</v>
      </c>
      <c r="I81" s="707">
        <f>$C$42/2000/lb_to_kg/1000000*mmBTU_to_GJ</f>
        <v>2.2735034516249999E-2</v>
      </c>
      <c r="J81" s="555" t="s">
        <v>1034</v>
      </c>
      <c r="K81" s="556">
        <v>102.75287348239476</v>
      </c>
      <c r="L81" s="556" t="s">
        <v>919</v>
      </c>
      <c r="M81" s="557"/>
      <c r="N81" s="558"/>
    </row>
    <row r="82" spans="1:14" ht="52.8" x14ac:dyDescent="0.25">
      <c r="A82" s="744" t="s">
        <v>899</v>
      </c>
      <c r="B82" s="559" t="s">
        <v>852</v>
      </c>
      <c r="C82" s="745" t="s">
        <v>688</v>
      </c>
      <c r="D82" s="559">
        <v>2007</v>
      </c>
      <c r="E82" s="746" t="s">
        <v>689</v>
      </c>
      <c r="F82" s="560"/>
      <c r="G82" s="559"/>
      <c r="H82" s="555" t="s">
        <v>268</v>
      </c>
      <c r="I82" s="707">
        <f>$C$14/gal_to_liters*mmBTU_to_GJ/1000000</f>
        <v>3.5803104359313075E-2</v>
      </c>
      <c r="J82" s="555" t="s">
        <v>1040</v>
      </c>
      <c r="K82" s="556">
        <v>74.122324937568308</v>
      </c>
      <c r="L82" s="556" t="s">
        <v>919</v>
      </c>
      <c r="M82" s="557"/>
      <c r="N82" s="558"/>
    </row>
    <row r="83" spans="1:14" ht="52.8" x14ac:dyDescent="0.25">
      <c r="A83" s="744" t="s">
        <v>897</v>
      </c>
      <c r="B83" s="559" t="s">
        <v>852</v>
      </c>
      <c r="C83" s="745" t="s">
        <v>688</v>
      </c>
      <c r="D83" s="559">
        <v>2007</v>
      </c>
      <c r="E83" s="746" t="s">
        <v>689</v>
      </c>
      <c r="F83" s="560"/>
      <c r="G83" s="559"/>
      <c r="H83" s="555" t="s">
        <v>268</v>
      </c>
      <c r="I83" s="707">
        <f>$Q$14/gal_to_liters*mmBTU_to_GJ/1000000</f>
        <v>2.4157130779392338E-2</v>
      </c>
      <c r="J83" s="555" t="s">
        <v>1034</v>
      </c>
      <c r="K83" s="556">
        <v>71.019041167591709</v>
      </c>
      <c r="L83" s="556" t="s">
        <v>919</v>
      </c>
      <c r="M83" s="557"/>
      <c r="N83" s="558"/>
    </row>
    <row r="84" spans="1:14" ht="52.8" x14ac:dyDescent="0.25">
      <c r="A84" s="744" t="s">
        <v>900</v>
      </c>
      <c r="B84" s="559" t="s">
        <v>852</v>
      </c>
      <c r="C84" s="745" t="s">
        <v>688</v>
      </c>
      <c r="D84" s="559">
        <v>2007</v>
      </c>
      <c r="E84" s="746" t="s">
        <v>689</v>
      </c>
      <c r="F84" s="560"/>
      <c r="G84" s="559"/>
      <c r="H84" s="555" t="s">
        <v>268</v>
      </c>
      <c r="I84" s="707">
        <f>$C$11/gal_to_liters*mmBTU_to_GJ/1000000</f>
        <v>3.2357978863936591E-2</v>
      </c>
      <c r="J84" s="555" t="s">
        <v>1034</v>
      </c>
      <c r="K84" s="556">
        <v>72.833307273582633</v>
      </c>
      <c r="L84" s="556" t="s">
        <v>919</v>
      </c>
      <c r="M84" s="557"/>
      <c r="N84" s="558"/>
    </row>
    <row r="85" spans="1:14" ht="290.39999999999998" x14ac:dyDescent="0.25">
      <c r="A85" s="744" t="s">
        <v>1063</v>
      </c>
      <c r="B85" s="706" t="s">
        <v>427</v>
      </c>
      <c r="C85" s="745" t="s">
        <v>688</v>
      </c>
      <c r="D85" s="559">
        <v>2007</v>
      </c>
      <c r="E85" s="746" t="s">
        <v>690</v>
      </c>
      <c r="F85" s="560"/>
      <c r="G85" s="559"/>
      <c r="H85" s="555" t="s">
        <v>267</v>
      </c>
      <c r="I85" s="707">
        <f>$E$45/1000</f>
        <v>1.9551069237418006E-2</v>
      </c>
      <c r="J85" s="555" t="s">
        <v>1034</v>
      </c>
      <c r="K85" s="556">
        <v>97.876597052612851</v>
      </c>
      <c r="L85" s="556" t="s">
        <v>919</v>
      </c>
      <c r="M85" s="557"/>
      <c r="N85" s="558"/>
    </row>
    <row r="86" spans="1:14" x14ac:dyDescent="0.25">
      <c r="A86" s="744" t="s">
        <v>804</v>
      </c>
      <c r="B86" s="706"/>
      <c r="C86" s="745"/>
      <c r="D86" s="559"/>
      <c r="E86" s="746" t="s">
        <v>690</v>
      </c>
      <c r="F86" s="560"/>
      <c r="G86" s="559"/>
      <c r="H86" s="555" t="s">
        <v>267</v>
      </c>
      <c r="I86" s="707">
        <f>$E$45/1000</f>
        <v>1.9551069237418006E-2</v>
      </c>
      <c r="J86" s="555" t="s">
        <v>1034</v>
      </c>
      <c r="K86" s="556">
        <v>97.876597052612851</v>
      </c>
      <c r="L86" s="556" t="s">
        <v>919</v>
      </c>
      <c r="M86" s="557"/>
      <c r="N86" s="558"/>
    </row>
    <row r="87" spans="1:14" ht="79.2" x14ac:dyDescent="0.25">
      <c r="A87" s="744" t="s">
        <v>812</v>
      </c>
      <c r="B87" s="821" t="s">
        <v>819</v>
      </c>
      <c r="C87" s="745"/>
      <c r="D87" s="559"/>
      <c r="E87" s="746" t="s">
        <v>690</v>
      </c>
      <c r="F87" s="560"/>
      <c r="G87" s="559"/>
      <c r="H87" s="555" t="s">
        <v>267</v>
      </c>
      <c r="I87" s="707">
        <f>18.608/1000</f>
        <v>1.8608E-2</v>
      </c>
      <c r="J87" s="555" t="s">
        <v>1034</v>
      </c>
      <c r="K87" s="556">
        <v>97.876597052612851</v>
      </c>
      <c r="L87" s="556" t="s">
        <v>919</v>
      </c>
      <c r="M87" s="557"/>
      <c r="N87" s="558"/>
    </row>
    <row r="88" spans="1:14" ht="52.8" x14ac:dyDescent="0.25">
      <c r="A88" s="1457" t="s">
        <v>311</v>
      </c>
      <c r="B88" s="1458" t="s">
        <v>1614</v>
      </c>
      <c r="C88" s="1459">
        <v>2007</v>
      </c>
      <c r="D88" s="559">
        <f t="shared" ref="D88" si="8">ref_year</f>
        <v>2016</v>
      </c>
      <c r="E88" s="1460" t="s">
        <v>689</v>
      </c>
      <c r="F88" s="1459" t="s">
        <v>1615</v>
      </c>
      <c r="G88" s="1459" t="s">
        <v>1064</v>
      </c>
      <c r="H88" s="1460" t="s">
        <v>289</v>
      </c>
      <c r="I88" s="1461">
        <v>8.1000000000000003E-2</v>
      </c>
      <c r="J88" s="1462" t="s">
        <v>1034</v>
      </c>
      <c r="K88" s="1463">
        <v>70.89</v>
      </c>
      <c r="L88" s="1463" t="s">
        <v>919</v>
      </c>
      <c r="M88" s="557"/>
      <c r="N88" s="558"/>
    </row>
    <row r="89" spans="1:14" ht="79.2" x14ac:dyDescent="0.25">
      <c r="A89" s="744" t="s">
        <v>1070</v>
      </c>
      <c r="B89" s="559" t="s">
        <v>1071</v>
      </c>
      <c r="C89" s="745" t="s">
        <v>688</v>
      </c>
      <c r="D89" s="559">
        <v>2007</v>
      </c>
      <c r="E89" s="746" t="s">
        <v>690</v>
      </c>
      <c r="F89" s="560"/>
      <c r="G89" s="559"/>
      <c r="H89" s="555" t="s">
        <v>267</v>
      </c>
      <c r="I89" s="707">
        <v>2.8300000000000001E-3</v>
      </c>
      <c r="J89" s="555" t="s">
        <v>1053</v>
      </c>
      <c r="K89" s="556">
        <v>0</v>
      </c>
      <c r="L89" s="556" t="s">
        <v>919</v>
      </c>
      <c r="M89" s="557"/>
      <c r="N89" s="558"/>
    </row>
    <row r="91" spans="1:14" ht="13.8" thickBot="1" x14ac:dyDescent="0.3"/>
    <row r="92" spans="1:14" ht="33.75" customHeight="1" thickTop="1" x14ac:dyDescent="0.25">
      <c r="A92" s="1689" t="s">
        <v>975</v>
      </c>
      <c r="B92" s="1690"/>
      <c r="D92" s="1689" t="s">
        <v>674</v>
      </c>
      <c r="E92" s="1690"/>
      <c r="G92" s="1689" t="s">
        <v>675</v>
      </c>
      <c r="H92" s="1690"/>
      <c r="K92" s="1709" t="s">
        <v>677</v>
      </c>
      <c r="L92" s="1710"/>
    </row>
    <row r="93" spans="1:14" ht="41.25" customHeight="1" thickBot="1" x14ac:dyDescent="0.3">
      <c r="A93" s="1010" t="s">
        <v>1081</v>
      </c>
      <c r="B93" s="830"/>
      <c r="D93" s="1701" t="s">
        <v>676</v>
      </c>
      <c r="E93" s="1702"/>
      <c r="G93" s="1010" t="s">
        <v>1082</v>
      </c>
      <c r="H93" s="830"/>
      <c r="K93" s="1701" t="s">
        <v>678</v>
      </c>
      <c r="L93" s="1702"/>
      <c r="N93" s="1039"/>
    </row>
    <row r="94" spans="1:14" ht="13.8" x14ac:dyDescent="0.25">
      <c r="A94" s="30" t="s">
        <v>1066</v>
      </c>
      <c r="B94" s="31" t="s">
        <v>1074</v>
      </c>
      <c r="D94" s="30" t="s">
        <v>1066</v>
      </c>
      <c r="E94" s="31" t="s">
        <v>1074</v>
      </c>
      <c r="G94" s="30" t="s">
        <v>1066</v>
      </c>
      <c r="H94" s="31" t="s">
        <v>1074</v>
      </c>
      <c r="K94" s="30" t="s">
        <v>1066</v>
      </c>
      <c r="L94" s="31" t="s">
        <v>1074</v>
      </c>
    </row>
    <row r="95" spans="1:14" x14ac:dyDescent="0.25">
      <c r="A95" s="828">
        <v>1992</v>
      </c>
      <c r="B95" s="829">
        <v>70.800676680058203</v>
      </c>
      <c r="D95" s="1011">
        <v>1992</v>
      </c>
      <c r="E95" s="1012">
        <v>358.2</v>
      </c>
      <c r="F95" s="1043"/>
      <c r="G95" s="1011">
        <v>1992</v>
      </c>
      <c r="H95" s="1013">
        <v>13.7</v>
      </c>
      <c r="K95" s="1011">
        <v>1992</v>
      </c>
      <c r="L95" s="1014">
        <v>80.280791320995533</v>
      </c>
    </row>
    <row r="96" spans="1:14" x14ac:dyDescent="0.25">
      <c r="A96" s="828">
        <v>1993</v>
      </c>
      <c r="B96" s="829">
        <v>72.480274460589698</v>
      </c>
      <c r="D96" s="1011">
        <v>1993</v>
      </c>
      <c r="E96" s="1012">
        <v>359.2</v>
      </c>
      <c r="F96" s="1043"/>
      <c r="G96" s="1011">
        <v>1993</v>
      </c>
      <c r="H96" s="1013">
        <v>13.97</v>
      </c>
      <c r="K96" s="1011">
        <v>1993</v>
      </c>
      <c r="L96" s="1014">
        <v>81.174218251435875</v>
      </c>
    </row>
    <row r="97" spans="1:15" x14ac:dyDescent="0.25">
      <c r="A97" s="828">
        <v>1994</v>
      </c>
      <c r="B97" s="829">
        <v>74.02700932145197</v>
      </c>
      <c r="D97" s="1011">
        <v>1994</v>
      </c>
      <c r="E97" s="1012">
        <v>368.1</v>
      </c>
      <c r="F97" s="1043"/>
      <c r="G97" s="1011">
        <v>1994</v>
      </c>
      <c r="H97" s="1013">
        <v>14.33</v>
      </c>
      <c r="K97" s="1011">
        <v>1994</v>
      </c>
      <c r="L97" s="1014">
        <v>82.961072112316543</v>
      </c>
    </row>
    <row r="98" spans="1:15" x14ac:dyDescent="0.25">
      <c r="A98" s="828">
        <v>1995</v>
      </c>
      <c r="B98" s="829">
        <v>75.581637029027263</v>
      </c>
      <c r="D98" s="1011">
        <v>1995</v>
      </c>
      <c r="E98" s="1012">
        <v>381.1</v>
      </c>
      <c r="F98" s="1043"/>
      <c r="G98" s="1011">
        <v>1995</v>
      </c>
      <c r="H98" s="1013">
        <v>14.86</v>
      </c>
      <c r="K98" s="1011">
        <v>1995</v>
      </c>
      <c r="L98" s="1014">
        <v>91.512444160816855</v>
      </c>
    </row>
    <row r="99" spans="1:15" x14ac:dyDescent="0.25">
      <c r="A99" s="828">
        <v>1996</v>
      </c>
      <c r="B99" s="829">
        <v>76.96367448847775</v>
      </c>
      <c r="D99" s="1011">
        <v>1996</v>
      </c>
      <c r="E99" s="1012">
        <v>381.7</v>
      </c>
      <c r="F99" s="1043"/>
      <c r="G99" s="1011">
        <v>1996</v>
      </c>
      <c r="H99" s="1013">
        <v>15.37</v>
      </c>
      <c r="K99" s="1011">
        <v>1996</v>
      </c>
      <c r="L99" s="1014">
        <v>93.044033184428855</v>
      </c>
    </row>
    <row r="100" spans="1:15" x14ac:dyDescent="0.25">
      <c r="A100" s="828">
        <v>1997</v>
      </c>
      <c r="B100" s="829">
        <v>78.291514400498826</v>
      </c>
      <c r="D100" s="1011">
        <v>1997</v>
      </c>
      <c r="E100" s="1012">
        <v>386.5</v>
      </c>
      <c r="F100" s="1043"/>
      <c r="G100" s="1011">
        <v>1997</v>
      </c>
      <c r="H100" s="1013">
        <v>15.78</v>
      </c>
      <c r="K100" s="1011">
        <v>1997</v>
      </c>
      <c r="L100" s="1014">
        <v>93.873643905552015</v>
      </c>
      <c r="M100" s="1040"/>
    </row>
    <row r="101" spans="1:15" x14ac:dyDescent="0.25">
      <c r="A101" s="828">
        <v>1998</v>
      </c>
      <c r="B101" s="829">
        <v>79.172882283453163</v>
      </c>
      <c r="D101" s="1011">
        <v>1998</v>
      </c>
      <c r="E101" s="1012">
        <v>389.5</v>
      </c>
      <c r="F101" s="1043"/>
      <c r="G101" s="1011">
        <v>1998</v>
      </c>
      <c r="H101" s="1013">
        <v>16.23</v>
      </c>
      <c r="K101" s="1011">
        <v>1998</v>
      </c>
      <c r="L101" s="1014">
        <v>94.894703254626677</v>
      </c>
      <c r="M101" s="1040"/>
      <c r="N101" s="1041"/>
      <c r="O101" s="1041"/>
    </row>
    <row r="102" spans="1:15" x14ac:dyDescent="0.25">
      <c r="A102" s="828">
        <v>1999</v>
      </c>
      <c r="B102" s="829">
        <v>80.287352239332165</v>
      </c>
      <c r="D102" s="1011">
        <v>1999</v>
      </c>
      <c r="E102" s="1012">
        <v>390.6</v>
      </c>
      <c r="F102" s="1043"/>
      <c r="G102" s="1011">
        <v>1999</v>
      </c>
      <c r="H102" s="1013">
        <v>16.399999999999999</v>
      </c>
      <c r="K102" s="1011">
        <v>1999</v>
      </c>
      <c r="L102" s="1014">
        <v>95.532865347798349</v>
      </c>
      <c r="M102" s="1040"/>
      <c r="N102" s="1041"/>
      <c r="O102" s="1041"/>
    </row>
    <row r="103" spans="1:15" x14ac:dyDescent="0.25">
      <c r="A103" s="828">
        <v>2000</v>
      </c>
      <c r="B103" s="829">
        <v>82.107442691355487</v>
      </c>
      <c r="D103" s="1011">
        <v>2000</v>
      </c>
      <c r="E103" s="1012">
        <v>394.1</v>
      </c>
      <c r="F103" s="1043"/>
      <c r="G103" s="1011">
        <v>2000</v>
      </c>
      <c r="H103" s="1013">
        <v>17.09</v>
      </c>
      <c r="K103" s="1011">
        <v>2000</v>
      </c>
      <c r="L103" s="1014">
        <v>100</v>
      </c>
      <c r="M103" s="1040"/>
      <c r="N103" s="1041"/>
      <c r="O103" s="1041"/>
    </row>
    <row r="104" spans="1:15" x14ac:dyDescent="0.25">
      <c r="A104" s="828">
        <v>2001</v>
      </c>
      <c r="B104" s="829">
        <v>83.960946194463943</v>
      </c>
      <c r="D104" s="1011">
        <v>2001</v>
      </c>
      <c r="E104" s="1012">
        <v>394.3</v>
      </c>
      <c r="F104" s="1043"/>
      <c r="G104" s="1011">
        <v>2001</v>
      </c>
      <c r="H104" s="1013">
        <v>17.57</v>
      </c>
      <c r="K104" s="1011">
        <v>2001</v>
      </c>
      <c r="L104" s="1014">
        <v>101.08487555839186</v>
      </c>
      <c r="M104" s="1040"/>
      <c r="N104" s="1041"/>
      <c r="O104" s="1041"/>
    </row>
    <row r="105" spans="1:15" x14ac:dyDescent="0.25">
      <c r="A105" s="828">
        <v>2002</v>
      </c>
      <c r="B105" s="829">
        <v>85.268264705031157</v>
      </c>
      <c r="D105" s="1011">
        <v>2002</v>
      </c>
      <c r="E105" s="1012">
        <v>395.6</v>
      </c>
      <c r="F105" s="1043"/>
      <c r="G105" s="1011">
        <v>2002</v>
      </c>
      <c r="H105" s="1013">
        <v>17.97</v>
      </c>
      <c r="K105" s="1011">
        <v>2002</v>
      </c>
      <c r="L105" s="1014">
        <v>100.38289725590302</v>
      </c>
      <c r="M105" s="1040"/>
      <c r="N105" s="1041"/>
      <c r="O105" s="1041"/>
    </row>
    <row r="106" spans="1:15" x14ac:dyDescent="0.25">
      <c r="A106" s="828">
        <v>2003</v>
      </c>
      <c r="B106" s="829">
        <v>86.946283916220068</v>
      </c>
      <c r="D106" s="1011">
        <v>2003</v>
      </c>
      <c r="E106" s="1012">
        <v>402</v>
      </c>
      <c r="F106" s="1043"/>
      <c r="G106" s="1011">
        <v>2003</v>
      </c>
      <c r="H106" s="1013">
        <v>18.5</v>
      </c>
      <c r="K106" s="1011">
        <v>2003</v>
      </c>
      <c r="L106" s="1014">
        <v>105.04148053605616</v>
      </c>
      <c r="M106" s="1040"/>
      <c r="N106" s="1041"/>
      <c r="O106" s="1041"/>
    </row>
    <row r="107" spans="1:15" x14ac:dyDescent="0.25">
      <c r="A107" s="828">
        <v>2004</v>
      </c>
      <c r="B107" s="829">
        <v>89.280198689261255</v>
      </c>
      <c r="D107" s="1011">
        <v>2004</v>
      </c>
      <c r="E107" s="1012">
        <v>444.2</v>
      </c>
      <c r="F107" s="1043"/>
      <c r="G107" s="1011">
        <v>2004</v>
      </c>
      <c r="H107" s="1013">
        <v>19.170000000000002</v>
      </c>
      <c r="K107" s="1011">
        <v>2004</v>
      </c>
      <c r="L107" s="1014">
        <v>110.27440970006384</v>
      </c>
      <c r="M107" s="1043"/>
      <c r="N107" s="1041"/>
      <c r="O107" s="1041"/>
    </row>
    <row r="108" spans="1:15" x14ac:dyDescent="0.25">
      <c r="A108" s="828">
        <v>2005</v>
      </c>
      <c r="B108" s="829">
        <v>92.081633082603915</v>
      </c>
      <c r="D108" s="1011">
        <v>2005</v>
      </c>
      <c r="E108" s="1012">
        <v>468.2</v>
      </c>
      <c r="F108" s="1043"/>
      <c r="G108" s="1011">
        <v>2005</v>
      </c>
      <c r="H108" s="1075">
        <v>19.670000000000002</v>
      </c>
      <c r="K108" s="1011">
        <v>2005</v>
      </c>
      <c r="L108" s="1014">
        <v>119.52776005105299</v>
      </c>
      <c r="M108" s="1040"/>
      <c r="N108" s="1041"/>
      <c r="O108" s="1041"/>
    </row>
    <row r="109" spans="1:15" x14ac:dyDescent="0.25">
      <c r="A109" s="828">
        <v>2006</v>
      </c>
      <c r="B109" s="829">
        <v>94.92568884819687</v>
      </c>
      <c r="D109" s="1011">
        <v>2006</v>
      </c>
      <c r="E109" s="1012">
        <v>499.6</v>
      </c>
      <c r="F109" s="1043"/>
      <c r="G109" s="1011">
        <v>2006</v>
      </c>
      <c r="H109" s="1013">
        <v>19.600000000000001</v>
      </c>
      <c r="K109" s="1011">
        <v>2006</v>
      </c>
      <c r="L109" s="1014">
        <v>125.5902999361838</v>
      </c>
      <c r="M109" s="1040"/>
      <c r="N109" s="1041"/>
      <c r="O109" s="1041"/>
    </row>
    <row r="110" spans="1:15" x14ac:dyDescent="0.25">
      <c r="A110" s="828">
        <v>2007</v>
      </c>
      <c r="B110" s="829">
        <v>97.490337840148811</v>
      </c>
      <c r="D110" s="1011">
        <v>2007</v>
      </c>
      <c r="E110" s="1012">
        <v>525.4</v>
      </c>
      <c r="F110" s="1046"/>
      <c r="G110" s="1011">
        <v>2007</v>
      </c>
      <c r="H110" s="1013">
        <v>19.55</v>
      </c>
      <c r="K110" s="1011">
        <v>2007</v>
      </c>
      <c r="L110" s="1014">
        <v>129.73835354179963</v>
      </c>
      <c r="M110" s="1040"/>
      <c r="N110" s="1041"/>
      <c r="O110" s="1041"/>
    </row>
    <row r="111" spans="1:15" x14ac:dyDescent="0.25">
      <c r="A111" s="828">
        <v>2008</v>
      </c>
      <c r="B111" s="829">
        <v>99.368309168067654</v>
      </c>
      <c r="D111" s="1011">
        <v>2008</v>
      </c>
      <c r="E111" s="1012">
        <v>575.4</v>
      </c>
      <c r="F111" s="1043"/>
      <c r="G111" s="1011">
        <v>2008</v>
      </c>
      <c r="H111" s="1013">
        <v>19.5</v>
      </c>
      <c r="K111" s="1011">
        <v>2008</v>
      </c>
      <c r="L111" s="1014">
        <v>145.6285896617741</v>
      </c>
      <c r="M111" s="1040"/>
      <c r="N111" s="1041"/>
      <c r="O111" s="1041"/>
    </row>
    <row r="112" spans="1:15" ht="14.4" x14ac:dyDescent="0.3">
      <c r="A112" s="828">
        <v>2009</v>
      </c>
      <c r="B112" s="829">
        <v>100</v>
      </c>
      <c r="D112" s="718">
        <v>2009</v>
      </c>
      <c r="E112" s="1012">
        <v>521.9</v>
      </c>
      <c r="F112" s="1043"/>
      <c r="G112" s="718">
        <v>2009</v>
      </c>
      <c r="H112" s="831">
        <v>20.3</v>
      </c>
      <c r="K112" s="1011">
        <v>2009</v>
      </c>
      <c r="L112" s="1015">
        <v>143.39502233567327</v>
      </c>
      <c r="M112" s="1040"/>
      <c r="N112" s="1041"/>
      <c r="O112" s="1041"/>
    </row>
    <row r="113" spans="1:15" ht="14.4" x14ac:dyDescent="0.3">
      <c r="A113" s="828">
        <v>2010</v>
      </c>
      <c r="B113" s="829">
        <v>101.19839722592747</v>
      </c>
      <c r="D113" s="718">
        <v>2010</v>
      </c>
      <c r="E113" s="1012">
        <v>550.79999999999995</v>
      </c>
      <c r="F113" s="1043"/>
      <c r="G113" s="718">
        <v>2010</v>
      </c>
      <c r="H113" s="831">
        <v>21.07</v>
      </c>
      <c r="K113" s="1011">
        <v>2010</v>
      </c>
      <c r="L113" s="1015">
        <v>149.13848117421827</v>
      </c>
      <c r="M113" s="1040"/>
      <c r="N113" s="1041"/>
      <c r="O113" s="1041"/>
    </row>
    <row r="114" spans="1:15" ht="14.4" x14ac:dyDescent="0.3">
      <c r="A114" s="828">
        <v>2011</v>
      </c>
      <c r="B114" s="829">
        <v>103.30263015961967</v>
      </c>
      <c r="D114" s="718">
        <v>2011</v>
      </c>
      <c r="E114" s="1012">
        <v>585.70000000000005</v>
      </c>
      <c r="F114" s="1043"/>
      <c r="G114" s="718">
        <v>2011</v>
      </c>
      <c r="H114" s="831">
        <v>21.45</v>
      </c>
      <c r="K114" s="1011">
        <v>2011</v>
      </c>
      <c r="L114" s="1015">
        <v>160.8806636885769</v>
      </c>
      <c r="M114" s="1040"/>
      <c r="N114" s="1041"/>
      <c r="O114" s="1041"/>
    </row>
    <row r="115" spans="1:15" ht="14.4" x14ac:dyDescent="0.3">
      <c r="A115" s="828">
        <v>2012</v>
      </c>
      <c r="B115" s="829">
        <v>105.23637760431055</v>
      </c>
      <c r="D115" s="718">
        <v>2012</v>
      </c>
      <c r="E115" s="1012">
        <v>584.6</v>
      </c>
      <c r="F115" s="1043"/>
      <c r="G115" s="718">
        <v>2012</v>
      </c>
      <c r="H115" s="831">
        <v>21.447500000000002</v>
      </c>
      <c r="K115" s="1011">
        <v>2012</v>
      </c>
      <c r="L115" s="1015">
        <v>166.11359285258459</v>
      </c>
      <c r="M115" s="1040"/>
      <c r="N115" s="1041"/>
      <c r="O115" s="1041"/>
    </row>
    <row r="116" spans="1:15" ht="14.4" x14ac:dyDescent="0.3">
      <c r="A116" s="828">
        <v>2013</v>
      </c>
      <c r="B116" s="829">
        <v>107.07698945778775</v>
      </c>
      <c r="D116" s="718">
        <v>2013</v>
      </c>
      <c r="E116" s="1012">
        <v>567.29999999999995</v>
      </c>
      <c r="F116" s="1043"/>
      <c r="G116" s="718">
        <v>2013</v>
      </c>
      <c r="H116" s="831">
        <v>21.4025</v>
      </c>
      <c r="K116" s="1011">
        <v>2013</v>
      </c>
      <c r="L116" s="1015">
        <v>168.41097638800255</v>
      </c>
      <c r="M116" s="1040"/>
      <c r="N116" s="1041"/>
      <c r="O116" s="1041"/>
    </row>
    <row r="117" spans="1:15" ht="14.4" x14ac:dyDescent="0.3">
      <c r="A117" s="828">
        <v>2014</v>
      </c>
      <c r="B117" s="829">
        <v>109.07756300464888</v>
      </c>
      <c r="D117" s="718">
        <v>2014</v>
      </c>
      <c r="E117" s="1012">
        <v>576.1</v>
      </c>
      <c r="F117" s="1043"/>
      <c r="G117" s="718">
        <v>2014</v>
      </c>
      <c r="H117" s="831">
        <v>21.488333333333333</v>
      </c>
      <c r="K117" s="1011">
        <v>2014</v>
      </c>
      <c r="L117" s="1015">
        <v>171.79323548181239</v>
      </c>
      <c r="M117" s="1040"/>
      <c r="N117" s="1041"/>
      <c r="O117" s="1041"/>
    </row>
    <row r="118" spans="1:15" ht="14.4" x14ac:dyDescent="0.3">
      <c r="A118" s="828">
        <v>2015</v>
      </c>
      <c r="B118" s="829">
        <v>110.1730901284166</v>
      </c>
      <c r="D118" s="718">
        <v>2015</v>
      </c>
      <c r="E118" s="1012">
        <v>556.79999999999995</v>
      </c>
      <c r="F118" s="1043"/>
      <c r="G118" s="718">
        <v>2015</v>
      </c>
      <c r="H118" s="831">
        <v>21.754999999999999</v>
      </c>
      <c r="K118" s="1011">
        <v>2015</v>
      </c>
      <c r="L118" s="1015">
        <v>168.98532227185709</v>
      </c>
      <c r="M118" s="1040"/>
      <c r="N118" s="1041"/>
      <c r="O118" s="1041"/>
    </row>
    <row r="119" spans="1:15" ht="14.4" x14ac:dyDescent="0.3">
      <c r="A119" s="828">
        <v>2016</v>
      </c>
      <c r="B119" s="829">
        <v>111.27519462444519</v>
      </c>
      <c r="D119" s="718">
        <f>+D118+1</f>
        <v>2016</v>
      </c>
      <c r="E119" s="1012">
        <v>541.70000000000005</v>
      </c>
      <c r="F119" s="1043"/>
      <c r="G119" s="718">
        <v>2016</v>
      </c>
      <c r="H119" s="831">
        <v>22.714999999999993</v>
      </c>
      <c r="K119" s="1011">
        <v>2016</v>
      </c>
      <c r="L119" s="1015">
        <v>170.4530950861519</v>
      </c>
      <c r="M119" s="1040"/>
      <c r="N119" s="1041"/>
      <c r="O119" s="1041"/>
    </row>
    <row r="120" spans="1:15" ht="14.4" x14ac:dyDescent="0.3">
      <c r="A120" s="828">
        <v>2017</v>
      </c>
      <c r="B120" s="829">
        <v>113.38521564572694</v>
      </c>
      <c r="D120" s="1157">
        <f t="shared" ref="D120:D123" si="9">+D119+1</f>
        <v>2017</v>
      </c>
      <c r="E120" s="1158">
        <v>567.5</v>
      </c>
      <c r="G120" s="1157">
        <v>2017</v>
      </c>
      <c r="H120" s="1160">
        <v>24.275833333333328</v>
      </c>
      <c r="K120" s="1157">
        <f>+K119+1</f>
        <v>2017</v>
      </c>
      <c r="L120" s="1167">
        <v>177.13905876096783</v>
      </c>
      <c r="M120" s="1040"/>
      <c r="N120" s="1041"/>
      <c r="O120" s="1041"/>
    </row>
    <row r="121" spans="1:15" ht="14.4" x14ac:dyDescent="0.3">
      <c r="A121" s="1162">
        <v>2018</v>
      </c>
      <c r="B121" s="1163">
        <v>116.09509301719851</v>
      </c>
      <c r="D121" s="1157">
        <f t="shared" si="9"/>
        <v>2018</v>
      </c>
      <c r="E121" s="1158">
        <v>603.1</v>
      </c>
      <c r="G121" s="1157">
        <v>2018</v>
      </c>
      <c r="H121" s="1160">
        <v>25.462500000000002</v>
      </c>
      <c r="K121" s="1157">
        <f>+K120+1</f>
        <v>2018</v>
      </c>
      <c r="L121" s="1167">
        <v>185.15820260568998</v>
      </c>
      <c r="M121" s="1040"/>
      <c r="N121" s="1041"/>
      <c r="O121" s="1041"/>
    </row>
    <row r="122" spans="1:15" ht="14.4" x14ac:dyDescent="0.3">
      <c r="A122" s="1162">
        <v>2019</v>
      </c>
      <c r="B122" s="1163">
        <v>118.17196408228557</v>
      </c>
      <c r="D122" s="1157">
        <f t="shared" si="9"/>
        <v>2019</v>
      </c>
      <c r="E122" s="1158">
        <v>607.5</v>
      </c>
      <c r="G122" s="1157">
        <v>2019</v>
      </c>
      <c r="H122" s="1160">
        <v>25.46083333333333</v>
      </c>
      <c r="K122" s="1157">
        <f>+K121+1</f>
        <v>2019</v>
      </c>
      <c r="L122" s="1167">
        <v>186.37596383940442</v>
      </c>
      <c r="M122" s="1040"/>
      <c r="N122" s="1041"/>
      <c r="O122" s="1041"/>
    </row>
    <row r="123" spans="1:15" ht="14.4" x14ac:dyDescent="0.3">
      <c r="A123" s="1162">
        <v>2020</v>
      </c>
      <c r="B123" s="1163">
        <v>119.58504673880728</v>
      </c>
      <c r="D123" s="1157">
        <f t="shared" si="9"/>
        <v>2020</v>
      </c>
      <c r="E123" s="1158">
        <v>596.20000000000005</v>
      </c>
      <c r="G123" s="1157">
        <v>2020</v>
      </c>
      <c r="H123" s="1160">
        <v>26.035833333333333</v>
      </c>
      <c r="K123" s="1157">
        <f>+K122+1</f>
        <v>2020</v>
      </c>
      <c r="L123" s="1167">
        <v>184.41371975538419</v>
      </c>
      <c r="M123" s="1040"/>
      <c r="N123" s="1041"/>
      <c r="O123" s="1041"/>
    </row>
    <row r="124" spans="1:15" ht="15" thickBot="1" x14ac:dyDescent="0.35">
      <c r="A124" s="1164">
        <v>2021</v>
      </c>
      <c r="B124" s="1165">
        <v>124.54122828480547</v>
      </c>
      <c r="D124" s="1155">
        <v>2021</v>
      </c>
      <c r="E124" s="1156">
        <v>708.01666666666677</v>
      </c>
      <c r="G124" s="1155">
        <v>2021</v>
      </c>
      <c r="H124" s="1161">
        <v>26.685000000000002</v>
      </c>
      <c r="K124" s="1155">
        <f>+K123+1</f>
        <v>2021</v>
      </c>
      <c r="L124" s="1168">
        <v>205.95490561021009</v>
      </c>
      <c r="M124" s="1040"/>
      <c r="N124" s="1041"/>
      <c r="O124" s="1041"/>
    </row>
    <row r="125" spans="1:15" ht="13.8" thickTop="1" x14ac:dyDescent="0.25">
      <c r="A125" s="299" t="s">
        <v>1261</v>
      </c>
      <c r="D125" s="299" t="s">
        <v>1262</v>
      </c>
      <c r="G125" s="299" t="s">
        <v>1260</v>
      </c>
      <c r="K125" s="299" t="s">
        <v>1184</v>
      </c>
      <c r="M125" s="1040"/>
      <c r="N125" s="1041"/>
      <c r="O125" s="1041"/>
    </row>
    <row r="126" spans="1:15" x14ac:dyDescent="0.25">
      <c r="K126" s="299" t="s">
        <v>1185</v>
      </c>
      <c r="M126" s="1040"/>
      <c r="N126" s="1041"/>
      <c r="O126" s="1041"/>
    </row>
    <row r="127" spans="1:15" x14ac:dyDescent="0.25">
      <c r="K127" s="299" t="s">
        <v>1259</v>
      </c>
      <c r="M127" s="1040"/>
      <c r="N127" s="1041"/>
      <c r="O127" s="1041"/>
    </row>
    <row r="128" spans="1:15" x14ac:dyDescent="0.25">
      <c r="M128" s="1040"/>
      <c r="N128" s="1041"/>
      <c r="O128" s="1041"/>
    </row>
    <row r="129" spans="1:15" x14ac:dyDescent="0.25">
      <c r="M129" s="1043"/>
      <c r="N129" s="1041"/>
      <c r="O129" s="1041"/>
    </row>
    <row r="130" spans="1:15" x14ac:dyDescent="0.25">
      <c r="M130" s="1043"/>
      <c r="N130" s="1041"/>
      <c r="O130" s="1041"/>
    </row>
    <row r="131" spans="1:15" x14ac:dyDescent="0.25">
      <c r="M131" s="1043"/>
      <c r="N131" s="1041"/>
      <c r="O131" s="1041"/>
    </row>
    <row r="132" spans="1:15" x14ac:dyDescent="0.25">
      <c r="M132" s="1043"/>
      <c r="N132" s="1041"/>
    </row>
    <row r="133" spans="1:15" ht="13.8" thickBot="1" x14ac:dyDescent="0.3">
      <c r="M133" s="1043"/>
      <c r="N133" s="1041"/>
    </row>
    <row r="134" spans="1:15" ht="28.2" thickBot="1" x14ac:dyDescent="0.3">
      <c r="A134" s="1118" t="s">
        <v>1083</v>
      </c>
      <c r="B134" s="1119"/>
      <c r="C134" s="1119"/>
      <c r="D134" s="1119"/>
      <c r="E134" s="1119"/>
      <c r="F134" s="1119"/>
      <c r="G134" s="1119"/>
      <c r="H134" s="1119"/>
      <c r="I134" s="1120"/>
      <c r="M134" s="1043"/>
      <c r="N134" s="1041"/>
    </row>
    <row r="135" spans="1:15" ht="52.8" x14ac:dyDescent="0.25">
      <c r="A135" s="1102"/>
      <c r="B135" s="518"/>
      <c r="C135" s="1703" t="s">
        <v>123</v>
      </c>
      <c r="D135" s="1703"/>
      <c r="E135" s="1703"/>
      <c r="F135" s="1704" t="s">
        <v>124</v>
      </c>
      <c r="G135" s="1703"/>
      <c r="H135" s="1705"/>
      <c r="I135" s="1103" t="s">
        <v>125</v>
      </c>
    </row>
    <row r="136" spans="1:15" ht="30" customHeight="1" thickBot="1" x14ac:dyDescent="0.3">
      <c r="A136" s="494" t="s">
        <v>126</v>
      </c>
      <c r="B136" s="519" t="s">
        <v>127</v>
      </c>
      <c r="C136" s="520" t="s">
        <v>128</v>
      </c>
      <c r="D136" s="520" t="s">
        <v>395</v>
      </c>
      <c r="E136" s="520" t="s">
        <v>396</v>
      </c>
      <c r="F136" s="494" t="s">
        <v>400</v>
      </c>
      <c r="G136" s="495" t="s">
        <v>401</v>
      </c>
      <c r="H136" s="496" t="s">
        <v>402</v>
      </c>
      <c r="I136" s="1104" t="s">
        <v>129</v>
      </c>
    </row>
    <row r="137" spans="1:15" x14ac:dyDescent="0.25">
      <c r="A137" s="1105" t="s">
        <v>1067</v>
      </c>
      <c r="B137" s="521" t="s">
        <v>130</v>
      </c>
      <c r="C137" s="708">
        <f t="shared" ref="C137:I146" si="10">+AVERAGEIFS(D$167:D$526,$B$167:$B$526,$A137,$C$167:$C$526,"&gt;="&amp;startup_year,$C$167:$C$526,"&lt;="&amp;(startup_year+anal_period))</f>
        <v>1092000</v>
      </c>
      <c r="D137" s="709">
        <f t="shared" si="10"/>
        <v>1092000</v>
      </c>
      <c r="E137" s="710">
        <f t="shared" si="10"/>
        <v>3972</v>
      </c>
      <c r="F137" s="711">
        <f t="shared" si="10"/>
        <v>5.7407200000000005</v>
      </c>
      <c r="G137" s="711">
        <f t="shared" si="10"/>
        <v>0.18462200000000001</v>
      </c>
      <c r="H137" s="711">
        <f t="shared" si="10"/>
        <v>8.6103999999999987E-4</v>
      </c>
      <c r="I137" s="1106">
        <f t="shared" si="10"/>
        <v>11.567499999999999</v>
      </c>
    </row>
    <row r="138" spans="1:15" ht="16.5" customHeight="1" x14ac:dyDescent="0.25">
      <c r="A138" s="1107" t="s">
        <v>282</v>
      </c>
      <c r="B138" s="522" t="s">
        <v>130</v>
      </c>
      <c r="C138" s="712">
        <f t="shared" si="10"/>
        <v>1092000</v>
      </c>
      <c r="D138" s="713">
        <f t="shared" si="10"/>
        <v>1092000</v>
      </c>
      <c r="E138" s="714">
        <f t="shared" si="10"/>
        <v>3972</v>
      </c>
      <c r="F138" s="715">
        <f t="shared" si="10"/>
        <v>5.7407200000000005</v>
      </c>
      <c r="G138" s="715">
        <f t="shared" si="10"/>
        <v>0.18462200000000001</v>
      </c>
      <c r="H138" s="715">
        <f t="shared" si="10"/>
        <v>8.6103999999999987E-4</v>
      </c>
      <c r="I138" s="1108">
        <f t="shared" si="10"/>
        <v>11.567499999999999</v>
      </c>
    </row>
    <row r="139" spans="1:15" x14ac:dyDescent="0.25">
      <c r="A139" s="1109" t="s">
        <v>1068</v>
      </c>
      <c r="B139" s="1097" t="s">
        <v>130</v>
      </c>
      <c r="C139" s="1098">
        <f t="shared" si="10"/>
        <v>1092000</v>
      </c>
      <c r="D139" s="1099">
        <f t="shared" si="10"/>
        <v>1092000</v>
      </c>
      <c r="E139" s="1100">
        <f t="shared" si="10"/>
        <v>3972</v>
      </c>
      <c r="F139" s="1101">
        <f t="shared" si="10"/>
        <v>5.7407200000000005</v>
      </c>
      <c r="G139" s="1101">
        <f t="shared" si="10"/>
        <v>0.18462200000000001</v>
      </c>
      <c r="H139" s="1101">
        <f t="shared" si="10"/>
        <v>8.6103999999999987E-4</v>
      </c>
      <c r="I139" s="1110">
        <f t="shared" si="10"/>
        <v>11.567499999999999</v>
      </c>
    </row>
    <row r="140" spans="1:15" x14ac:dyDescent="0.25">
      <c r="A140" s="1107" t="s">
        <v>670</v>
      </c>
      <c r="B140" s="523" t="s">
        <v>130</v>
      </c>
      <c r="C140" s="713">
        <f t="shared" si="10"/>
        <v>1092000</v>
      </c>
      <c r="D140" s="713">
        <f t="shared" si="10"/>
        <v>1092000</v>
      </c>
      <c r="E140" s="713">
        <f t="shared" si="10"/>
        <v>3972</v>
      </c>
      <c r="F140" s="716">
        <f t="shared" si="10"/>
        <v>5.7407200000000005</v>
      </c>
      <c r="G140" s="715">
        <f t="shared" si="10"/>
        <v>0.18462200000000001</v>
      </c>
      <c r="H140" s="717">
        <f t="shared" si="10"/>
        <v>8.6103999999999987E-4</v>
      </c>
      <c r="I140" s="1108">
        <f t="shared" si="10"/>
        <v>11.567499999999999</v>
      </c>
      <c r="K140" s="1159"/>
      <c r="M140" s="299"/>
    </row>
    <row r="141" spans="1:15" x14ac:dyDescent="0.25">
      <c r="A141" s="1107" t="s">
        <v>671</v>
      </c>
      <c r="B141" s="523" t="s">
        <v>1201</v>
      </c>
      <c r="C141" s="713">
        <f t="shared" si="10"/>
        <v>-1185000</v>
      </c>
      <c r="D141" s="713">
        <f t="shared" si="10"/>
        <v>0</v>
      </c>
      <c r="E141" s="713">
        <f t="shared" si="10"/>
        <v>0</v>
      </c>
      <c r="F141" s="716">
        <f t="shared" si="10"/>
        <v>-85.800000000000011</v>
      </c>
      <c r="G141" s="715">
        <f t="shared" si="10"/>
        <v>0.54700000000000004</v>
      </c>
      <c r="H141" s="717">
        <f t="shared" si="10"/>
        <v>-1.8286999999999997E-3</v>
      </c>
      <c r="I141" s="1108">
        <f t="shared" si="10"/>
        <v>-70.08</v>
      </c>
      <c r="K141" s="1166"/>
      <c r="M141" s="299"/>
    </row>
    <row r="142" spans="1:15" x14ac:dyDescent="0.25">
      <c r="A142" s="1107" t="s">
        <v>672</v>
      </c>
      <c r="B142" s="523" t="s">
        <v>131</v>
      </c>
      <c r="C142" s="713">
        <f t="shared" si="10"/>
        <v>1723800</v>
      </c>
      <c r="D142" s="713">
        <f t="shared" si="10"/>
        <v>1294400</v>
      </c>
      <c r="E142" s="713">
        <f t="shared" si="10"/>
        <v>15610</v>
      </c>
      <c r="F142" s="716">
        <f t="shared" si="10"/>
        <v>126.25399999999999</v>
      </c>
      <c r="G142" s="715">
        <f t="shared" si="10"/>
        <v>0.2043876</v>
      </c>
      <c r="H142" s="717">
        <f t="shared" si="10"/>
        <v>1.8058200000000001E-3</v>
      </c>
      <c r="I142" s="1108">
        <f t="shared" si="10"/>
        <v>131.09200000000001</v>
      </c>
      <c r="K142" s="1159"/>
      <c r="M142" s="299"/>
    </row>
    <row r="143" spans="1:15" x14ac:dyDescent="0.25">
      <c r="A143" s="1107" t="s">
        <v>687</v>
      </c>
      <c r="B143" s="523" t="s">
        <v>131</v>
      </c>
      <c r="C143" s="713">
        <f t="shared" si="10"/>
        <v>1723800</v>
      </c>
      <c r="D143" s="713">
        <f t="shared" si="10"/>
        <v>1294400</v>
      </c>
      <c r="E143" s="713">
        <f t="shared" si="10"/>
        <v>15610</v>
      </c>
      <c r="F143" s="716">
        <f t="shared" si="10"/>
        <v>126.25399999999999</v>
      </c>
      <c r="G143" s="715">
        <f t="shared" si="10"/>
        <v>0.2043876</v>
      </c>
      <c r="H143" s="717">
        <f t="shared" si="10"/>
        <v>1.8058200000000001E-3</v>
      </c>
      <c r="I143" s="1108">
        <f t="shared" si="10"/>
        <v>131.09200000000001</v>
      </c>
    </row>
    <row r="144" spans="1:15" x14ac:dyDescent="0.25">
      <c r="A144" s="1107" t="s">
        <v>673</v>
      </c>
      <c r="B144" s="523" t="s">
        <v>131</v>
      </c>
      <c r="C144" s="713">
        <f t="shared" si="10"/>
        <v>1723800</v>
      </c>
      <c r="D144" s="713">
        <f t="shared" si="10"/>
        <v>1294400</v>
      </c>
      <c r="E144" s="713">
        <f t="shared" si="10"/>
        <v>15610</v>
      </c>
      <c r="F144" s="716">
        <f t="shared" si="10"/>
        <v>126.25399999999999</v>
      </c>
      <c r="G144" s="715">
        <f t="shared" si="10"/>
        <v>0.2043876</v>
      </c>
      <c r="H144" s="717">
        <f t="shared" si="10"/>
        <v>1.8058200000000001E-3</v>
      </c>
      <c r="I144" s="1108">
        <f t="shared" si="10"/>
        <v>131.09200000000001</v>
      </c>
    </row>
    <row r="145" spans="1:9" x14ac:dyDescent="0.25">
      <c r="A145" s="1107" t="s">
        <v>1069</v>
      </c>
      <c r="B145" s="523" t="s">
        <v>132</v>
      </c>
      <c r="C145" s="713">
        <f t="shared" si="10"/>
        <v>1022000</v>
      </c>
      <c r="D145" s="713">
        <f t="shared" si="10"/>
        <v>1021000</v>
      </c>
      <c r="E145" s="713">
        <f t="shared" si="10"/>
        <v>15510</v>
      </c>
      <c r="F145" s="716">
        <f t="shared" si="10"/>
        <v>1.69892</v>
      </c>
      <c r="G145" s="715">
        <f t="shared" si="10"/>
        <v>0.14096230199999998</v>
      </c>
      <c r="H145" s="717">
        <f t="shared" si="10"/>
        <v>3.2812199999999991E-5</v>
      </c>
      <c r="I145" s="1108">
        <f t="shared" si="10"/>
        <v>5.9565599999999987</v>
      </c>
    </row>
    <row r="146" spans="1:9" x14ac:dyDescent="0.25">
      <c r="A146" s="1107" t="s">
        <v>705</v>
      </c>
      <c r="B146" s="523" t="s">
        <v>132</v>
      </c>
      <c r="C146" s="713">
        <f t="shared" si="10"/>
        <v>1022000</v>
      </c>
      <c r="D146" s="713">
        <f t="shared" si="10"/>
        <v>1021000</v>
      </c>
      <c r="E146" s="713">
        <f t="shared" si="10"/>
        <v>15510</v>
      </c>
      <c r="F146" s="716">
        <f t="shared" si="10"/>
        <v>1.69892</v>
      </c>
      <c r="G146" s="715">
        <f t="shared" si="10"/>
        <v>0.14096230199999998</v>
      </c>
      <c r="H146" s="717">
        <f t="shared" si="10"/>
        <v>3.2812199999999991E-5</v>
      </c>
      <c r="I146" s="1108">
        <f t="shared" si="10"/>
        <v>5.9565599999999987</v>
      </c>
    </row>
    <row r="147" spans="1:9" x14ac:dyDescent="0.25">
      <c r="A147" s="1107" t="s">
        <v>706</v>
      </c>
      <c r="B147" s="523" t="s">
        <v>132</v>
      </c>
      <c r="C147" s="713">
        <f t="shared" ref="C147:I155" si="11">+AVERAGEIFS(D$167:D$526,$B$167:$B$526,$A147,$C$167:$C$526,"&gt;="&amp;startup_year,$C$167:$C$526,"&lt;="&amp;(startup_year+anal_period))</f>
        <v>1022000</v>
      </c>
      <c r="D147" s="713">
        <f t="shared" si="11"/>
        <v>1021000</v>
      </c>
      <c r="E147" s="713">
        <f t="shared" si="11"/>
        <v>15510</v>
      </c>
      <c r="F147" s="716">
        <f t="shared" si="11"/>
        <v>1.69892</v>
      </c>
      <c r="G147" s="715">
        <f t="shared" si="11"/>
        <v>0.14096230199999998</v>
      </c>
      <c r="H147" s="717">
        <f t="shared" si="11"/>
        <v>3.2812199999999991E-5</v>
      </c>
      <c r="I147" s="1108">
        <f t="shared" si="11"/>
        <v>5.9565599999999987</v>
      </c>
    </row>
    <row r="148" spans="1:9" x14ac:dyDescent="0.25">
      <c r="A148" s="1107" t="s">
        <v>899</v>
      </c>
      <c r="B148" s="523" t="s">
        <v>133</v>
      </c>
      <c r="C148" s="713">
        <f t="shared" si="11"/>
        <v>1209000</v>
      </c>
      <c r="D148" s="713">
        <f t="shared" si="11"/>
        <v>1202000</v>
      </c>
      <c r="E148" s="713">
        <f t="shared" si="11"/>
        <v>1052000</v>
      </c>
      <c r="F148" s="716">
        <f t="shared" si="11"/>
        <v>17.985599999999998</v>
      </c>
      <c r="G148" s="715">
        <f t="shared" si="11"/>
        <v>0.16412740000000001</v>
      </c>
      <c r="H148" s="717">
        <f t="shared" si="11"/>
        <v>2.9064800000000001E-4</v>
      </c>
      <c r="I148" s="1108">
        <f t="shared" si="11"/>
        <v>23.009</v>
      </c>
    </row>
    <row r="149" spans="1:9" x14ac:dyDescent="0.25">
      <c r="A149" s="1107" t="s">
        <v>897</v>
      </c>
      <c r="B149" s="523" t="s">
        <v>1084</v>
      </c>
      <c r="C149" s="713">
        <f t="shared" si="11"/>
        <v>1585400</v>
      </c>
      <c r="D149" s="713">
        <f t="shared" si="11"/>
        <v>696360</v>
      </c>
      <c r="E149" s="713">
        <f t="shared" si="11"/>
        <v>286020</v>
      </c>
      <c r="F149" s="716">
        <f t="shared" si="11"/>
        <v>38.092200000000005</v>
      </c>
      <c r="G149" s="715">
        <f t="shared" si="11"/>
        <v>0.11179999999999998</v>
      </c>
      <c r="H149" s="717">
        <f t="shared" si="11"/>
        <v>2.5350000000000001E-2</v>
      </c>
      <c r="I149" s="1108">
        <f t="shared" si="11"/>
        <v>45.22</v>
      </c>
    </row>
    <row r="150" spans="1:9" x14ac:dyDescent="0.25">
      <c r="A150" s="1109" t="s">
        <v>311</v>
      </c>
      <c r="B150" s="1467" t="s">
        <v>1621</v>
      </c>
      <c r="C150" s="713">
        <v>1813320.0000000002</v>
      </c>
      <c r="D150" s="713">
        <v>547200</v>
      </c>
      <c r="E150" s="713">
        <v>48780.72</v>
      </c>
      <c r="F150" s="716">
        <v>32.962800000000001</v>
      </c>
      <c r="G150" s="715">
        <v>9.4511600000000001E-2</v>
      </c>
      <c r="H150" s="717">
        <v>7.9808599999999993E-2</v>
      </c>
      <c r="I150" s="1108">
        <v>53.151400000000002</v>
      </c>
    </row>
    <row r="151" spans="1:9" x14ac:dyDescent="0.25">
      <c r="A151" s="1107" t="s">
        <v>900</v>
      </c>
      <c r="B151" s="523" t="s">
        <v>133</v>
      </c>
      <c r="C151" s="713">
        <f t="shared" si="11"/>
        <v>1249200</v>
      </c>
      <c r="D151" s="713">
        <f t="shared" si="11"/>
        <v>1242000</v>
      </c>
      <c r="E151" s="713">
        <f t="shared" si="11"/>
        <v>1078000</v>
      </c>
      <c r="F151" s="716">
        <f t="shared" si="11"/>
        <v>23.859200000000001</v>
      </c>
      <c r="G151" s="715">
        <f t="shared" si="11"/>
        <v>0.16985699999999998</v>
      </c>
      <c r="H151" s="717">
        <f t="shared" si="11"/>
        <v>3.7852799999999999E-4</v>
      </c>
      <c r="I151" s="1108">
        <f t="shared" si="11"/>
        <v>29.178600000000007</v>
      </c>
    </row>
    <row r="152" spans="1:9" x14ac:dyDescent="0.25">
      <c r="A152" s="1107" t="s">
        <v>1063</v>
      </c>
      <c r="B152" s="523" t="s">
        <v>1202</v>
      </c>
      <c r="C152" s="713">
        <f t="shared" si="11"/>
        <v>1190000</v>
      </c>
      <c r="D152" s="713">
        <f t="shared" si="11"/>
        <v>51594</v>
      </c>
      <c r="E152" s="713">
        <f t="shared" si="11"/>
        <v>29220</v>
      </c>
      <c r="F152" s="716">
        <f t="shared" si="11"/>
        <v>3.76186</v>
      </c>
      <c r="G152" s="715">
        <f t="shared" si="11"/>
        <v>8.4353799999999993E-3</v>
      </c>
      <c r="H152" s="717">
        <f t="shared" si="11"/>
        <v>-3.8260910000000002E-3</v>
      </c>
      <c r="I152" s="1108">
        <f t="shared" si="11"/>
        <v>3.0095199999999998</v>
      </c>
    </row>
    <row r="153" spans="1:9" x14ac:dyDescent="0.25">
      <c r="A153" s="1107" t="s">
        <v>804</v>
      </c>
      <c r="B153" s="523" t="s">
        <v>1202</v>
      </c>
      <c r="C153" s="713">
        <f t="shared" si="11"/>
        <v>1190000</v>
      </c>
      <c r="D153" s="713">
        <f t="shared" si="11"/>
        <v>51594</v>
      </c>
      <c r="E153" s="713">
        <f t="shared" si="11"/>
        <v>29220</v>
      </c>
      <c r="F153" s="716">
        <f t="shared" si="11"/>
        <v>3.76186</v>
      </c>
      <c r="G153" s="715">
        <f t="shared" si="11"/>
        <v>8.4353799999999993E-3</v>
      </c>
      <c r="H153" s="717">
        <f t="shared" si="11"/>
        <v>-3.8260910000000002E-3</v>
      </c>
      <c r="I153" s="1108">
        <f t="shared" si="11"/>
        <v>3.0095199999999998</v>
      </c>
    </row>
    <row r="154" spans="1:9" x14ac:dyDescent="0.25">
      <c r="A154" s="1107" t="s">
        <v>812</v>
      </c>
      <c r="B154" s="523" t="s">
        <v>1202</v>
      </c>
      <c r="C154" s="713">
        <f t="shared" si="11"/>
        <v>1190000</v>
      </c>
      <c r="D154" s="713">
        <f t="shared" si="11"/>
        <v>51594</v>
      </c>
      <c r="E154" s="713">
        <f t="shared" si="11"/>
        <v>29220</v>
      </c>
      <c r="F154" s="716">
        <f t="shared" si="11"/>
        <v>3.76186</v>
      </c>
      <c r="G154" s="715">
        <f t="shared" si="11"/>
        <v>8.4353799999999993E-3</v>
      </c>
      <c r="H154" s="717">
        <f t="shared" si="11"/>
        <v>-3.8260910000000002E-3</v>
      </c>
      <c r="I154" s="1108">
        <f t="shared" si="11"/>
        <v>3.0095199999999998</v>
      </c>
    </row>
    <row r="155" spans="1:9" ht="13.8" thickBot="1" x14ac:dyDescent="0.3">
      <c r="A155" s="1111" t="s">
        <v>1070</v>
      </c>
      <c r="B155" s="1112" t="s">
        <v>1203</v>
      </c>
      <c r="C155" s="1113">
        <f t="shared" si="11"/>
        <v>1384000</v>
      </c>
      <c r="D155" s="1113">
        <f t="shared" si="11"/>
        <v>1383000</v>
      </c>
      <c r="E155" s="1113">
        <f t="shared" si="11"/>
        <v>5034</v>
      </c>
      <c r="F155" s="1114">
        <f t="shared" si="11"/>
        <v>78.571100000000001</v>
      </c>
      <c r="G155" s="1115">
        <f t="shared" si="11"/>
        <v>0.27494000000000002</v>
      </c>
      <c r="H155" s="1116">
        <f t="shared" si="11"/>
        <v>2.3304000000000003E-3</v>
      </c>
      <c r="I155" s="1117">
        <f t="shared" si="11"/>
        <v>87.594300000000004</v>
      </c>
    </row>
    <row r="164" spans="2:10" ht="13.8" thickBot="1" x14ac:dyDescent="0.3">
      <c r="B164" s="299" t="s">
        <v>1200</v>
      </c>
    </row>
    <row r="165" spans="2:10" ht="39.6" x14ac:dyDescent="0.25">
      <c r="D165" s="1079" t="s">
        <v>123</v>
      </c>
      <c r="E165" s="1080"/>
      <c r="F165" s="1081"/>
      <c r="G165" s="1079" t="s">
        <v>124</v>
      </c>
      <c r="H165" s="1080"/>
      <c r="I165" s="1080"/>
      <c r="J165" s="1081" t="s">
        <v>125</v>
      </c>
    </row>
    <row r="166" spans="2:10" ht="13.8" thickBot="1" x14ac:dyDescent="0.3">
      <c r="B166" s="1" t="s">
        <v>247</v>
      </c>
      <c r="C166" s="1" t="s">
        <v>1066</v>
      </c>
      <c r="D166" s="1082" t="s">
        <v>128</v>
      </c>
      <c r="E166" s="1083" t="s">
        <v>395</v>
      </c>
      <c r="F166" s="1084" t="s">
        <v>396</v>
      </c>
      <c r="G166" s="1082" t="s">
        <v>400</v>
      </c>
      <c r="H166" s="1083" t="s">
        <v>401</v>
      </c>
      <c r="I166" s="1083" t="s">
        <v>402</v>
      </c>
      <c r="J166" s="1084" t="s">
        <v>129</v>
      </c>
    </row>
    <row r="167" spans="2:10" x14ac:dyDescent="0.25">
      <c r="B167" s="1085" t="s">
        <v>1067</v>
      </c>
      <c r="C167" s="1086">
        <v>2005</v>
      </c>
      <c r="D167" s="1085">
        <v>1094000</v>
      </c>
      <c r="E167" s="1087">
        <v>1094000</v>
      </c>
      <c r="F167" s="1088">
        <v>4252</v>
      </c>
      <c r="G167" s="1085">
        <v>5.9984999999999999</v>
      </c>
      <c r="H167" s="1087">
        <v>0.18232600000000002</v>
      </c>
      <c r="I167" s="1087">
        <v>8.8801999999999994E-5</v>
      </c>
      <c r="J167" s="1088">
        <v>11.536999999999999</v>
      </c>
    </row>
    <row r="168" spans="2:10" x14ac:dyDescent="0.25">
      <c r="B168" s="1089" t="s">
        <v>282</v>
      </c>
      <c r="C168" s="1090">
        <v>2005</v>
      </c>
      <c r="D168" s="1089">
        <v>1094000</v>
      </c>
      <c r="E168" s="1091">
        <v>1094000</v>
      </c>
      <c r="F168" s="1092">
        <v>4252</v>
      </c>
      <c r="G168" s="1089">
        <v>5.9984999999999999</v>
      </c>
      <c r="H168" s="1091">
        <v>0.18232600000000002</v>
      </c>
      <c r="I168" s="1091">
        <v>8.8801999999999994E-5</v>
      </c>
      <c r="J168" s="1092">
        <v>11.536999999999999</v>
      </c>
    </row>
    <row r="169" spans="2:10" x14ac:dyDescent="0.25">
      <c r="B169" s="1089" t="s">
        <v>1068</v>
      </c>
      <c r="C169" s="1090">
        <v>2005</v>
      </c>
      <c r="D169" s="1089">
        <v>1094000</v>
      </c>
      <c r="E169" s="1091">
        <v>1094000</v>
      </c>
      <c r="F169" s="1092">
        <v>4252</v>
      </c>
      <c r="G169" s="1089">
        <v>5.9984999999999999</v>
      </c>
      <c r="H169" s="1091">
        <v>0.18232600000000002</v>
      </c>
      <c r="I169" s="1091">
        <v>8.8801999999999994E-5</v>
      </c>
      <c r="J169" s="1092">
        <v>11.536999999999999</v>
      </c>
    </row>
    <row r="170" spans="2:10" x14ac:dyDescent="0.25">
      <c r="B170" s="1089" t="s">
        <v>670</v>
      </c>
      <c r="C170" s="1090">
        <v>2005</v>
      </c>
      <c r="D170" s="1089">
        <v>1094000</v>
      </c>
      <c r="E170" s="1091">
        <v>1094000</v>
      </c>
      <c r="F170" s="1092">
        <v>4252</v>
      </c>
      <c r="G170" s="1089">
        <v>5.9984999999999999</v>
      </c>
      <c r="H170" s="1091">
        <v>0.18232600000000002</v>
      </c>
      <c r="I170" s="1091">
        <v>8.8801999999999994E-5</v>
      </c>
      <c r="J170" s="1092">
        <v>11.536999999999999</v>
      </c>
    </row>
    <row r="171" spans="2:10" x14ac:dyDescent="0.25">
      <c r="B171" s="1089" t="s">
        <v>671</v>
      </c>
      <c r="C171" s="1090">
        <v>2005</v>
      </c>
      <c r="D171" s="1089">
        <v>-1208000</v>
      </c>
      <c r="E171" s="1091">
        <v>0</v>
      </c>
      <c r="F171" s="1092">
        <v>0</v>
      </c>
      <c r="G171" s="1089">
        <v>-85.789999999999992</v>
      </c>
      <c r="H171" s="1091">
        <v>0.54689999999999994</v>
      </c>
      <c r="I171" s="1091">
        <v>-1.4884E-3</v>
      </c>
      <c r="J171" s="1092">
        <v>-70</v>
      </c>
    </row>
    <row r="172" spans="2:10" x14ac:dyDescent="0.25">
      <c r="B172" s="1089" t="s">
        <v>672</v>
      </c>
      <c r="C172" s="1090">
        <v>2005</v>
      </c>
      <c r="D172" s="1089">
        <v>2475000</v>
      </c>
      <c r="E172" s="1091">
        <v>2129000</v>
      </c>
      <c r="F172" s="1092">
        <v>124000</v>
      </c>
      <c r="G172" s="1089">
        <v>251.83</v>
      </c>
      <c r="H172" s="1091">
        <v>0.31369799999999998</v>
      </c>
      <c r="I172" s="1091">
        <v>3.6604999999999997E-3</v>
      </c>
      <c r="J172" s="1092">
        <v>255.85999999999999</v>
      </c>
    </row>
    <row r="173" spans="2:10" x14ac:dyDescent="0.25">
      <c r="B173" s="1089" t="s">
        <v>687</v>
      </c>
      <c r="C173" s="1090">
        <v>2005</v>
      </c>
      <c r="D173" s="1089">
        <v>2475000</v>
      </c>
      <c r="E173" s="1091">
        <v>2129000</v>
      </c>
      <c r="F173" s="1092">
        <v>124000</v>
      </c>
      <c r="G173" s="1089">
        <v>251.83</v>
      </c>
      <c r="H173" s="1091">
        <v>0.31369799999999998</v>
      </c>
      <c r="I173" s="1091">
        <v>3.6604999999999997E-3</v>
      </c>
      <c r="J173" s="1092">
        <v>255.85999999999999</v>
      </c>
    </row>
    <row r="174" spans="2:10" x14ac:dyDescent="0.25">
      <c r="B174" s="1089" t="s">
        <v>673</v>
      </c>
      <c r="C174" s="1090">
        <v>2005</v>
      </c>
      <c r="D174" s="1089">
        <v>2475000</v>
      </c>
      <c r="E174" s="1091">
        <v>2129000</v>
      </c>
      <c r="F174" s="1092">
        <v>124000</v>
      </c>
      <c r="G174" s="1089">
        <v>251.83</v>
      </c>
      <c r="H174" s="1091">
        <v>0.31369799999999998</v>
      </c>
      <c r="I174" s="1091">
        <v>3.6604999999999997E-3</v>
      </c>
      <c r="J174" s="1092">
        <v>255.85999999999999</v>
      </c>
    </row>
    <row r="175" spans="2:10" x14ac:dyDescent="0.25">
      <c r="B175" s="1089" t="s">
        <v>1069</v>
      </c>
      <c r="C175" s="1090">
        <v>2005</v>
      </c>
      <c r="D175" s="1089">
        <v>1023000</v>
      </c>
      <c r="E175" s="1091">
        <v>1022000</v>
      </c>
      <c r="F175" s="1092">
        <v>15840</v>
      </c>
      <c r="G175" s="1089">
        <v>1.9352</v>
      </c>
      <c r="H175" s="1091">
        <v>0.14136591000000001</v>
      </c>
      <c r="I175" s="1091">
        <v>3.6392E-5</v>
      </c>
      <c r="J175" s="1092">
        <v>6.2023000000000001</v>
      </c>
    </row>
    <row r="176" spans="2:10" x14ac:dyDescent="0.25">
      <c r="B176" s="1089" t="s">
        <v>705</v>
      </c>
      <c r="C176" s="1090">
        <v>2005</v>
      </c>
      <c r="D176" s="1089">
        <v>1023000</v>
      </c>
      <c r="E176" s="1091">
        <v>1022000</v>
      </c>
      <c r="F176" s="1092">
        <v>15840</v>
      </c>
      <c r="G176" s="1089">
        <v>1.9352</v>
      </c>
      <c r="H176" s="1091">
        <v>0.14136591000000001</v>
      </c>
      <c r="I176" s="1091">
        <v>3.6392E-5</v>
      </c>
      <c r="J176" s="1092">
        <v>6.2023000000000001</v>
      </c>
    </row>
    <row r="177" spans="2:10" x14ac:dyDescent="0.25">
      <c r="B177" s="1089" t="s">
        <v>706</v>
      </c>
      <c r="C177" s="1090">
        <v>2005</v>
      </c>
      <c r="D177" s="1089">
        <v>1023000</v>
      </c>
      <c r="E177" s="1091">
        <v>1022000</v>
      </c>
      <c r="F177" s="1092">
        <v>15840</v>
      </c>
      <c r="G177" s="1089">
        <v>1.9352</v>
      </c>
      <c r="H177" s="1091">
        <v>0.14136591000000001</v>
      </c>
      <c r="I177" s="1091">
        <v>3.6392E-5</v>
      </c>
      <c r="J177" s="1092">
        <v>6.2023000000000001</v>
      </c>
    </row>
    <row r="178" spans="2:10" x14ac:dyDescent="0.25">
      <c r="B178" s="1089" t="s">
        <v>899</v>
      </c>
      <c r="C178" s="1090">
        <v>2005</v>
      </c>
      <c r="D178" s="1089">
        <v>1205000</v>
      </c>
      <c r="E178" s="1091">
        <v>1200000</v>
      </c>
      <c r="F178" s="1092">
        <v>1056000</v>
      </c>
      <c r="G178" s="1089">
        <v>18.433</v>
      </c>
      <c r="H178" s="1091">
        <v>0.18217</v>
      </c>
      <c r="I178" s="1091">
        <v>2.0549999999999998E-4</v>
      </c>
      <c r="J178" s="1092">
        <v>23.908999999999999</v>
      </c>
    </row>
    <row r="179" spans="2:10" x14ac:dyDescent="0.25">
      <c r="B179" s="1089" t="s">
        <v>897</v>
      </c>
      <c r="C179" s="1090">
        <v>2005</v>
      </c>
      <c r="D179" s="1089">
        <v>1760000</v>
      </c>
      <c r="E179" s="1091">
        <v>783400</v>
      </c>
      <c r="F179" s="1092">
        <v>307400</v>
      </c>
      <c r="G179" s="1089">
        <v>47.923999999999999</v>
      </c>
      <c r="H179" s="1091">
        <v>0.13161500000000001</v>
      </c>
      <c r="I179" s="1091">
        <v>3.3619999999999997E-2</v>
      </c>
      <c r="J179" s="1092">
        <v>56.43</v>
      </c>
    </row>
    <row r="180" spans="2:10" x14ac:dyDescent="0.25">
      <c r="B180" s="1089" t="s">
        <v>900</v>
      </c>
      <c r="C180" s="1090">
        <v>2005</v>
      </c>
      <c r="D180" s="1089">
        <v>1248000</v>
      </c>
      <c r="E180" s="1091">
        <v>1242000</v>
      </c>
      <c r="F180" s="1092">
        <v>1084000</v>
      </c>
      <c r="G180" s="1089">
        <v>24.465</v>
      </c>
      <c r="H180" s="1091">
        <v>0.18840200000000001</v>
      </c>
      <c r="I180" s="1091">
        <v>2.7361999999999997E-4</v>
      </c>
      <c r="J180" s="1092">
        <v>30.237000000000002</v>
      </c>
    </row>
    <row r="181" spans="2:10" x14ac:dyDescent="0.25">
      <c r="B181" s="1089" t="s">
        <v>1063</v>
      </c>
      <c r="C181" s="1090">
        <v>2005</v>
      </c>
      <c r="D181" s="1089">
        <v>1195000</v>
      </c>
      <c r="E181" s="1091">
        <v>56800</v>
      </c>
      <c r="F181" s="1092">
        <v>32280</v>
      </c>
      <c r="G181" s="1089">
        <v>4.3339999999999996</v>
      </c>
      <c r="H181" s="1091">
        <v>9.434399999999999E-3</v>
      </c>
      <c r="I181" s="1091">
        <v>-3.8369229999999999E-3</v>
      </c>
      <c r="J181" s="1092">
        <v>3.6147</v>
      </c>
    </row>
    <row r="182" spans="2:10" x14ac:dyDescent="0.25">
      <c r="B182" s="1089" t="s">
        <v>804</v>
      </c>
      <c r="C182" s="1090">
        <v>2005</v>
      </c>
      <c r="D182" s="1089">
        <v>1195000</v>
      </c>
      <c r="E182" s="1091">
        <v>56800</v>
      </c>
      <c r="F182" s="1092">
        <v>32280</v>
      </c>
      <c r="G182" s="1089">
        <v>4.3339999999999996</v>
      </c>
      <c r="H182" s="1091">
        <v>9.434399999999999E-3</v>
      </c>
      <c r="I182" s="1091">
        <v>-3.8369229999999999E-3</v>
      </c>
      <c r="J182" s="1092">
        <v>3.6147</v>
      </c>
    </row>
    <row r="183" spans="2:10" x14ac:dyDescent="0.25">
      <c r="B183" s="1089" t="s">
        <v>812</v>
      </c>
      <c r="C183" s="1090">
        <v>2005</v>
      </c>
      <c r="D183" s="1089">
        <v>1195000</v>
      </c>
      <c r="E183" s="1091">
        <v>56800</v>
      </c>
      <c r="F183" s="1092">
        <v>32280</v>
      </c>
      <c r="G183" s="1089">
        <v>4.3339999999999996</v>
      </c>
      <c r="H183" s="1091">
        <v>9.434399999999999E-3</v>
      </c>
      <c r="I183" s="1091">
        <v>-3.8369229999999999E-3</v>
      </c>
      <c r="J183" s="1092">
        <v>3.6147</v>
      </c>
    </row>
    <row r="184" spans="2:10" ht="13.8" thickBot="1" x14ac:dyDescent="0.3">
      <c r="B184" s="1093" t="s">
        <v>1070</v>
      </c>
      <c r="C184" s="1094">
        <v>2005</v>
      </c>
      <c r="D184" s="1093">
        <v>1387000</v>
      </c>
      <c r="E184" s="1095">
        <v>1386000</v>
      </c>
      <c r="F184" s="1096">
        <v>5427</v>
      </c>
      <c r="G184" s="1093">
        <v>78.934799999999996</v>
      </c>
      <c r="H184" s="1095">
        <v>0.27050000000000002</v>
      </c>
      <c r="I184" s="1095">
        <v>1.418723E-3</v>
      </c>
      <c r="J184" s="1096">
        <v>87.571399999999997</v>
      </c>
    </row>
    <row r="185" spans="2:10" x14ac:dyDescent="0.25">
      <c r="B185" s="1085" t="s">
        <v>1067</v>
      </c>
      <c r="C185" s="1086">
        <v>2010</v>
      </c>
      <c r="D185" s="1085">
        <v>1094000</v>
      </c>
      <c r="E185" s="1087">
        <v>1093000</v>
      </c>
      <c r="F185" s="1088">
        <v>4104</v>
      </c>
      <c r="G185" s="1085">
        <v>5.9177</v>
      </c>
      <c r="H185" s="1087">
        <v>0.18431800000000001</v>
      </c>
      <c r="I185" s="1087">
        <v>8.6370000000000001E-4</v>
      </c>
      <c r="J185" s="1088">
        <v>11.7387</v>
      </c>
    </row>
    <row r="186" spans="2:10" x14ac:dyDescent="0.25">
      <c r="B186" s="1089" t="s">
        <v>282</v>
      </c>
      <c r="C186" s="1090">
        <v>2010</v>
      </c>
      <c r="D186" s="1089">
        <v>1094000</v>
      </c>
      <c r="E186" s="1091">
        <v>1093000</v>
      </c>
      <c r="F186" s="1092">
        <v>4104</v>
      </c>
      <c r="G186" s="1089">
        <v>5.9177</v>
      </c>
      <c r="H186" s="1091">
        <v>0.18431800000000001</v>
      </c>
      <c r="I186" s="1091">
        <v>8.6370000000000001E-4</v>
      </c>
      <c r="J186" s="1092">
        <v>11.7387</v>
      </c>
    </row>
    <row r="187" spans="2:10" x14ac:dyDescent="0.25">
      <c r="B187" s="1089" t="s">
        <v>1068</v>
      </c>
      <c r="C187" s="1090">
        <v>2010</v>
      </c>
      <c r="D187" s="1089">
        <v>1094000</v>
      </c>
      <c r="E187" s="1091">
        <v>1093000</v>
      </c>
      <c r="F187" s="1092">
        <v>4104</v>
      </c>
      <c r="G187" s="1089">
        <v>5.9177</v>
      </c>
      <c r="H187" s="1091">
        <v>0.18431800000000001</v>
      </c>
      <c r="I187" s="1091">
        <v>8.6370000000000001E-4</v>
      </c>
      <c r="J187" s="1092">
        <v>11.7387</v>
      </c>
    </row>
    <row r="188" spans="2:10" x14ac:dyDescent="0.25">
      <c r="B188" s="1089" t="s">
        <v>670</v>
      </c>
      <c r="C188" s="1090">
        <v>2010</v>
      </c>
      <c r="D188" s="1089">
        <v>1094000</v>
      </c>
      <c r="E188" s="1091">
        <v>1093000</v>
      </c>
      <c r="F188" s="1092">
        <v>4104</v>
      </c>
      <c r="G188" s="1089">
        <v>5.9177</v>
      </c>
      <c r="H188" s="1091">
        <v>0.18431800000000001</v>
      </c>
      <c r="I188" s="1091">
        <v>8.6370000000000001E-4</v>
      </c>
      <c r="J188" s="1092">
        <v>11.7387</v>
      </c>
    </row>
    <row r="189" spans="2:10" x14ac:dyDescent="0.25">
      <c r="B189" s="1089" t="s">
        <v>671</v>
      </c>
      <c r="C189" s="1090">
        <v>2010</v>
      </c>
      <c r="D189" s="1089">
        <v>-1208000</v>
      </c>
      <c r="E189" s="1091">
        <v>0</v>
      </c>
      <c r="F189" s="1092">
        <v>0</v>
      </c>
      <c r="G189" s="1089">
        <v>-85.789999999999992</v>
      </c>
      <c r="H189" s="1091">
        <v>0.54600000000000004</v>
      </c>
      <c r="I189" s="1091">
        <v>-1.8614999999999999E-3</v>
      </c>
      <c r="J189" s="1092">
        <v>-70.12</v>
      </c>
    </row>
    <row r="190" spans="2:10" x14ac:dyDescent="0.25">
      <c r="B190" s="1089" t="s">
        <v>672</v>
      </c>
      <c r="C190" s="1090">
        <v>2010</v>
      </c>
      <c r="D190" s="1089">
        <v>2254000</v>
      </c>
      <c r="E190" s="1091">
        <v>1938000</v>
      </c>
      <c r="F190" s="1092">
        <v>52730</v>
      </c>
      <c r="G190" s="1089">
        <v>220.67</v>
      </c>
      <c r="H190" s="1091">
        <v>0.288267</v>
      </c>
      <c r="I190" s="1091">
        <v>3.4012000000000001E-3</v>
      </c>
      <c r="J190" s="1092">
        <v>228.91000000000003</v>
      </c>
    </row>
    <row r="191" spans="2:10" x14ac:dyDescent="0.25">
      <c r="B191" s="1089" t="s">
        <v>687</v>
      </c>
      <c r="C191" s="1090">
        <v>2010</v>
      </c>
      <c r="D191" s="1089">
        <v>2254000</v>
      </c>
      <c r="E191" s="1091">
        <v>1938000</v>
      </c>
      <c r="F191" s="1092">
        <v>52730</v>
      </c>
      <c r="G191" s="1089">
        <v>220.67</v>
      </c>
      <c r="H191" s="1091">
        <v>0.288267</v>
      </c>
      <c r="I191" s="1091">
        <v>3.4012000000000001E-3</v>
      </c>
      <c r="J191" s="1092">
        <v>228.91000000000003</v>
      </c>
    </row>
    <row r="192" spans="2:10" x14ac:dyDescent="0.25">
      <c r="B192" s="1089" t="s">
        <v>673</v>
      </c>
      <c r="C192" s="1090">
        <v>2010</v>
      </c>
      <c r="D192" s="1089">
        <v>2254000</v>
      </c>
      <c r="E192" s="1091">
        <v>1938000</v>
      </c>
      <c r="F192" s="1092">
        <v>52730</v>
      </c>
      <c r="G192" s="1089">
        <v>220.67</v>
      </c>
      <c r="H192" s="1091">
        <v>0.288267</v>
      </c>
      <c r="I192" s="1091">
        <v>3.4012000000000001E-3</v>
      </c>
      <c r="J192" s="1092">
        <v>228.91000000000003</v>
      </c>
    </row>
    <row r="193" spans="2:10" x14ac:dyDescent="0.25">
      <c r="B193" s="1089" t="s">
        <v>1069</v>
      </c>
      <c r="C193" s="1090">
        <v>2010</v>
      </c>
      <c r="D193" s="1089">
        <v>1023000</v>
      </c>
      <c r="E193" s="1091">
        <v>1022000</v>
      </c>
      <c r="F193" s="1092">
        <v>15710</v>
      </c>
      <c r="G193" s="1089">
        <v>1.8761000000000001</v>
      </c>
      <c r="H193" s="1091">
        <v>0.14136795000000002</v>
      </c>
      <c r="I193" s="1091">
        <v>3.5802E-5</v>
      </c>
      <c r="J193" s="1092">
        <v>6.1511000000000005</v>
      </c>
    </row>
    <row r="194" spans="2:10" x14ac:dyDescent="0.25">
      <c r="B194" s="1089" t="s">
        <v>705</v>
      </c>
      <c r="C194" s="1090">
        <v>2010</v>
      </c>
      <c r="D194" s="1089">
        <v>1023000</v>
      </c>
      <c r="E194" s="1091">
        <v>1022000</v>
      </c>
      <c r="F194" s="1092">
        <v>15710</v>
      </c>
      <c r="G194" s="1089">
        <v>1.8761000000000001</v>
      </c>
      <c r="H194" s="1091">
        <v>0.14136795000000002</v>
      </c>
      <c r="I194" s="1091">
        <v>3.5802E-5</v>
      </c>
      <c r="J194" s="1092">
        <v>6.1511000000000005</v>
      </c>
    </row>
    <row r="195" spans="2:10" x14ac:dyDescent="0.25">
      <c r="B195" s="1089" t="s">
        <v>706</v>
      </c>
      <c r="C195" s="1090">
        <v>2010</v>
      </c>
      <c r="D195" s="1089">
        <v>1023000</v>
      </c>
      <c r="E195" s="1091">
        <v>1022000</v>
      </c>
      <c r="F195" s="1092">
        <v>15710</v>
      </c>
      <c r="G195" s="1089">
        <v>1.8761000000000001</v>
      </c>
      <c r="H195" s="1091">
        <v>0.14136795000000002</v>
      </c>
      <c r="I195" s="1091">
        <v>3.5802E-5</v>
      </c>
      <c r="J195" s="1092">
        <v>6.1511000000000005</v>
      </c>
    </row>
    <row r="196" spans="2:10" x14ac:dyDescent="0.25">
      <c r="B196" s="1089" t="s">
        <v>899</v>
      </c>
      <c r="C196" s="1090">
        <v>2010</v>
      </c>
      <c r="D196" s="1089">
        <v>1206000</v>
      </c>
      <c r="E196" s="1091">
        <v>1201000</v>
      </c>
      <c r="F196" s="1092">
        <v>1056000</v>
      </c>
      <c r="G196" s="1089">
        <v>18.166999999999998</v>
      </c>
      <c r="H196" s="1091">
        <v>0.18199899999999999</v>
      </c>
      <c r="I196" s="1091">
        <v>2.9639E-4</v>
      </c>
      <c r="J196" s="1092">
        <v>23.741999999999997</v>
      </c>
    </row>
    <row r="197" spans="2:10" x14ac:dyDescent="0.25">
      <c r="B197" s="1089" t="s">
        <v>897</v>
      </c>
      <c r="C197" s="1090">
        <v>2010</v>
      </c>
      <c r="D197" s="1089">
        <v>1687000</v>
      </c>
      <c r="E197" s="1091">
        <v>740000</v>
      </c>
      <c r="F197" s="1092">
        <v>297100</v>
      </c>
      <c r="G197" s="1089">
        <v>42.921999999999997</v>
      </c>
      <c r="H197" s="1091">
        <v>0.12687100000000001</v>
      </c>
      <c r="I197" s="1091">
        <v>2.955E-2</v>
      </c>
      <c r="J197" s="1092">
        <v>50.54</v>
      </c>
    </row>
    <row r="198" spans="2:10" x14ac:dyDescent="0.25">
      <c r="B198" s="1089" t="s">
        <v>900</v>
      </c>
      <c r="C198" s="1090">
        <v>2010</v>
      </c>
      <c r="D198" s="1089">
        <v>1248000</v>
      </c>
      <c r="E198" s="1091">
        <v>1242000</v>
      </c>
      <c r="F198" s="1092">
        <v>1083000</v>
      </c>
      <c r="G198" s="1089">
        <v>24.158999999999999</v>
      </c>
      <c r="H198" s="1091">
        <v>0.18823500000000001</v>
      </c>
      <c r="I198" s="1091">
        <v>3.8572999999999998E-4</v>
      </c>
      <c r="J198" s="1092">
        <v>30.041</v>
      </c>
    </row>
    <row r="199" spans="2:10" x14ac:dyDescent="0.25">
      <c r="B199" s="1089" t="s">
        <v>1063</v>
      </c>
      <c r="C199" s="1090">
        <v>2010</v>
      </c>
      <c r="D199" s="1089">
        <v>1194000</v>
      </c>
      <c r="E199" s="1091">
        <v>56320</v>
      </c>
      <c r="F199" s="1092">
        <v>32080</v>
      </c>
      <c r="G199" s="1089">
        <v>4.2514000000000003</v>
      </c>
      <c r="H199" s="1091">
        <v>9.6048000000000001E-3</v>
      </c>
      <c r="I199" s="1091">
        <v>-3.820487E-3</v>
      </c>
      <c r="J199" s="1092">
        <v>3.5488999999999997</v>
      </c>
    </row>
    <row r="200" spans="2:10" x14ac:dyDescent="0.25">
      <c r="B200" s="1089" t="s">
        <v>804</v>
      </c>
      <c r="C200" s="1090">
        <v>2010</v>
      </c>
      <c r="D200" s="1089">
        <v>1194000</v>
      </c>
      <c r="E200" s="1091">
        <v>56320</v>
      </c>
      <c r="F200" s="1092">
        <v>32080</v>
      </c>
      <c r="G200" s="1089">
        <v>4.2514000000000003</v>
      </c>
      <c r="H200" s="1091">
        <v>9.6048000000000001E-3</v>
      </c>
      <c r="I200" s="1091">
        <v>-3.820487E-3</v>
      </c>
      <c r="J200" s="1092">
        <v>3.5488999999999997</v>
      </c>
    </row>
    <row r="201" spans="2:10" x14ac:dyDescent="0.25">
      <c r="B201" s="1089" t="s">
        <v>812</v>
      </c>
      <c r="C201" s="1090">
        <v>2010</v>
      </c>
      <c r="D201" s="1089">
        <v>1194000</v>
      </c>
      <c r="E201" s="1091">
        <v>56320</v>
      </c>
      <c r="F201" s="1092">
        <v>32080</v>
      </c>
      <c r="G201" s="1089">
        <v>4.2514000000000003</v>
      </c>
      <c r="H201" s="1091">
        <v>9.6048000000000001E-3</v>
      </c>
      <c r="I201" s="1091">
        <v>-3.820487E-3</v>
      </c>
      <c r="J201" s="1092">
        <v>3.5488999999999997</v>
      </c>
    </row>
    <row r="202" spans="2:10" ht="13.8" thickBot="1" x14ac:dyDescent="0.3">
      <c r="B202" s="1093" t="s">
        <v>1070</v>
      </c>
      <c r="C202" s="1094">
        <v>2010</v>
      </c>
      <c r="D202" s="1093">
        <v>1386000</v>
      </c>
      <c r="E202" s="1095">
        <v>1385000</v>
      </c>
      <c r="F202" s="1096">
        <v>5215</v>
      </c>
      <c r="G202" s="1093">
        <v>78.8352</v>
      </c>
      <c r="H202" s="1095">
        <v>0.27453</v>
      </c>
      <c r="I202" s="1095">
        <v>2.3346E-3</v>
      </c>
      <c r="J202" s="1096">
        <v>87.848799999999997</v>
      </c>
    </row>
    <row r="203" spans="2:10" x14ac:dyDescent="0.25">
      <c r="B203" s="1085" t="s">
        <v>1067</v>
      </c>
      <c r="C203" s="1086">
        <v>2015</v>
      </c>
      <c r="D203" s="1085">
        <v>1093000</v>
      </c>
      <c r="E203" s="1087">
        <v>1092000</v>
      </c>
      <c r="F203" s="1088">
        <v>4020</v>
      </c>
      <c r="G203" s="1085">
        <v>5.8287000000000004</v>
      </c>
      <c r="H203" s="1087">
        <v>0.18472100000000002</v>
      </c>
      <c r="I203" s="1087">
        <v>8.6249999999999999E-4</v>
      </c>
      <c r="J203" s="1088">
        <v>11.659600000000001</v>
      </c>
    </row>
    <row r="204" spans="2:10" x14ac:dyDescent="0.25">
      <c r="B204" s="1089" t="s">
        <v>282</v>
      </c>
      <c r="C204" s="1090">
        <v>2015</v>
      </c>
      <c r="D204" s="1089">
        <v>1093000</v>
      </c>
      <c r="E204" s="1091">
        <v>1092000</v>
      </c>
      <c r="F204" s="1092">
        <v>4020</v>
      </c>
      <c r="G204" s="1089">
        <v>5.8287000000000004</v>
      </c>
      <c r="H204" s="1091">
        <v>0.18472100000000002</v>
      </c>
      <c r="I204" s="1091">
        <v>8.6249999999999999E-4</v>
      </c>
      <c r="J204" s="1092">
        <v>11.659600000000001</v>
      </c>
    </row>
    <row r="205" spans="2:10" x14ac:dyDescent="0.25">
      <c r="B205" s="1089" t="s">
        <v>1068</v>
      </c>
      <c r="C205" s="1090">
        <v>2015</v>
      </c>
      <c r="D205" s="1089">
        <v>1093000</v>
      </c>
      <c r="E205" s="1091">
        <v>1092000</v>
      </c>
      <c r="F205" s="1092">
        <v>4020</v>
      </c>
      <c r="G205" s="1089">
        <v>5.8287000000000004</v>
      </c>
      <c r="H205" s="1091">
        <v>0.18472100000000002</v>
      </c>
      <c r="I205" s="1091">
        <v>8.6249999999999999E-4</v>
      </c>
      <c r="J205" s="1092">
        <v>11.659600000000001</v>
      </c>
    </row>
    <row r="206" spans="2:10" x14ac:dyDescent="0.25">
      <c r="B206" s="1089" t="s">
        <v>670</v>
      </c>
      <c r="C206" s="1090">
        <v>2015</v>
      </c>
      <c r="D206" s="1089">
        <v>1093000</v>
      </c>
      <c r="E206" s="1091">
        <v>1092000</v>
      </c>
      <c r="F206" s="1092">
        <v>4020</v>
      </c>
      <c r="G206" s="1089">
        <v>5.8287000000000004</v>
      </c>
      <c r="H206" s="1091">
        <v>0.18472100000000002</v>
      </c>
      <c r="I206" s="1091">
        <v>8.6249999999999999E-4</v>
      </c>
      <c r="J206" s="1092">
        <v>11.659600000000001</v>
      </c>
    </row>
    <row r="207" spans="2:10" x14ac:dyDescent="0.25">
      <c r="B207" s="1089" t="s">
        <v>671</v>
      </c>
      <c r="C207" s="1090">
        <v>2015</v>
      </c>
      <c r="D207" s="1089">
        <v>-1194000</v>
      </c>
      <c r="E207" s="1091">
        <v>0</v>
      </c>
      <c r="F207" s="1092">
        <v>0</v>
      </c>
      <c r="G207" s="1089">
        <v>-85.789999999999992</v>
      </c>
      <c r="H207" s="1091">
        <v>0.54659999999999997</v>
      </c>
      <c r="I207" s="1091">
        <v>-1.8422E-3</v>
      </c>
      <c r="J207" s="1092">
        <v>-70.099999999999994</v>
      </c>
    </row>
    <row r="208" spans="2:10" x14ac:dyDescent="0.25">
      <c r="B208" s="1089" t="s">
        <v>672</v>
      </c>
      <c r="C208" s="1090">
        <v>2015</v>
      </c>
      <c r="D208" s="1089">
        <v>2038000</v>
      </c>
      <c r="E208" s="1091">
        <v>1688000</v>
      </c>
      <c r="F208" s="1092">
        <v>38920</v>
      </c>
      <c r="G208" s="1089">
        <v>180.61</v>
      </c>
      <c r="H208" s="1091">
        <v>0.25748300000000002</v>
      </c>
      <c r="I208" s="1091">
        <v>2.7356999999999998E-3</v>
      </c>
      <c r="J208" s="1092">
        <v>187.32</v>
      </c>
    </row>
    <row r="209" spans="2:10" x14ac:dyDescent="0.25">
      <c r="B209" s="1089" t="s">
        <v>687</v>
      </c>
      <c r="C209" s="1090">
        <v>2015</v>
      </c>
      <c r="D209" s="1089">
        <v>2038000</v>
      </c>
      <c r="E209" s="1091">
        <v>1688000</v>
      </c>
      <c r="F209" s="1092">
        <v>38920</v>
      </c>
      <c r="G209" s="1089">
        <v>180.61</v>
      </c>
      <c r="H209" s="1091">
        <v>0.25748300000000002</v>
      </c>
      <c r="I209" s="1091">
        <v>2.7356999999999998E-3</v>
      </c>
      <c r="J209" s="1092">
        <v>187.32</v>
      </c>
    </row>
    <row r="210" spans="2:10" x14ac:dyDescent="0.25">
      <c r="B210" s="1089" t="s">
        <v>673</v>
      </c>
      <c r="C210" s="1090">
        <v>2015</v>
      </c>
      <c r="D210" s="1089">
        <v>2038000</v>
      </c>
      <c r="E210" s="1091">
        <v>1688000</v>
      </c>
      <c r="F210" s="1092">
        <v>38920</v>
      </c>
      <c r="G210" s="1089">
        <v>180.61</v>
      </c>
      <c r="H210" s="1091">
        <v>0.25748300000000002</v>
      </c>
      <c r="I210" s="1091">
        <v>2.7356999999999998E-3</v>
      </c>
      <c r="J210" s="1092">
        <v>187.32</v>
      </c>
    </row>
    <row r="211" spans="2:10" x14ac:dyDescent="0.25">
      <c r="B211" s="1089" t="s">
        <v>1069</v>
      </c>
      <c r="C211" s="1090">
        <v>2015</v>
      </c>
      <c r="D211" s="1089">
        <v>1022000</v>
      </c>
      <c r="E211" s="1091">
        <v>1021000</v>
      </c>
      <c r="F211" s="1092">
        <v>15590</v>
      </c>
      <c r="G211" s="1089">
        <v>1.8048999999999999</v>
      </c>
      <c r="H211" s="1091">
        <v>0.14106285999999998</v>
      </c>
      <c r="I211" s="1091">
        <v>3.4603000000000001E-5</v>
      </c>
      <c r="J211" s="1092">
        <v>6.0683999999999996</v>
      </c>
    </row>
    <row r="212" spans="2:10" x14ac:dyDescent="0.25">
      <c r="B212" s="1089" t="s">
        <v>705</v>
      </c>
      <c r="C212" s="1090">
        <v>2015</v>
      </c>
      <c r="D212" s="1089">
        <v>1022000</v>
      </c>
      <c r="E212" s="1091">
        <v>1021000</v>
      </c>
      <c r="F212" s="1092">
        <v>15590</v>
      </c>
      <c r="G212" s="1089">
        <v>1.8048999999999999</v>
      </c>
      <c r="H212" s="1091">
        <v>0.14106285999999998</v>
      </c>
      <c r="I212" s="1091">
        <v>3.4603000000000001E-5</v>
      </c>
      <c r="J212" s="1092">
        <v>6.0683999999999996</v>
      </c>
    </row>
    <row r="213" spans="2:10" x14ac:dyDescent="0.25">
      <c r="B213" s="1089" t="s">
        <v>706</v>
      </c>
      <c r="C213" s="1090">
        <v>2015</v>
      </c>
      <c r="D213" s="1089">
        <v>1022000</v>
      </c>
      <c r="E213" s="1091">
        <v>1021000</v>
      </c>
      <c r="F213" s="1092">
        <v>15590</v>
      </c>
      <c r="G213" s="1089">
        <v>1.8048999999999999</v>
      </c>
      <c r="H213" s="1091">
        <v>0.14106285999999998</v>
      </c>
      <c r="I213" s="1091">
        <v>3.4603000000000001E-5</v>
      </c>
      <c r="J213" s="1092">
        <v>6.0683999999999996</v>
      </c>
    </row>
    <row r="214" spans="2:10" x14ac:dyDescent="0.25">
      <c r="B214" s="1089" t="s">
        <v>899</v>
      </c>
      <c r="C214" s="1090">
        <v>2015</v>
      </c>
      <c r="D214" s="1089">
        <v>1210000</v>
      </c>
      <c r="E214" s="1091">
        <v>1204000</v>
      </c>
      <c r="F214" s="1092">
        <v>1053000</v>
      </c>
      <c r="G214" s="1089">
        <v>18.527999999999999</v>
      </c>
      <c r="H214" s="1091">
        <v>0.16494200000000001</v>
      </c>
      <c r="I214" s="1091">
        <v>2.9771000000000002E-4</v>
      </c>
      <c r="J214" s="1092">
        <v>23.579000000000001</v>
      </c>
    </row>
    <row r="215" spans="2:10" x14ac:dyDescent="0.25">
      <c r="B215" s="1089" t="s">
        <v>897</v>
      </c>
      <c r="C215" s="1090">
        <v>2015</v>
      </c>
      <c r="D215" s="1089">
        <v>1642000</v>
      </c>
      <c r="E215" s="1091">
        <v>724000</v>
      </c>
      <c r="F215" s="1092">
        <v>290600</v>
      </c>
      <c r="G215" s="1089">
        <v>41.042999999999999</v>
      </c>
      <c r="H215" s="1091">
        <v>0.1162</v>
      </c>
      <c r="I215" s="1091">
        <v>2.7609999999999999E-2</v>
      </c>
      <c r="J215" s="1092">
        <v>48.36</v>
      </c>
    </row>
    <row r="216" spans="2:10" x14ac:dyDescent="0.25">
      <c r="B216" s="1089" t="s">
        <v>900</v>
      </c>
      <c r="C216" s="1090">
        <v>2015</v>
      </c>
      <c r="D216" s="1089">
        <v>1252000</v>
      </c>
      <c r="E216" s="1091">
        <v>1245000</v>
      </c>
      <c r="F216" s="1092">
        <v>1081000</v>
      </c>
      <c r="G216" s="1089">
        <v>24.462</v>
      </c>
      <c r="H216" s="1091">
        <v>0.17067199999999999</v>
      </c>
      <c r="I216" s="1091">
        <v>3.8633E-4</v>
      </c>
      <c r="J216" s="1092">
        <v>29.811999999999998</v>
      </c>
    </row>
    <row r="217" spans="2:10" x14ac:dyDescent="0.25">
      <c r="B217" s="1089" t="s">
        <v>1063</v>
      </c>
      <c r="C217" s="1090">
        <v>2015</v>
      </c>
      <c r="D217" s="1089">
        <v>1191000</v>
      </c>
      <c r="E217" s="1091">
        <v>53390</v>
      </c>
      <c r="F217" s="1092">
        <v>29910</v>
      </c>
      <c r="G217" s="1089">
        <v>3.9701</v>
      </c>
      <c r="H217" s="1091">
        <v>8.6864999999999998E-3</v>
      </c>
      <c r="I217" s="1091">
        <v>-3.8232459999999998E-3</v>
      </c>
      <c r="J217" s="1092">
        <v>3.2326999999999999</v>
      </c>
    </row>
    <row r="218" spans="2:10" x14ac:dyDescent="0.25">
      <c r="B218" s="1089" t="s">
        <v>804</v>
      </c>
      <c r="C218" s="1090">
        <v>2015</v>
      </c>
      <c r="D218" s="1089">
        <v>1191000</v>
      </c>
      <c r="E218" s="1091">
        <v>53390</v>
      </c>
      <c r="F218" s="1092">
        <v>29910</v>
      </c>
      <c r="G218" s="1089">
        <v>3.9701</v>
      </c>
      <c r="H218" s="1091">
        <v>8.6864999999999998E-3</v>
      </c>
      <c r="I218" s="1091">
        <v>-3.8232459999999998E-3</v>
      </c>
      <c r="J218" s="1092">
        <v>3.2326999999999999</v>
      </c>
    </row>
    <row r="219" spans="2:10" x14ac:dyDescent="0.25">
      <c r="B219" s="1089" t="s">
        <v>812</v>
      </c>
      <c r="C219" s="1090">
        <v>2015</v>
      </c>
      <c r="D219" s="1089">
        <v>1191000</v>
      </c>
      <c r="E219" s="1091">
        <v>53390</v>
      </c>
      <c r="F219" s="1092">
        <v>29910</v>
      </c>
      <c r="G219" s="1089">
        <v>3.9701</v>
      </c>
      <c r="H219" s="1091">
        <v>8.6864999999999998E-3</v>
      </c>
      <c r="I219" s="1091">
        <v>-3.8232459999999998E-3</v>
      </c>
      <c r="J219" s="1092">
        <v>3.2326999999999999</v>
      </c>
    </row>
    <row r="220" spans="2:10" ht="13.8" thickBot="1" x14ac:dyDescent="0.3">
      <c r="B220" s="1093" t="s">
        <v>1070</v>
      </c>
      <c r="C220" s="1094">
        <v>2015</v>
      </c>
      <c r="D220" s="1093">
        <v>1385000</v>
      </c>
      <c r="E220" s="1095">
        <v>1384000</v>
      </c>
      <c r="F220" s="1096">
        <v>5105</v>
      </c>
      <c r="G220" s="1093">
        <v>78.707400000000007</v>
      </c>
      <c r="H220" s="1095">
        <v>0.27494000000000002</v>
      </c>
      <c r="I220" s="1095">
        <v>2.3330999999999998E-3</v>
      </c>
      <c r="J220" s="1096">
        <v>87.730800000000002</v>
      </c>
    </row>
    <row r="221" spans="2:10" x14ac:dyDescent="0.25">
      <c r="B221" s="1085" t="s">
        <v>1067</v>
      </c>
      <c r="C221" s="1086">
        <v>2020</v>
      </c>
      <c r="D221" s="1085">
        <v>1093000</v>
      </c>
      <c r="E221" s="1087">
        <v>1092000</v>
      </c>
      <c r="F221" s="1088">
        <v>3993</v>
      </c>
      <c r="G221" s="1085">
        <v>5.7995000000000001</v>
      </c>
      <c r="H221" s="1087">
        <v>0.18462100000000001</v>
      </c>
      <c r="I221" s="1087">
        <v>8.6209999999999998E-4</v>
      </c>
      <c r="J221" s="1088">
        <v>11.6227</v>
      </c>
    </row>
    <row r="222" spans="2:10" x14ac:dyDescent="0.25">
      <c r="B222" s="1089" t="s">
        <v>282</v>
      </c>
      <c r="C222" s="1090">
        <v>2020</v>
      </c>
      <c r="D222" s="1089">
        <v>1093000</v>
      </c>
      <c r="E222" s="1091">
        <v>1092000</v>
      </c>
      <c r="F222" s="1092">
        <v>3993</v>
      </c>
      <c r="G222" s="1089">
        <v>5.7995000000000001</v>
      </c>
      <c r="H222" s="1091">
        <v>0.18462100000000001</v>
      </c>
      <c r="I222" s="1091">
        <v>8.6209999999999998E-4</v>
      </c>
      <c r="J222" s="1092">
        <v>11.6227</v>
      </c>
    </row>
    <row r="223" spans="2:10" x14ac:dyDescent="0.25">
      <c r="B223" s="1089" t="s">
        <v>1068</v>
      </c>
      <c r="C223" s="1090">
        <v>2020</v>
      </c>
      <c r="D223" s="1089">
        <v>1093000</v>
      </c>
      <c r="E223" s="1091">
        <v>1092000</v>
      </c>
      <c r="F223" s="1092">
        <v>3993</v>
      </c>
      <c r="G223" s="1089">
        <v>5.7995000000000001</v>
      </c>
      <c r="H223" s="1091">
        <v>0.18462100000000001</v>
      </c>
      <c r="I223" s="1091">
        <v>8.6209999999999998E-4</v>
      </c>
      <c r="J223" s="1092">
        <v>11.6227</v>
      </c>
    </row>
    <row r="224" spans="2:10" x14ac:dyDescent="0.25">
      <c r="B224" s="1089" t="s">
        <v>670</v>
      </c>
      <c r="C224" s="1090">
        <v>2020</v>
      </c>
      <c r="D224" s="1089">
        <v>1093000</v>
      </c>
      <c r="E224" s="1091">
        <v>1092000</v>
      </c>
      <c r="F224" s="1092">
        <v>3993</v>
      </c>
      <c r="G224" s="1089">
        <v>5.7995000000000001</v>
      </c>
      <c r="H224" s="1091">
        <v>0.18462100000000001</v>
      </c>
      <c r="I224" s="1091">
        <v>8.6209999999999998E-4</v>
      </c>
      <c r="J224" s="1092">
        <v>11.6227</v>
      </c>
    </row>
    <row r="225" spans="2:10" x14ac:dyDescent="0.25">
      <c r="B225" s="1089" t="s">
        <v>671</v>
      </c>
      <c r="C225" s="1090">
        <v>2020</v>
      </c>
      <c r="D225" s="1089">
        <v>-1185000</v>
      </c>
      <c r="E225" s="1091">
        <v>0</v>
      </c>
      <c r="F225" s="1092">
        <v>0</v>
      </c>
      <c r="G225" s="1089">
        <v>-85.800000000000011</v>
      </c>
      <c r="H225" s="1091">
        <v>0.54700000000000004</v>
      </c>
      <c r="I225" s="1091">
        <v>-1.8286999999999999E-3</v>
      </c>
      <c r="J225" s="1092">
        <v>-70.08</v>
      </c>
    </row>
    <row r="226" spans="2:10" x14ac:dyDescent="0.25">
      <c r="B226" s="1089" t="s">
        <v>672</v>
      </c>
      <c r="C226" s="1090">
        <v>2020</v>
      </c>
      <c r="D226" s="1089">
        <v>1866000</v>
      </c>
      <c r="E226" s="1091">
        <v>1484000</v>
      </c>
      <c r="F226" s="1092">
        <v>26490</v>
      </c>
      <c r="G226" s="1089">
        <v>161.61000000000001</v>
      </c>
      <c r="H226" s="1091">
        <v>0.22423899999999999</v>
      </c>
      <c r="I226" s="1091">
        <v>2.4153E-3</v>
      </c>
      <c r="J226" s="1092">
        <v>168.06</v>
      </c>
    </row>
    <row r="227" spans="2:10" x14ac:dyDescent="0.25">
      <c r="B227" s="1089" t="s">
        <v>687</v>
      </c>
      <c r="C227" s="1090">
        <v>2020</v>
      </c>
      <c r="D227" s="1089">
        <v>1866000</v>
      </c>
      <c r="E227" s="1091">
        <v>1484000</v>
      </c>
      <c r="F227" s="1092">
        <v>26490</v>
      </c>
      <c r="G227" s="1089">
        <v>161.61000000000001</v>
      </c>
      <c r="H227" s="1091">
        <v>0.22423899999999999</v>
      </c>
      <c r="I227" s="1091">
        <v>2.4153E-3</v>
      </c>
      <c r="J227" s="1092">
        <v>168.06</v>
      </c>
    </row>
    <row r="228" spans="2:10" x14ac:dyDescent="0.25">
      <c r="B228" s="1089" t="s">
        <v>673</v>
      </c>
      <c r="C228" s="1090">
        <v>2020</v>
      </c>
      <c r="D228" s="1089">
        <v>1866000</v>
      </c>
      <c r="E228" s="1091">
        <v>1484000</v>
      </c>
      <c r="F228" s="1092">
        <v>26490</v>
      </c>
      <c r="G228" s="1089">
        <v>161.61000000000001</v>
      </c>
      <c r="H228" s="1091">
        <v>0.22423899999999999</v>
      </c>
      <c r="I228" s="1091">
        <v>2.4153E-3</v>
      </c>
      <c r="J228" s="1092">
        <v>168.06</v>
      </c>
    </row>
    <row r="229" spans="2:10" x14ac:dyDescent="0.25">
      <c r="B229" s="1089" t="s">
        <v>1069</v>
      </c>
      <c r="C229" s="1090">
        <v>2020</v>
      </c>
      <c r="D229" s="1089">
        <v>1022000</v>
      </c>
      <c r="E229" s="1091">
        <v>1021000</v>
      </c>
      <c r="F229" s="1092">
        <v>15530</v>
      </c>
      <c r="G229" s="1089">
        <v>1.7706</v>
      </c>
      <c r="H229" s="1091">
        <v>0.14096106</v>
      </c>
      <c r="I229" s="1091">
        <v>3.4058000000000005E-5</v>
      </c>
      <c r="J229" s="1092">
        <v>6.0322999999999993</v>
      </c>
    </row>
    <row r="230" spans="2:10" x14ac:dyDescent="0.25">
      <c r="B230" s="1089" t="s">
        <v>705</v>
      </c>
      <c r="C230" s="1090">
        <v>2020</v>
      </c>
      <c r="D230" s="1089">
        <v>1022000</v>
      </c>
      <c r="E230" s="1091">
        <v>1021000</v>
      </c>
      <c r="F230" s="1092">
        <v>15530</v>
      </c>
      <c r="G230" s="1089">
        <v>1.7706</v>
      </c>
      <c r="H230" s="1091">
        <v>0.14096106</v>
      </c>
      <c r="I230" s="1091">
        <v>3.4058000000000005E-5</v>
      </c>
      <c r="J230" s="1092">
        <v>6.0322999999999993</v>
      </c>
    </row>
    <row r="231" spans="2:10" x14ac:dyDescent="0.25">
      <c r="B231" s="1089" t="s">
        <v>706</v>
      </c>
      <c r="C231" s="1090">
        <v>2020</v>
      </c>
      <c r="D231" s="1089">
        <v>1022000</v>
      </c>
      <c r="E231" s="1091">
        <v>1021000</v>
      </c>
      <c r="F231" s="1092">
        <v>15530</v>
      </c>
      <c r="G231" s="1089">
        <v>1.7706</v>
      </c>
      <c r="H231" s="1091">
        <v>0.14096106</v>
      </c>
      <c r="I231" s="1091">
        <v>3.4058000000000005E-5</v>
      </c>
      <c r="J231" s="1092">
        <v>6.0322999999999993</v>
      </c>
    </row>
    <row r="232" spans="2:10" x14ac:dyDescent="0.25">
      <c r="B232" s="1089" t="s">
        <v>899</v>
      </c>
      <c r="C232" s="1090">
        <v>2020</v>
      </c>
      <c r="D232" s="1089">
        <v>1211000</v>
      </c>
      <c r="E232" s="1091">
        <v>1205000</v>
      </c>
      <c r="F232" s="1092">
        <v>1052000</v>
      </c>
      <c r="G232" s="1089">
        <v>18.605999999999998</v>
      </c>
      <c r="H232" s="1091">
        <v>0.162991</v>
      </c>
      <c r="I232" s="1091">
        <v>3.0018999999999998E-4</v>
      </c>
      <c r="J232" s="1092">
        <v>23.607999999999997</v>
      </c>
    </row>
    <row r="233" spans="2:10" x14ac:dyDescent="0.25">
      <c r="B233" s="1089" t="s">
        <v>897</v>
      </c>
      <c r="C233" s="1090">
        <v>2020</v>
      </c>
      <c r="D233" s="1089">
        <v>1591000</v>
      </c>
      <c r="E233" s="1091">
        <v>703100</v>
      </c>
      <c r="F233" s="1092">
        <v>286400</v>
      </c>
      <c r="G233" s="1089">
        <v>39.366999999999997</v>
      </c>
      <c r="H233" s="1091">
        <v>0.11210000000000001</v>
      </c>
      <c r="I233" s="1091">
        <v>2.5360000000000001E-2</v>
      </c>
      <c r="J233" s="1092">
        <v>46.16</v>
      </c>
    </row>
    <row r="234" spans="2:10" x14ac:dyDescent="0.25">
      <c r="B234" s="1089" t="s">
        <v>900</v>
      </c>
      <c r="C234" s="1090">
        <v>2020</v>
      </c>
      <c r="D234" s="1089">
        <v>1252000</v>
      </c>
      <c r="E234" s="1091">
        <v>1245000</v>
      </c>
      <c r="F234" s="1092">
        <v>1078000</v>
      </c>
      <c r="G234" s="1089">
        <v>24.533999999999999</v>
      </c>
      <c r="H234" s="1091">
        <v>0.16861900000000002</v>
      </c>
      <c r="I234" s="1091">
        <v>3.8906999999999999E-4</v>
      </c>
      <c r="J234" s="1092">
        <v>29.833999999999996</v>
      </c>
    </row>
    <row r="235" spans="2:10" x14ac:dyDescent="0.25">
      <c r="B235" s="1089" t="s">
        <v>1063</v>
      </c>
      <c r="C235" s="1090">
        <v>2020</v>
      </c>
      <c r="D235" s="1089">
        <v>1190000</v>
      </c>
      <c r="E235" s="1091">
        <v>52190</v>
      </c>
      <c r="F235" s="1092">
        <v>29260</v>
      </c>
      <c r="G235" s="1089">
        <v>3.8701999999999996</v>
      </c>
      <c r="H235" s="1091">
        <v>8.4535000000000009E-3</v>
      </c>
      <c r="I235" s="1091">
        <v>-3.824488E-3</v>
      </c>
      <c r="J235" s="1092">
        <v>3.1251000000000002</v>
      </c>
    </row>
    <row r="236" spans="2:10" x14ac:dyDescent="0.25">
      <c r="B236" s="1089" t="s">
        <v>804</v>
      </c>
      <c r="C236" s="1090">
        <v>2020</v>
      </c>
      <c r="D236" s="1089">
        <v>1190000</v>
      </c>
      <c r="E236" s="1091">
        <v>52190</v>
      </c>
      <c r="F236" s="1092">
        <v>29260</v>
      </c>
      <c r="G236" s="1089">
        <v>3.8701999999999996</v>
      </c>
      <c r="H236" s="1091">
        <v>8.4535000000000009E-3</v>
      </c>
      <c r="I236" s="1091">
        <v>-3.824488E-3</v>
      </c>
      <c r="J236" s="1092">
        <v>3.1251000000000002</v>
      </c>
    </row>
    <row r="237" spans="2:10" x14ac:dyDescent="0.25">
      <c r="B237" s="1089" t="s">
        <v>812</v>
      </c>
      <c r="C237" s="1090">
        <v>2020</v>
      </c>
      <c r="D237" s="1089">
        <v>1190000</v>
      </c>
      <c r="E237" s="1091">
        <v>52190</v>
      </c>
      <c r="F237" s="1092">
        <v>29260</v>
      </c>
      <c r="G237" s="1089">
        <v>3.8701999999999996</v>
      </c>
      <c r="H237" s="1091">
        <v>8.4535000000000009E-3</v>
      </c>
      <c r="I237" s="1091">
        <v>-3.824488E-3</v>
      </c>
      <c r="J237" s="1092">
        <v>3.1251000000000002</v>
      </c>
    </row>
    <row r="238" spans="2:10" ht="13.8" thickBot="1" x14ac:dyDescent="0.3">
      <c r="B238" s="1093" t="s">
        <v>1070</v>
      </c>
      <c r="C238" s="1094">
        <v>2020</v>
      </c>
      <c r="D238" s="1093">
        <v>1384000</v>
      </c>
      <c r="E238" s="1095">
        <v>1384000</v>
      </c>
      <c r="F238" s="1096">
        <v>5066</v>
      </c>
      <c r="G238" s="1093">
        <v>78.656899999999993</v>
      </c>
      <c r="H238" s="1095">
        <v>0.27494000000000002</v>
      </c>
      <c r="I238" s="1095">
        <v>2.3319E-3</v>
      </c>
      <c r="J238" s="1096">
        <v>87.680599999999998</v>
      </c>
    </row>
    <row r="239" spans="2:10" x14ac:dyDescent="0.25">
      <c r="B239" s="1085" t="s">
        <v>1067</v>
      </c>
      <c r="C239" s="1086">
        <v>2025</v>
      </c>
      <c r="D239" s="1085">
        <v>1093000</v>
      </c>
      <c r="E239" s="1087">
        <v>1092000</v>
      </c>
      <c r="F239" s="1088">
        <v>3984</v>
      </c>
      <c r="G239" s="1085">
        <v>5.7702</v>
      </c>
      <c r="H239" s="1087">
        <v>0.18462100000000001</v>
      </c>
      <c r="I239" s="1087">
        <v>8.6159999999999991E-4</v>
      </c>
      <c r="J239" s="1088">
        <v>11.5953</v>
      </c>
    </row>
    <row r="240" spans="2:10" x14ac:dyDescent="0.25">
      <c r="B240" s="1089" t="s">
        <v>282</v>
      </c>
      <c r="C240" s="1090">
        <v>2025</v>
      </c>
      <c r="D240" s="1089">
        <v>1093000</v>
      </c>
      <c r="E240" s="1091">
        <v>1092000</v>
      </c>
      <c r="F240" s="1092">
        <v>3984</v>
      </c>
      <c r="G240" s="1089">
        <v>5.7702</v>
      </c>
      <c r="H240" s="1091">
        <v>0.18462100000000001</v>
      </c>
      <c r="I240" s="1091">
        <v>8.6159999999999991E-4</v>
      </c>
      <c r="J240" s="1092">
        <v>11.5953</v>
      </c>
    </row>
    <row r="241" spans="2:10" x14ac:dyDescent="0.25">
      <c r="B241" s="1089" t="s">
        <v>1068</v>
      </c>
      <c r="C241" s="1090">
        <v>2025</v>
      </c>
      <c r="D241" s="1089">
        <v>1093000</v>
      </c>
      <c r="E241" s="1091">
        <v>1092000</v>
      </c>
      <c r="F241" s="1092">
        <v>3984</v>
      </c>
      <c r="G241" s="1089">
        <v>5.7702</v>
      </c>
      <c r="H241" s="1091">
        <v>0.18462100000000001</v>
      </c>
      <c r="I241" s="1091">
        <v>8.6159999999999991E-4</v>
      </c>
      <c r="J241" s="1092">
        <v>11.5953</v>
      </c>
    </row>
    <row r="242" spans="2:10" x14ac:dyDescent="0.25">
      <c r="B242" s="1089" t="s">
        <v>670</v>
      </c>
      <c r="C242" s="1090">
        <v>2025</v>
      </c>
      <c r="D242" s="1089">
        <v>1093000</v>
      </c>
      <c r="E242" s="1091">
        <v>1092000</v>
      </c>
      <c r="F242" s="1092">
        <v>3984</v>
      </c>
      <c r="G242" s="1089">
        <v>5.7702</v>
      </c>
      <c r="H242" s="1091">
        <v>0.18462100000000001</v>
      </c>
      <c r="I242" s="1091">
        <v>8.6159999999999991E-4</v>
      </c>
      <c r="J242" s="1092">
        <v>11.5953</v>
      </c>
    </row>
    <row r="243" spans="2:10" x14ac:dyDescent="0.25">
      <c r="B243" s="1089" t="s">
        <v>671</v>
      </c>
      <c r="C243" s="1090">
        <v>2025</v>
      </c>
      <c r="D243" s="1089">
        <v>-1185000</v>
      </c>
      <c r="E243" s="1091">
        <v>0</v>
      </c>
      <c r="F243" s="1092">
        <v>0</v>
      </c>
      <c r="G243" s="1089">
        <v>-85.800000000000011</v>
      </c>
      <c r="H243" s="1091">
        <v>0.54700000000000004</v>
      </c>
      <c r="I243" s="1091">
        <v>-1.8286999999999999E-3</v>
      </c>
      <c r="J243" s="1092">
        <v>-70.08</v>
      </c>
    </row>
    <row r="244" spans="2:10" x14ac:dyDescent="0.25">
      <c r="B244" s="1089" t="s">
        <v>672</v>
      </c>
      <c r="C244" s="1090">
        <v>2025</v>
      </c>
      <c r="D244" s="1089">
        <v>1787000</v>
      </c>
      <c r="E244" s="1091">
        <v>1356000</v>
      </c>
      <c r="F244" s="1092">
        <v>23200</v>
      </c>
      <c r="G244" s="1089">
        <v>145.11000000000001</v>
      </c>
      <c r="H244" s="1091">
        <v>0.20658799999999999</v>
      </c>
      <c r="I244" s="1091">
        <v>2.1538999999999998E-3</v>
      </c>
      <c r="J244" s="1092">
        <v>150.89999999999998</v>
      </c>
    </row>
    <row r="245" spans="2:10" x14ac:dyDescent="0.25">
      <c r="B245" s="1089" t="s">
        <v>687</v>
      </c>
      <c r="C245" s="1090">
        <v>2025</v>
      </c>
      <c r="D245" s="1089">
        <v>1787000</v>
      </c>
      <c r="E245" s="1091">
        <v>1356000</v>
      </c>
      <c r="F245" s="1092">
        <v>23200</v>
      </c>
      <c r="G245" s="1089">
        <v>145.11000000000001</v>
      </c>
      <c r="H245" s="1091">
        <v>0.20658799999999999</v>
      </c>
      <c r="I245" s="1091">
        <v>2.1538999999999998E-3</v>
      </c>
      <c r="J245" s="1092">
        <v>150.89999999999998</v>
      </c>
    </row>
    <row r="246" spans="2:10" x14ac:dyDescent="0.25">
      <c r="B246" s="1089" t="s">
        <v>673</v>
      </c>
      <c r="C246" s="1090">
        <v>2025</v>
      </c>
      <c r="D246" s="1089">
        <v>1787000</v>
      </c>
      <c r="E246" s="1091">
        <v>1356000</v>
      </c>
      <c r="F246" s="1092">
        <v>23200</v>
      </c>
      <c r="G246" s="1089">
        <v>145.11000000000001</v>
      </c>
      <c r="H246" s="1091">
        <v>0.20658799999999999</v>
      </c>
      <c r="I246" s="1091">
        <v>2.1538999999999998E-3</v>
      </c>
      <c r="J246" s="1092">
        <v>150.89999999999998</v>
      </c>
    </row>
    <row r="247" spans="2:10" x14ac:dyDescent="0.25">
      <c r="B247" s="1089" t="s">
        <v>1069</v>
      </c>
      <c r="C247" s="1090">
        <v>2025</v>
      </c>
      <c r="D247" s="1089">
        <v>1022000</v>
      </c>
      <c r="E247" s="1091">
        <v>1021000</v>
      </c>
      <c r="F247" s="1092">
        <v>15530</v>
      </c>
      <c r="G247" s="1089">
        <v>1.7374000000000001</v>
      </c>
      <c r="H247" s="1091">
        <v>0.14096106999999999</v>
      </c>
      <c r="I247" s="1091">
        <v>3.3522000000000002E-5</v>
      </c>
      <c r="J247" s="1092">
        <v>5.9969999999999999</v>
      </c>
    </row>
    <row r="248" spans="2:10" x14ac:dyDescent="0.25">
      <c r="B248" s="1089" t="s">
        <v>705</v>
      </c>
      <c r="C248" s="1090">
        <v>2025</v>
      </c>
      <c r="D248" s="1089">
        <v>1022000</v>
      </c>
      <c r="E248" s="1091">
        <v>1021000</v>
      </c>
      <c r="F248" s="1092">
        <v>15530</v>
      </c>
      <c r="G248" s="1089">
        <v>1.7374000000000001</v>
      </c>
      <c r="H248" s="1091">
        <v>0.14096106999999999</v>
      </c>
      <c r="I248" s="1091">
        <v>3.3522000000000002E-5</v>
      </c>
      <c r="J248" s="1092">
        <v>5.9969999999999999</v>
      </c>
    </row>
    <row r="249" spans="2:10" x14ac:dyDescent="0.25">
      <c r="B249" s="1089" t="s">
        <v>706</v>
      </c>
      <c r="C249" s="1090">
        <v>2025</v>
      </c>
      <c r="D249" s="1089">
        <v>1022000</v>
      </c>
      <c r="E249" s="1091">
        <v>1021000</v>
      </c>
      <c r="F249" s="1092">
        <v>15530</v>
      </c>
      <c r="G249" s="1089">
        <v>1.7374000000000001</v>
      </c>
      <c r="H249" s="1091">
        <v>0.14096106999999999</v>
      </c>
      <c r="I249" s="1091">
        <v>3.3522000000000002E-5</v>
      </c>
      <c r="J249" s="1092">
        <v>5.9969999999999999</v>
      </c>
    </row>
    <row r="250" spans="2:10" x14ac:dyDescent="0.25">
      <c r="B250" s="1089" t="s">
        <v>899</v>
      </c>
      <c r="C250" s="1090">
        <v>2025</v>
      </c>
      <c r="D250" s="1089">
        <v>1210000</v>
      </c>
      <c r="E250" s="1091">
        <v>1203000</v>
      </c>
      <c r="F250" s="1092">
        <v>1052000</v>
      </c>
      <c r="G250" s="1089">
        <v>18.323</v>
      </c>
      <c r="H250" s="1091">
        <v>0.16309799999999999</v>
      </c>
      <c r="I250" s="1091">
        <v>2.9605000000000001E-4</v>
      </c>
      <c r="J250" s="1092">
        <v>23.334</v>
      </c>
    </row>
    <row r="251" spans="2:10" x14ac:dyDescent="0.25">
      <c r="B251" s="1089" t="s">
        <v>897</v>
      </c>
      <c r="C251" s="1090">
        <v>2025</v>
      </c>
      <c r="D251" s="1089">
        <v>1588000</v>
      </c>
      <c r="E251" s="1091">
        <v>698600</v>
      </c>
      <c r="F251" s="1092">
        <v>286300</v>
      </c>
      <c r="G251" s="1089">
        <v>38.775999999999996</v>
      </c>
      <c r="H251" s="1091">
        <v>0.1116</v>
      </c>
      <c r="I251" s="1091">
        <v>2.5360000000000001E-2</v>
      </c>
      <c r="J251" s="1092">
        <v>45.71</v>
      </c>
    </row>
    <row r="252" spans="2:10" x14ac:dyDescent="0.25">
      <c r="B252" s="1089" t="s">
        <v>900</v>
      </c>
      <c r="C252" s="1090">
        <v>2025</v>
      </c>
      <c r="D252" s="1089">
        <v>1251000</v>
      </c>
      <c r="E252" s="1091">
        <v>1243000</v>
      </c>
      <c r="F252" s="1092">
        <v>1078000</v>
      </c>
      <c r="G252" s="1089">
        <v>24.223999999999997</v>
      </c>
      <c r="H252" s="1091">
        <v>0.16872600000000001</v>
      </c>
      <c r="I252" s="1091">
        <v>3.8451000000000002E-4</v>
      </c>
      <c r="J252" s="1092">
        <v>29.523000000000003</v>
      </c>
    </row>
    <row r="253" spans="2:10" x14ac:dyDescent="0.25">
      <c r="B253" s="1089" t="s">
        <v>1063</v>
      </c>
      <c r="C253" s="1090">
        <v>2025</v>
      </c>
      <c r="D253" s="1089">
        <v>1190000</v>
      </c>
      <c r="E253" s="1091">
        <v>51790</v>
      </c>
      <c r="F253" s="1092">
        <v>29250</v>
      </c>
      <c r="G253" s="1089">
        <v>3.8201000000000001</v>
      </c>
      <c r="H253" s="1091">
        <v>8.410599999999999E-3</v>
      </c>
      <c r="I253" s="1091">
        <v>-3.8247120000000001E-3</v>
      </c>
      <c r="J253" s="1092">
        <v>3.0718000000000001</v>
      </c>
    </row>
    <row r="254" spans="2:10" x14ac:dyDescent="0.25">
      <c r="B254" s="1089" t="s">
        <v>804</v>
      </c>
      <c r="C254" s="1090">
        <v>2025</v>
      </c>
      <c r="D254" s="1089">
        <v>1190000</v>
      </c>
      <c r="E254" s="1091">
        <v>51790</v>
      </c>
      <c r="F254" s="1092">
        <v>29250</v>
      </c>
      <c r="G254" s="1089">
        <v>3.8201000000000001</v>
      </c>
      <c r="H254" s="1091">
        <v>8.410599999999999E-3</v>
      </c>
      <c r="I254" s="1091">
        <v>-3.8247120000000001E-3</v>
      </c>
      <c r="J254" s="1092">
        <v>3.0718000000000001</v>
      </c>
    </row>
    <row r="255" spans="2:10" x14ac:dyDescent="0.25">
      <c r="B255" s="1089" t="s">
        <v>812</v>
      </c>
      <c r="C255" s="1090">
        <v>2025</v>
      </c>
      <c r="D255" s="1089">
        <v>1190000</v>
      </c>
      <c r="E255" s="1091">
        <v>51790</v>
      </c>
      <c r="F255" s="1092">
        <v>29250</v>
      </c>
      <c r="G255" s="1089">
        <v>3.8201000000000001</v>
      </c>
      <c r="H255" s="1091">
        <v>8.410599999999999E-3</v>
      </c>
      <c r="I255" s="1091">
        <v>-3.8247120000000001E-3</v>
      </c>
      <c r="J255" s="1092">
        <v>3.0718000000000001</v>
      </c>
    </row>
    <row r="256" spans="2:10" ht="13.8" thickBot="1" x14ac:dyDescent="0.3">
      <c r="B256" s="1093" t="s">
        <v>1070</v>
      </c>
      <c r="C256" s="1094">
        <v>2025</v>
      </c>
      <c r="D256" s="1093">
        <v>1384000</v>
      </c>
      <c r="E256" s="1095">
        <v>1383000</v>
      </c>
      <c r="F256" s="1096">
        <v>5053</v>
      </c>
      <c r="G256" s="1093">
        <v>78.616100000000003</v>
      </c>
      <c r="H256" s="1095">
        <v>0.27494000000000002</v>
      </c>
      <c r="I256" s="1095">
        <v>2.3316999999999999E-3</v>
      </c>
      <c r="J256" s="1096">
        <v>87.639700000000005</v>
      </c>
    </row>
    <row r="257" spans="2:10" x14ac:dyDescent="0.25">
      <c r="B257" s="1085" t="s">
        <v>1067</v>
      </c>
      <c r="C257" s="1086">
        <v>2030</v>
      </c>
      <c r="D257" s="1085">
        <v>1092000</v>
      </c>
      <c r="E257" s="1087">
        <v>1092000</v>
      </c>
      <c r="F257" s="1088">
        <v>3981</v>
      </c>
      <c r="G257" s="1085">
        <v>5.7552000000000003</v>
      </c>
      <c r="H257" s="1087">
        <v>0.18462100000000001</v>
      </c>
      <c r="I257" s="1087">
        <v>8.6129999999999996E-4</v>
      </c>
      <c r="J257" s="1088">
        <v>11.5802</v>
      </c>
    </row>
    <row r="258" spans="2:10" x14ac:dyDescent="0.25">
      <c r="B258" s="1089" t="s">
        <v>282</v>
      </c>
      <c r="C258" s="1090">
        <v>2030</v>
      </c>
      <c r="D258" s="1089">
        <v>1092000</v>
      </c>
      <c r="E258" s="1091">
        <v>1092000</v>
      </c>
      <c r="F258" s="1092">
        <v>3981</v>
      </c>
      <c r="G258" s="1089">
        <v>5.7552000000000003</v>
      </c>
      <c r="H258" s="1091">
        <v>0.18462100000000001</v>
      </c>
      <c r="I258" s="1091">
        <v>8.6129999999999996E-4</v>
      </c>
      <c r="J258" s="1092">
        <v>11.5802</v>
      </c>
    </row>
    <row r="259" spans="2:10" x14ac:dyDescent="0.25">
      <c r="B259" s="1089" t="s">
        <v>1068</v>
      </c>
      <c r="C259" s="1090">
        <v>2030</v>
      </c>
      <c r="D259" s="1089">
        <v>1092000</v>
      </c>
      <c r="E259" s="1091">
        <v>1092000</v>
      </c>
      <c r="F259" s="1092">
        <v>3981</v>
      </c>
      <c r="G259" s="1089">
        <v>5.7552000000000003</v>
      </c>
      <c r="H259" s="1091">
        <v>0.18462100000000001</v>
      </c>
      <c r="I259" s="1091">
        <v>8.6129999999999996E-4</v>
      </c>
      <c r="J259" s="1092">
        <v>11.5802</v>
      </c>
    </row>
    <row r="260" spans="2:10" x14ac:dyDescent="0.25">
      <c r="B260" s="1089" t="s">
        <v>670</v>
      </c>
      <c r="C260" s="1090">
        <v>2030</v>
      </c>
      <c r="D260" s="1089">
        <v>1092000</v>
      </c>
      <c r="E260" s="1091">
        <v>1092000</v>
      </c>
      <c r="F260" s="1092">
        <v>3981</v>
      </c>
      <c r="G260" s="1089">
        <v>5.7552000000000003</v>
      </c>
      <c r="H260" s="1091">
        <v>0.18462100000000001</v>
      </c>
      <c r="I260" s="1091">
        <v>8.6129999999999996E-4</v>
      </c>
      <c r="J260" s="1092">
        <v>11.5802</v>
      </c>
    </row>
    <row r="261" spans="2:10" x14ac:dyDescent="0.25">
      <c r="B261" s="1089" t="s">
        <v>671</v>
      </c>
      <c r="C261" s="1090">
        <v>2030</v>
      </c>
      <c r="D261" s="1089">
        <v>-1185000</v>
      </c>
      <c r="E261" s="1091">
        <v>0</v>
      </c>
      <c r="F261" s="1092">
        <v>0</v>
      </c>
      <c r="G261" s="1089">
        <v>-85.800000000000011</v>
      </c>
      <c r="H261" s="1091">
        <v>0.54700000000000004</v>
      </c>
      <c r="I261" s="1091">
        <v>-1.8286999999999999E-3</v>
      </c>
      <c r="J261" s="1092">
        <v>-70.08</v>
      </c>
    </row>
    <row r="262" spans="2:10" x14ac:dyDescent="0.25">
      <c r="B262" s="1089" t="s">
        <v>672</v>
      </c>
      <c r="C262" s="1090">
        <v>2030</v>
      </c>
      <c r="D262" s="1089">
        <v>1749000</v>
      </c>
      <c r="E262" s="1091">
        <v>1310000</v>
      </c>
      <c r="F262" s="1092">
        <v>19790</v>
      </c>
      <c r="G262" s="1089">
        <v>134.88</v>
      </c>
      <c r="H262" s="1091">
        <v>0.20275799999999999</v>
      </c>
      <c r="I262" s="1091">
        <v>1.9713E-3</v>
      </c>
      <c r="J262" s="1092">
        <v>140.09</v>
      </c>
    </row>
    <row r="263" spans="2:10" x14ac:dyDescent="0.25">
      <c r="B263" s="1089" t="s">
        <v>687</v>
      </c>
      <c r="C263" s="1090">
        <v>2030</v>
      </c>
      <c r="D263" s="1089">
        <v>1749000</v>
      </c>
      <c r="E263" s="1091">
        <v>1310000</v>
      </c>
      <c r="F263" s="1092">
        <v>19790</v>
      </c>
      <c r="G263" s="1089">
        <v>134.88</v>
      </c>
      <c r="H263" s="1091">
        <v>0.20275799999999999</v>
      </c>
      <c r="I263" s="1091">
        <v>1.9713E-3</v>
      </c>
      <c r="J263" s="1092">
        <v>140.09</v>
      </c>
    </row>
    <row r="264" spans="2:10" x14ac:dyDescent="0.25">
      <c r="B264" s="1089" t="s">
        <v>673</v>
      </c>
      <c r="C264" s="1090">
        <v>2030</v>
      </c>
      <c r="D264" s="1089">
        <v>1749000</v>
      </c>
      <c r="E264" s="1091">
        <v>1310000</v>
      </c>
      <c r="F264" s="1092">
        <v>19790</v>
      </c>
      <c r="G264" s="1089">
        <v>134.88</v>
      </c>
      <c r="H264" s="1091">
        <v>0.20275799999999999</v>
      </c>
      <c r="I264" s="1091">
        <v>1.9713E-3</v>
      </c>
      <c r="J264" s="1092">
        <v>140.09</v>
      </c>
    </row>
    <row r="265" spans="2:10" x14ac:dyDescent="0.25">
      <c r="B265" s="1089" t="s">
        <v>1069</v>
      </c>
      <c r="C265" s="1090">
        <v>2030</v>
      </c>
      <c r="D265" s="1089">
        <v>1022000</v>
      </c>
      <c r="E265" s="1091">
        <v>1021000</v>
      </c>
      <c r="F265" s="1092">
        <v>15520</v>
      </c>
      <c r="G265" s="1089">
        <v>1.716</v>
      </c>
      <c r="H265" s="1091">
        <v>0.14096175</v>
      </c>
      <c r="I265" s="1091">
        <v>3.3149000000000004E-5</v>
      </c>
      <c r="J265" s="1092">
        <v>5.9754000000000005</v>
      </c>
    </row>
    <row r="266" spans="2:10" x14ac:dyDescent="0.25">
      <c r="B266" s="1089" t="s">
        <v>705</v>
      </c>
      <c r="C266" s="1090">
        <v>2030</v>
      </c>
      <c r="D266" s="1089">
        <v>1022000</v>
      </c>
      <c r="E266" s="1091">
        <v>1021000</v>
      </c>
      <c r="F266" s="1092">
        <v>15520</v>
      </c>
      <c r="G266" s="1089">
        <v>1.716</v>
      </c>
      <c r="H266" s="1091">
        <v>0.14096175</v>
      </c>
      <c r="I266" s="1091">
        <v>3.3149000000000004E-5</v>
      </c>
      <c r="J266" s="1092">
        <v>5.9754000000000005</v>
      </c>
    </row>
    <row r="267" spans="2:10" x14ac:dyDescent="0.25">
      <c r="B267" s="1089" t="s">
        <v>706</v>
      </c>
      <c r="C267" s="1090">
        <v>2030</v>
      </c>
      <c r="D267" s="1089">
        <v>1022000</v>
      </c>
      <c r="E267" s="1091">
        <v>1021000</v>
      </c>
      <c r="F267" s="1092">
        <v>15520</v>
      </c>
      <c r="G267" s="1089">
        <v>1.716</v>
      </c>
      <c r="H267" s="1091">
        <v>0.14096175</v>
      </c>
      <c r="I267" s="1091">
        <v>3.3149000000000004E-5</v>
      </c>
      <c r="J267" s="1092">
        <v>5.9754000000000005</v>
      </c>
    </row>
    <row r="268" spans="2:10" x14ac:dyDescent="0.25">
      <c r="B268" s="1089" t="s">
        <v>899</v>
      </c>
      <c r="C268" s="1090">
        <v>2030</v>
      </c>
      <c r="D268" s="1089">
        <v>1209000</v>
      </c>
      <c r="E268" s="1091">
        <v>1202000</v>
      </c>
      <c r="F268" s="1092">
        <v>1052000</v>
      </c>
      <c r="G268" s="1089">
        <v>18.120999999999999</v>
      </c>
      <c r="H268" s="1091">
        <v>0.16412299999999999</v>
      </c>
      <c r="I268" s="1091">
        <v>2.9339999999999998E-4</v>
      </c>
      <c r="J268" s="1092">
        <v>23.162000000000003</v>
      </c>
    </row>
    <row r="269" spans="2:10" x14ac:dyDescent="0.25">
      <c r="B269" s="1089" t="s">
        <v>897</v>
      </c>
      <c r="C269" s="1090">
        <v>2030</v>
      </c>
      <c r="D269" s="1089">
        <v>1586000</v>
      </c>
      <c r="E269" s="1091">
        <v>697000</v>
      </c>
      <c r="F269" s="1092">
        <v>286200</v>
      </c>
      <c r="G269" s="1089">
        <v>38.404000000000003</v>
      </c>
      <c r="H269" s="1091">
        <v>0.1118</v>
      </c>
      <c r="I269" s="1091">
        <v>2.5350000000000001E-2</v>
      </c>
      <c r="J269" s="1092">
        <v>45.44</v>
      </c>
    </row>
    <row r="270" spans="2:10" x14ac:dyDescent="0.25">
      <c r="B270" s="1089" t="s">
        <v>900</v>
      </c>
      <c r="C270" s="1090">
        <v>2030</v>
      </c>
      <c r="D270" s="1089">
        <v>1250000</v>
      </c>
      <c r="E270" s="1091">
        <v>1242000</v>
      </c>
      <c r="F270" s="1092">
        <v>1078000</v>
      </c>
      <c r="G270" s="1089">
        <v>24.006999999999998</v>
      </c>
      <c r="H270" s="1091">
        <v>0.16975200000000001</v>
      </c>
      <c r="I270" s="1091">
        <v>3.8147000000000002E-4</v>
      </c>
      <c r="J270" s="1092">
        <v>29.335999999999999</v>
      </c>
    </row>
    <row r="271" spans="2:10" x14ac:dyDescent="0.25">
      <c r="B271" s="1089" t="s">
        <v>1063</v>
      </c>
      <c r="C271" s="1090">
        <v>2030</v>
      </c>
      <c r="D271" s="1089">
        <v>1190000</v>
      </c>
      <c r="E271" s="1091">
        <v>51650</v>
      </c>
      <c r="F271" s="1092">
        <v>29230</v>
      </c>
      <c r="G271" s="1089">
        <v>3.7881999999999998</v>
      </c>
      <c r="H271" s="1091">
        <v>8.4297E-3</v>
      </c>
      <c r="I271" s="1091">
        <v>-3.825901E-3</v>
      </c>
      <c r="J271" s="1092">
        <v>3.0377000000000001</v>
      </c>
    </row>
    <row r="272" spans="2:10" x14ac:dyDescent="0.25">
      <c r="B272" s="1089" t="s">
        <v>804</v>
      </c>
      <c r="C272" s="1090">
        <v>2030</v>
      </c>
      <c r="D272" s="1089">
        <v>1190000</v>
      </c>
      <c r="E272" s="1091">
        <v>51650</v>
      </c>
      <c r="F272" s="1092">
        <v>29230</v>
      </c>
      <c r="G272" s="1089">
        <v>3.7881999999999998</v>
      </c>
      <c r="H272" s="1091">
        <v>8.4297E-3</v>
      </c>
      <c r="I272" s="1091">
        <v>-3.825901E-3</v>
      </c>
      <c r="J272" s="1092">
        <v>3.0377000000000001</v>
      </c>
    </row>
    <row r="273" spans="2:10" x14ac:dyDescent="0.25">
      <c r="B273" s="1089" t="s">
        <v>812</v>
      </c>
      <c r="C273" s="1090">
        <v>2030</v>
      </c>
      <c r="D273" s="1089">
        <v>1190000</v>
      </c>
      <c r="E273" s="1091">
        <v>51650</v>
      </c>
      <c r="F273" s="1092">
        <v>29230</v>
      </c>
      <c r="G273" s="1089">
        <v>3.7881999999999998</v>
      </c>
      <c r="H273" s="1091">
        <v>8.4297E-3</v>
      </c>
      <c r="I273" s="1091">
        <v>-3.825901E-3</v>
      </c>
      <c r="J273" s="1092">
        <v>3.0377000000000001</v>
      </c>
    </row>
    <row r="274" spans="2:10" ht="13.8" thickBot="1" x14ac:dyDescent="0.3">
      <c r="B274" s="1093" t="s">
        <v>1070</v>
      </c>
      <c r="C274" s="1094">
        <v>2030</v>
      </c>
      <c r="D274" s="1093">
        <v>1384000</v>
      </c>
      <c r="E274" s="1095">
        <v>1383000</v>
      </c>
      <c r="F274" s="1096">
        <v>5048</v>
      </c>
      <c r="G274" s="1093">
        <v>78.598700000000008</v>
      </c>
      <c r="H274" s="1095">
        <v>0.27484000000000003</v>
      </c>
      <c r="I274" s="1095">
        <v>2.3306000000000004E-3</v>
      </c>
      <c r="J274" s="1096">
        <v>87.622100000000003</v>
      </c>
    </row>
    <row r="275" spans="2:10" x14ac:dyDescent="0.25">
      <c r="B275" s="1085" t="s">
        <v>1067</v>
      </c>
      <c r="C275" s="1086">
        <v>2035</v>
      </c>
      <c r="D275" s="1085">
        <v>1092000</v>
      </c>
      <c r="E275" s="1087">
        <v>1092000</v>
      </c>
      <c r="F275" s="1088">
        <v>3981</v>
      </c>
      <c r="G275" s="1085">
        <v>5.7552000000000003</v>
      </c>
      <c r="H275" s="1087">
        <v>0.18462100000000001</v>
      </c>
      <c r="I275" s="1087">
        <v>8.6129999999999996E-4</v>
      </c>
      <c r="J275" s="1088">
        <v>11.5802</v>
      </c>
    </row>
    <row r="276" spans="2:10" x14ac:dyDescent="0.25">
      <c r="B276" s="1089" t="s">
        <v>282</v>
      </c>
      <c r="C276" s="1090">
        <v>2035</v>
      </c>
      <c r="D276" s="1089">
        <v>1092000</v>
      </c>
      <c r="E276" s="1091">
        <v>1092000</v>
      </c>
      <c r="F276" s="1092">
        <v>3981</v>
      </c>
      <c r="G276" s="1089">
        <v>5.7552000000000003</v>
      </c>
      <c r="H276" s="1091">
        <v>0.18462100000000001</v>
      </c>
      <c r="I276" s="1091">
        <v>8.6129999999999996E-4</v>
      </c>
      <c r="J276" s="1092">
        <v>11.5802</v>
      </c>
    </row>
    <row r="277" spans="2:10" x14ac:dyDescent="0.25">
      <c r="B277" s="1089" t="s">
        <v>1068</v>
      </c>
      <c r="C277" s="1090">
        <v>2035</v>
      </c>
      <c r="D277" s="1089">
        <v>1092000</v>
      </c>
      <c r="E277" s="1091">
        <v>1092000</v>
      </c>
      <c r="F277" s="1092">
        <v>3981</v>
      </c>
      <c r="G277" s="1089">
        <v>5.7552000000000003</v>
      </c>
      <c r="H277" s="1091">
        <v>0.18462100000000001</v>
      </c>
      <c r="I277" s="1091">
        <v>8.6129999999999996E-4</v>
      </c>
      <c r="J277" s="1092">
        <v>11.5802</v>
      </c>
    </row>
    <row r="278" spans="2:10" x14ac:dyDescent="0.25">
      <c r="B278" s="1089" t="s">
        <v>670</v>
      </c>
      <c r="C278" s="1090">
        <v>2035</v>
      </c>
      <c r="D278" s="1089">
        <v>1092000</v>
      </c>
      <c r="E278" s="1091">
        <v>1092000</v>
      </c>
      <c r="F278" s="1092">
        <v>3981</v>
      </c>
      <c r="G278" s="1089">
        <v>5.7552000000000003</v>
      </c>
      <c r="H278" s="1091">
        <v>0.18462100000000001</v>
      </c>
      <c r="I278" s="1091">
        <v>8.6129999999999996E-4</v>
      </c>
      <c r="J278" s="1092">
        <v>11.5802</v>
      </c>
    </row>
    <row r="279" spans="2:10" x14ac:dyDescent="0.25">
      <c r="B279" s="1089" t="s">
        <v>671</v>
      </c>
      <c r="C279" s="1090">
        <v>2035</v>
      </c>
      <c r="D279" s="1089">
        <v>-1185000</v>
      </c>
      <c r="E279" s="1091">
        <v>0</v>
      </c>
      <c r="F279" s="1092">
        <v>0</v>
      </c>
      <c r="G279" s="1089">
        <v>-85.800000000000011</v>
      </c>
      <c r="H279" s="1091">
        <v>0.54700000000000004</v>
      </c>
      <c r="I279" s="1091">
        <v>-1.8286999999999999E-3</v>
      </c>
      <c r="J279" s="1092">
        <v>-70.08</v>
      </c>
    </row>
    <row r="280" spans="2:10" x14ac:dyDescent="0.25">
      <c r="B280" s="1089" t="s">
        <v>672</v>
      </c>
      <c r="C280" s="1090">
        <v>2035</v>
      </c>
      <c r="D280" s="1089">
        <v>1745000</v>
      </c>
      <c r="E280" s="1091">
        <v>1314000</v>
      </c>
      <c r="F280" s="1092">
        <v>18650</v>
      </c>
      <c r="G280" s="1089">
        <v>132.69</v>
      </c>
      <c r="H280" s="1091">
        <v>0.204869</v>
      </c>
      <c r="I280" s="1091">
        <v>1.9257999999999999E-3</v>
      </c>
      <c r="J280" s="1092">
        <v>137.91999999999999</v>
      </c>
    </row>
    <row r="281" spans="2:10" x14ac:dyDescent="0.25">
      <c r="B281" s="1089" t="s">
        <v>687</v>
      </c>
      <c r="C281" s="1090">
        <v>2035</v>
      </c>
      <c r="D281" s="1089">
        <v>1745000</v>
      </c>
      <c r="E281" s="1091">
        <v>1314000</v>
      </c>
      <c r="F281" s="1092">
        <v>18650</v>
      </c>
      <c r="G281" s="1089">
        <v>132.69</v>
      </c>
      <c r="H281" s="1091">
        <v>0.204869</v>
      </c>
      <c r="I281" s="1091">
        <v>1.9257999999999999E-3</v>
      </c>
      <c r="J281" s="1092">
        <v>137.91999999999999</v>
      </c>
    </row>
    <row r="282" spans="2:10" x14ac:dyDescent="0.25">
      <c r="B282" s="1089" t="s">
        <v>673</v>
      </c>
      <c r="C282" s="1090">
        <v>2035</v>
      </c>
      <c r="D282" s="1089">
        <v>1745000</v>
      </c>
      <c r="E282" s="1091">
        <v>1314000</v>
      </c>
      <c r="F282" s="1092">
        <v>18650</v>
      </c>
      <c r="G282" s="1089">
        <v>132.69</v>
      </c>
      <c r="H282" s="1091">
        <v>0.204869</v>
      </c>
      <c r="I282" s="1091">
        <v>1.9257999999999999E-3</v>
      </c>
      <c r="J282" s="1092">
        <v>137.91999999999999</v>
      </c>
    </row>
    <row r="283" spans="2:10" x14ac:dyDescent="0.25">
      <c r="B283" s="1089" t="s">
        <v>1069</v>
      </c>
      <c r="C283" s="1090">
        <v>2035</v>
      </c>
      <c r="D283" s="1089">
        <v>1022000</v>
      </c>
      <c r="E283" s="1091">
        <v>1021000</v>
      </c>
      <c r="F283" s="1092">
        <v>15520</v>
      </c>
      <c r="G283" s="1089">
        <v>1.7124999999999999</v>
      </c>
      <c r="H283" s="1091">
        <v>0.14096197999999999</v>
      </c>
      <c r="I283" s="1091">
        <v>3.3061000000000001E-5</v>
      </c>
      <c r="J283" s="1092">
        <v>5.9708000000000006</v>
      </c>
    </row>
    <row r="284" spans="2:10" x14ac:dyDescent="0.25">
      <c r="B284" s="1089" t="s">
        <v>705</v>
      </c>
      <c r="C284" s="1090">
        <v>2035</v>
      </c>
      <c r="D284" s="1089">
        <v>1022000</v>
      </c>
      <c r="E284" s="1091">
        <v>1021000</v>
      </c>
      <c r="F284" s="1092">
        <v>15520</v>
      </c>
      <c r="G284" s="1089">
        <v>1.7124999999999999</v>
      </c>
      <c r="H284" s="1091">
        <v>0.14096197999999999</v>
      </c>
      <c r="I284" s="1091">
        <v>3.3061000000000001E-5</v>
      </c>
      <c r="J284" s="1092">
        <v>5.9708000000000006</v>
      </c>
    </row>
    <row r="285" spans="2:10" x14ac:dyDescent="0.25">
      <c r="B285" s="1089" t="s">
        <v>706</v>
      </c>
      <c r="C285" s="1090">
        <v>2035</v>
      </c>
      <c r="D285" s="1089">
        <v>1022000</v>
      </c>
      <c r="E285" s="1091">
        <v>1021000</v>
      </c>
      <c r="F285" s="1092">
        <v>15520</v>
      </c>
      <c r="G285" s="1089">
        <v>1.7124999999999999</v>
      </c>
      <c r="H285" s="1091">
        <v>0.14096197999999999</v>
      </c>
      <c r="I285" s="1091">
        <v>3.3061000000000001E-5</v>
      </c>
      <c r="J285" s="1092">
        <v>5.9708000000000006</v>
      </c>
    </row>
    <row r="286" spans="2:10" x14ac:dyDescent="0.25">
      <c r="B286" s="1089" t="s">
        <v>899</v>
      </c>
      <c r="C286" s="1090">
        <v>2035</v>
      </c>
      <c r="D286" s="1089">
        <v>1209000</v>
      </c>
      <c r="E286" s="1091">
        <v>1202000</v>
      </c>
      <c r="F286" s="1092">
        <v>1052000</v>
      </c>
      <c r="G286" s="1089">
        <v>18.088999999999999</v>
      </c>
      <c r="H286" s="1091">
        <v>0.16412499999999999</v>
      </c>
      <c r="I286" s="1091">
        <v>2.9260000000000001E-4</v>
      </c>
      <c r="J286" s="1092">
        <v>23.119</v>
      </c>
    </row>
    <row r="287" spans="2:10" x14ac:dyDescent="0.25">
      <c r="B287" s="1089" t="s">
        <v>897</v>
      </c>
      <c r="C287" s="1090">
        <v>2035</v>
      </c>
      <c r="D287" s="1089">
        <v>1586000</v>
      </c>
      <c r="E287" s="1091">
        <v>697100</v>
      </c>
      <c r="F287" s="1092">
        <v>286100</v>
      </c>
      <c r="G287" s="1089">
        <v>38.326999999999998</v>
      </c>
      <c r="H287" s="1091">
        <v>0.1118</v>
      </c>
      <c r="I287" s="1091">
        <v>2.5350000000000001E-2</v>
      </c>
      <c r="J287" s="1092">
        <v>45.39</v>
      </c>
    </row>
    <row r="288" spans="2:10" x14ac:dyDescent="0.25">
      <c r="B288" s="1089" t="s">
        <v>900</v>
      </c>
      <c r="C288" s="1090">
        <v>2035</v>
      </c>
      <c r="D288" s="1089">
        <v>1250000</v>
      </c>
      <c r="E288" s="1091">
        <v>1242000</v>
      </c>
      <c r="F288" s="1092">
        <v>1078000</v>
      </c>
      <c r="G288" s="1089">
        <v>23.973999999999997</v>
      </c>
      <c r="H288" s="1091">
        <v>0.169854</v>
      </c>
      <c r="I288" s="1091">
        <v>3.8064000000000001E-4</v>
      </c>
      <c r="J288" s="1092">
        <v>29.302</v>
      </c>
    </row>
    <row r="289" spans="2:10" x14ac:dyDescent="0.25">
      <c r="B289" s="1089" t="s">
        <v>1063</v>
      </c>
      <c r="C289" s="1090">
        <v>2035</v>
      </c>
      <c r="D289" s="1089">
        <v>1190000</v>
      </c>
      <c r="E289" s="1091">
        <v>51660</v>
      </c>
      <c r="F289" s="1092">
        <v>29230</v>
      </c>
      <c r="G289" s="1089">
        <v>3.7818000000000001</v>
      </c>
      <c r="H289" s="1091">
        <v>8.4370999999999995E-3</v>
      </c>
      <c r="I289" s="1091">
        <v>-3.8259590000000003E-3</v>
      </c>
      <c r="J289" s="1092">
        <v>3.0312999999999999</v>
      </c>
    </row>
    <row r="290" spans="2:10" x14ac:dyDescent="0.25">
      <c r="B290" s="1089" t="s">
        <v>804</v>
      </c>
      <c r="C290" s="1090">
        <v>2035</v>
      </c>
      <c r="D290" s="1089">
        <v>1190000</v>
      </c>
      <c r="E290" s="1091">
        <v>51660</v>
      </c>
      <c r="F290" s="1092">
        <v>29230</v>
      </c>
      <c r="G290" s="1089">
        <v>3.7818000000000001</v>
      </c>
      <c r="H290" s="1091">
        <v>8.4370999999999995E-3</v>
      </c>
      <c r="I290" s="1091">
        <v>-3.8259590000000003E-3</v>
      </c>
      <c r="J290" s="1092">
        <v>3.0312999999999999</v>
      </c>
    </row>
    <row r="291" spans="2:10" x14ac:dyDescent="0.25">
      <c r="B291" s="1089" t="s">
        <v>812</v>
      </c>
      <c r="C291" s="1090">
        <v>2035</v>
      </c>
      <c r="D291" s="1089">
        <v>1190000</v>
      </c>
      <c r="E291" s="1091">
        <v>51660</v>
      </c>
      <c r="F291" s="1092">
        <v>29230</v>
      </c>
      <c r="G291" s="1089">
        <v>3.7818000000000001</v>
      </c>
      <c r="H291" s="1091">
        <v>8.4370999999999995E-3</v>
      </c>
      <c r="I291" s="1091">
        <v>-3.8259590000000003E-3</v>
      </c>
      <c r="J291" s="1092">
        <v>3.0312999999999999</v>
      </c>
    </row>
    <row r="292" spans="2:10" ht="13.8" thickBot="1" x14ac:dyDescent="0.3">
      <c r="B292" s="1093" t="s">
        <v>1070</v>
      </c>
      <c r="C292" s="1094">
        <v>2035</v>
      </c>
      <c r="D292" s="1093">
        <v>1384000</v>
      </c>
      <c r="E292" s="1095">
        <v>1383000</v>
      </c>
      <c r="F292" s="1096">
        <v>5034</v>
      </c>
      <c r="G292" s="1093">
        <v>78.571100000000001</v>
      </c>
      <c r="H292" s="1095">
        <v>0.27494000000000002</v>
      </c>
      <c r="I292" s="1095">
        <v>2.3304000000000003E-3</v>
      </c>
      <c r="J292" s="1096">
        <v>87.594300000000004</v>
      </c>
    </row>
    <row r="293" spans="2:10" x14ac:dyDescent="0.25">
      <c r="B293" s="1085" t="s">
        <v>1067</v>
      </c>
      <c r="C293" s="1086">
        <v>2040</v>
      </c>
      <c r="D293" s="1085">
        <v>1092000</v>
      </c>
      <c r="E293" s="1087">
        <v>1092000</v>
      </c>
      <c r="F293" s="1088">
        <v>3975</v>
      </c>
      <c r="G293" s="1085">
        <v>5.7453000000000003</v>
      </c>
      <c r="H293" s="1087">
        <v>0.18462200000000001</v>
      </c>
      <c r="I293" s="1087">
        <v>8.6110000000000006E-4</v>
      </c>
      <c r="J293" s="1088">
        <v>11.577199999999999</v>
      </c>
    </row>
    <row r="294" spans="2:10" x14ac:dyDescent="0.25">
      <c r="B294" s="1089" t="s">
        <v>282</v>
      </c>
      <c r="C294" s="1090">
        <v>2040</v>
      </c>
      <c r="D294" s="1089">
        <v>1092000</v>
      </c>
      <c r="E294" s="1091">
        <v>1092000</v>
      </c>
      <c r="F294" s="1092">
        <v>3975</v>
      </c>
      <c r="G294" s="1089">
        <v>5.7453000000000003</v>
      </c>
      <c r="H294" s="1091">
        <v>0.18462200000000001</v>
      </c>
      <c r="I294" s="1091">
        <v>8.6110000000000006E-4</v>
      </c>
      <c r="J294" s="1092">
        <v>11.577199999999999</v>
      </c>
    </row>
    <row r="295" spans="2:10" x14ac:dyDescent="0.25">
      <c r="B295" s="1089" t="s">
        <v>1068</v>
      </c>
      <c r="C295" s="1090">
        <v>2040</v>
      </c>
      <c r="D295" s="1089">
        <v>1092000</v>
      </c>
      <c r="E295" s="1091">
        <v>1092000</v>
      </c>
      <c r="F295" s="1092">
        <v>3975</v>
      </c>
      <c r="G295" s="1089">
        <v>5.7453000000000003</v>
      </c>
      <c r="H295" s="1091">
        <v>0.18462200000000001</v>
      </c>
      <c r="I295" s="1091">
        <v>8.6110000000000006E-4</v>
      </c>
      <c r="J295" s="1092">
        <v>11.577199999999999</v>
      </c>
    </row>
    <row r="296" spans="2:10" x14ac:dyDescent="0.25">
      <c r="B296" s="1089" t="s">
        <v>670</v>
      </c>
      <c r="C296" s="1090">
        <v>2040</v>
      </c>
      <c r="D296" s="1089">
        <v>1092000</v>
      </c>
      <c r="E296" s="1091">
        <v>1092000</v>
      </c>
      <c r="F296" s="1092">
        <v>3975</v>
      </c>
      <c r="G296" s="1089">
        <v>5.7453000000000003</v>
      </c>
      <c r="H296" s="1091">
        <v>0.18462200000000001</v>
      </c>
      <c r="I296" s="1091">
        <v>8.6110000000000006E-4</v>
      </c>
      <c r="J296" s="1092">
        <v>11.577199999999999</v>
      </c>
    </row>
    <row r="297" spans="2:10" x14ac:dyDescent="0.25">
      <c r="B297" s="1089" t="s">
        <v>671</v>
      </c>
      <c r="C297" s="1090">
        <v>2040</v>
      </c>
      <c r="D297" s="1089">
        <v>-1185000</v>
      </c>
      <c r="E297" s="1091">
        <v>0</v>
      </c>
      <c r="F297" s="1092">
        <v>0</v>
      </c>
      <c r="G297" s="1089">
        <v>-85.800000000000011</v>
      </c>
      <c r="H297" s="1091">
        <v>0.54700000000000004</v>
      </c>
      <c r="I297" s="1091">
        <v>-1.8286999999999999E-3</v>
      </c>
      <c r="J297" s="1092">
        <v>-70.08</v>
      </c>
    </row>
    <row r="298" spans="2:10" x14ac:dyDescent="0.25">
      <c r="B298" s="1089" t="s">
        <v>672</v>
      </c>
      <c r="C298" s="1090">
        <v>2040</v>
      </c>
      <c r="D298" s="1089">
        <v>1732000</v>
      </c>
      <c r="E298" s="1091">
        <v>1300000</v>
      </c>
      <c r="F298" s="1092">
        <v>17320</v>
      </c>
      <c r="G298" s="1089">
        <v>129.32</v>
      </c>
      <c r="H298" s="1091">
        <v>0.20383000000000001</v>
      </c>
      <c r="I298" s="1091">
        <v>1.8644999999999998E-3</v>
      </c>
      <c r="J298" s="1092">
        <v>134.37</v>
      </c>
    </row>
    <row r="299" spans="2:10" x14ac:dyDescent="0.25">
      <c r="B299" s="1089" t="s">
        <v>687</v>
      </c>
      <c r="C299" s="1090">
        <v>2040</v>
      </c>
      <c r="D299" s="1089">
        <v>1732000</v>
      </c>
      <c r="E299" s="1091">
        <v>1300000</v>
      </c>
      <c r="F299" s="1092">
        <v>17320</v>
      </c>
      <c r="G299" s="1089">
        <v>129.32</v>
      </c>
      <c r="H299" s="1091">
        <v>0.20383000000000001</v>
      </c>
      <c r="I299" s="1091">
        <v>1.8644999999999998E-3</v>
      </c>
      <c r="J299" s="1092">
        <v>134.37</v>
      </c>
    </row>
    <row r="300" spans="2:10" x14ac:dyDescent="0.25">
      <c r="B300" s="1089" t="s">
        <v>673</v>
      </c>
      <c r="C300" s="1090">
        <v>2040</v>
      </c>
      <c r="D300" s="1089">
        <v>1732000</v>
      </c>
      <c r="E300" s="1091">
        <v>1300000</v>
      </c>
      <c r="F300" s="1092">
        <v>17320</v>
      </c>
      <c r="G300" s="1089">
        <v>129.32</v>
      </c>
      <c r="H300" s="1091">
        <v>0.20383000000000001</v>
      </c>
      <c r="I300" s="1091">
        <v>1.8644999999999998E-3</v>
      </c>
      <c r="J300" s="1092">
        <v>134.37</v>
      </c>
    </row>
    <row r="301" spans="2:10" x14ac:dyDescent="0.25">
      <c r="B301" s="1089" t="s">
        <v>1069</v>
      </c>
      <c r="C301" s="1090">
        <v>2040</v>
      </c>
      <c r="D301" s="1089">
        <v>1022000</v>
      </c>
      <c r="E301" s="1091">
        <v>1021000</v>
      </c>
      <c r="F301" s="1092">
        <v>15510</v>
      </c>
      <c r="G301" s="1089">
        <v>1.7054</v>
      </c>
      <c r="H301" s="1091">
        <v>0.14096210000000001</v>
      </c>
      <c r="I301" s="1091">
        <v>3.2928999999999996E-5</v>
      </c>
      <c r="J301" s="1092">
        <v>5.9637000000000002</v>
      </c>
    </row>
    <row r="302" spans="2:10" x14ac:dyDescent="0.25">
      <c r="B302" s="1089" t="s">
        <v>705</v>
      </c>
      <c r="C302" s="1090">
        <v>2040</v>
      </c>
      <c r="D302" s="1089">
        <v>1022000</v>
      </c>
      <c r="E302" s="1091">
        <v>1021000</v>
      </c>
      <c r="F302" s="1092">
        <v>15510</v>
      </c>
      <c r="G302" s="1089">
        <v>1.7054</v>
      </c>
      <c r="H302" s="1091">
        <v>0.14096210000000001</v>
      </c>
      <c r="I302" s="1091">
        <v>3.2928999999999996E-5</v>
      </c>
      <c r="J302" s="1092">
        <v>5.9637000000000002</v>
      </c>
    </row>
    <row r="303" spans="2:10" x14ac:dyDescent="0.25">
      <c r="B303" s="1089" t="s">
        <v>706</v>
      </c>
      <c r="C303" s="1090">
        <v>2040</v>
      </c>
      <c r="D303" s="1089">
        <v>1022000</v>
      </c>
      <c r="E303" s="1091">
        <v>1021000</v>
      </c>
      <c r="F303" s="1092">
        <v>15510</v>
      </c>
      <c r="G303" s="1089">
        <v>1.7054</v>
      </c>
      <c r="H303" s="1091">
        <v>0.14096210000000001</v>
      </c>
      <c r="I303" s="1091">
        <v>3.2928999999999996E-5</v>
      </c>
      <c r="J303" s="1092">
        <v>5.9637000000000002</v>
      </c>
    </row>
    <row r="304" spans="2:10" x14ac:dyDescent="0.25">
      <c r="B304" s="1089" t="s">
        <v>899</v>
      </c>
      <c r="C304" s="1090">
        <v>2040</v>
      </c>
      <c r="D304" s="1089">
        <v>1209000</v>
      </c>
      <c r="E304" s="1091">
        <v>1202000</v>
      </c>
      <c r="F304" s="1092">
        <v>1052000</v>
      </c>
      <c r="G304" s="1089">
        <v>18.032</v>
      </c>
      <c r="H304" s="1091">
        <v>0.16412599999999999</v>
      </c>
      <c r="I304" s="1091">
        <v>2.9167E-4</v>
      </c>
      <c r="J304" s="1092">
        <v>23.062000000000001</v>
      </c>
    </row>
    <row r="305" spans="2:10" x14ac:dyDescent="0.25">
      <c r="B305" s="1089" t="s">
        <v>897</v>
      </c>
      <c r="C305" s="1090">
        <v>2040</v>
      </c>
      <c r="D305" s="1089">
        <v>1586000</v>
      </c>
      <c r="E305" s="1091">
        <v>696600</v>
      </c>
      <c r="F305" s="1092">
        <v>286100</v>
      </c>
      <c r="G305" s="1089">
        <v>38.200000000000003</v>
      </c>
      <c r="H305" s="1091">
        <v>0.1118</v>
      </c>
      <c r="I305" s="1091">
        <v>2.5350000000000001E-2</v>
      </c>
      <c r="J305" s="1092">
        <v>45.3</v>
      </c>
    </row>
    <row r="306" spans="2:10" x14ac:dyDescent="0.25">
      <c r="B306" s="1089" t="s">
        <v>900</v>
      </c>
      <c r="C306" s="1090">
        <v>2040</v>
      </c>
      <c r="D306" s="1089">
        <v>1250000</v>
      </c>
      <c r="E306" s="1091">
        <v>1242000</v>
      </c>
      <c r="F306" s="1092">
        <v>1078000</v>
      </c>
      <c r="G306" s="1089">
        <v>23.914999999999999</v>
      </c>
      <c r="H306" s="1091">
        <v>0.16985499999999998</v>
      </c>
      <c r="I306" s="1091">
        <v>3.7957999999999997E-4</v>
      </c>
      <c r="J306" s="1092">
        <v>29.232999999999997</v>
      </c>
    </row>
    <row r="307" spans="2:10" x14ac:dyDescent="0.25">
      <c r="B307" s="1089" t="s">
        <v>1063</v>
      </c>
      <c r="C307" s="1090">
        <v>2040</v>
      </c>
      <c r="D307" s="1089">
        <v>1190000</v>
      </c>
      <c r="E307" s="1091">
        <v>51610</v>
      </c>
      <c r="F307" s="1092">
        <v>29220</v>
      </c>
      <c r="G307" s="1089">
        <v>3.7715999999999998</v>
      </c>
      <c r="H307" s="1091">
        <v>8.4332999999999995E-3</v>
      </c>
      <c r="I307" s="1091">
        <v>-3.8260220000000001E-3</v>
      </c>
      <c r="J307" s="1092">
        <v>3.02</v>
      </c>
    </row>
    <row r="308" spans="2:10" x14ac:dyDescent="0.25">
      <c r="B308" s="1089" t="s">
        <v>804</v>
      </c>
      <c r="C308" s="1090">
        <v>2040</v>
      </c>
      <c r="D308" s="1089">
        <v>1190000</v>
      </c>
      <c r="E308" s="1091">
        <v>51610</v>
      </c>
      <c r="F308" s="1092">
        <v>29220</v>
      </c>
      <c r="G308" s="1089">
        <v>3.7715999999999998</v>
      </c>
      <c r="H308" s="1091">
        <v>8.4332999999999995E-3</v>
      </c>
      <c r="I308" s="1091">
        <v>-3.8260220000000001E-3</v>
      </c>
      <c r="J308" s="1092">
        <v>3.02</v>
      </c>
    </row>
    <row r="309" spans="2:10" x14ac:dyDescent="0.25">
      <c r="B309" s="1089" t="s">
        <v>812</v>
      </c>
      <c r="C309" s="1090">
        <v>2040</v>
      </c>
      <c r="D309" s="1089">
        <v>1190000</v>
      </c>
      <c r="E309" s="1091">
        <v>51610</v>
      </c>
      <c r="F309" s="1092">
        <v>29220</v>
      </c>
      <c r="G309" s="1089">
        <v>3.7715999999999998</v>
      </c>
      <c r="H309" s="1091">
        <v>8.4332999999999995E-3</v>
      </c>
      <c r="I309" s="1091">
        <v>-3.8260220000000001E-3</v>
      </c>
      <c r="J309" s="1092">
        <v>3.02</v>
      </c>
    </row>
    <row r="310" spans="2:10" ht="13.8" thickBot="1" x14ac:dyDescent="0.3">
      <c r="B310" s="1093" t="s">
        <v>1070</v>
      </c>
      <c r="C310" s="1094">
        <v>2040</v>
      </c>
      <c r="D310" s="1093">
        <v>1384000</v>
      </c>
      <c r="E310" s="1095">
        <v>1383000</v>
      </c>
      <c r="F310" s="1096">
        <v>5034</v>
      </c>
      <c r="G310" s="1093">
        <v>78.571100000000001</v>
      </c>
      <c r="H310" s="1095">
        <v>0.27494000000000002</v>
      </c>
      <c r="I310" s="1095">
        <v>2.3304000000000003E-3</v>
      </c>
      <c r="J310" s="1096">
        <v>87.594300000000004</v>
      </c>
    </row>
    <row r="311" spans="2:10" x14ac:dyDescent="0.25">
      <c r="B311" s="1085" t="s">
        <v>1067</v>
      </c>
      <c r="C311" s="1086">
        <v>2045</v>
      </c>
      <c r="D311" s="1085">
        <v>1092000</v>
      </c>
      <c r="E311" s="1087">
        <v>1092000</v>
      </c>
      <c r="F311" s="1088">
        <v>3972</v>
      </c>
      <c r="G311" s="1085">
        <v>5.7410000000000005</v>
      </c>
      <c r="H311" s="1087">
        <v>0.18462200000000001</v>
      </c>
      <c r="I311" s="1087">
        <v>8.6110000000000006E-4</v>
      </c>
      <c r="J311" s="1088">
        <v>11.565900000000001</v>
      </c>
    </row>
    <row r="312" spans="2:10" x14ac:dyDescent="0.25">
      <c r="B312" s="1089" t="s">
        <v>282</v>
      </c>
      <c r="C312" s="1090">
        <v>2045</v>
      </c>
      <c r="D312" s="1089">
        <v>1092000</v>
      </c>
      <c r="E312" s="1091">
        <v>1092000</v>
      </c>
      <c r="F312" s="1092">
        <v>3972</v>
      </c>
      <c r="G312" s="1089">
        <v>5.7410000000000005</v>
      </c>
      <c r="H312" s="1091">
        <v>0.18462200000000001</v>
      </c>
      <c r="I312" s="1091">
        <v>8.6110000000000006E-4</v>
      </c>
      <c r="J312" s="1092">
        <v>11.565900000000001</v>
      </c>
    </row>
    <row r="313" spans="2:10" x14ac:dyDescent="0.25">
      <c r="B313" s="1089" t="s">
        <v>1068</v>
      </c>
      <c r="C313" s="1090">
        <v>2045</v>
      </c>
      <c r="D313" s="1089">
        <v>1092000</v>
      </c>
      <c r="E313" s="1091">
        <v>1092000</v>
      </c>
      <c r="F313" s="1092">
        <v>3972</v>
      </c>
      <c r="G313" s="1089">
        <v>5.7410000000000005</v>
      </c>
      <c r="H313" s="1091">
        <v>0.18462200000000001</v>
      </c>
      <c r="I313" s="1091">
        <v>8.6110000000000006E-4</v>
      </c>
      <c r="J313" s="1092">
        <v>11.565900000000001</v>
      </c>
    </row>
    <row r="314" spans="2:10" x14ac:dyDescent="0.25">
      <c r="B314" s="1089" t="s">
        <v>670</v>
      </c>
      <c r="C314" s="1090">
        <v>2045</v>
      </c>
      <c r="D314" s="1089">
        <v>1092000</v>
      </c>
      <c r="E314" s="1091">
        <v>1092000</v>
      </c>
      <c r="F314" s="1092">
        <v>3972</v>
      </c>
      <c r="G314" s="1089">
        <v>5.7410000000000005</v>
      </c>
      <c r="H314" s="1091">
        <v>0.18462200000000001</v>
      </c>
      <c r="I314" s="1091">
        <v>8.6110000000000006E-4</v>
      </c>
      <c r="J314" s="1092">
        <v>11.565900000000001</v>
      </c>
    </row>
    <row r="315" spans="2:10" x14ac:dyDescent="0.25">
      <c r="B315" s="1089" t="s">
        <v>671</v>
      </c>
      <c r="C315" s="1090">
        <v>2045</v>
      </c>
      <c r="D315" s="1089">
        <v>-1185000</v>
      </c>
      <c r="E315" s="1091">
        <v>0</v>
      </c>
      <c r="F315" s="1092">
        <v>0</v>
      </c>
      <c r="G315" s="1089">
        <v>-85.800000000000011</v>
      </c>
      <c r="H315" s="1091">
        <v>0.54700000000000004</v>
      </c>
      <c r="I315" s="1091">
        <v>-1.8286999999999999E-3</v>
      </c>
      <c r="J315" s="1092">
        <v>-70.08</v>
      </c>
    </row>
    <row r="316" spans="2:10" x14ac:dyDescent="0.25">
      <c r="B316" s="1089" t="s">
        <v>672</v>
      </c>
      <c r="C316" s="1090">
        <v>2045</v>
      </c>
      <c r="D316" s="1089">
        <v>1724000</v>
      </c>
      <c r="E316" s="1091">
        <v>1293000</v>
      </c>
      <c r="F316" s="1092">
        <v>15580</v>
      </c>
      <c r="G316" s="1089">
        <v>126.71000000000001</v>
      </c>
      <c r="H316" s="1091">
        <v>0.203795</v>
      </c>
      <c r="I316" s="1091">
        <v>1.8165E-3</v>
      </c>
      <c r="J316" s="1092">
        <v>131.63</v>
      </c>
    </row>
    <row r="317" spans="2:10" x14ac:dyDescent="0.25">
      <c r="B317" s="1089" t="s">
        <v>687</v>
      </c>
      <c r="C317" s="1090">
        <v>2045</v>
      </c>
      <c r="D317" s="1089">
        <v>1724000</v>
      </c>
      <c r="E317" s="1091">
        <v>1293000</v>
      </c>
      <c r="F317" s="1092">
        <v>15580</v>
      </c>
      <c r="G317" s="1089">
        <v>126.71000000000001</v>
      </c>
      <c r="H317" s="1091">
        <v>0.203795</v>
      </c>
      <c r="I317" s="1091">
        <v>1.8165E-3</v>
      </c>
      <c r="J317" s="1092">
        <v>131.63</v>
      </c>
    </row>
    <row r="318" spans="2:10" x14ac:dyDescent="0.25">
      <c r="B318" s="1089" t="s">
        <v>673</v>
      </c>
      <c r="C318" s="1090">
        <v>2045</v>
      </c>
      <c r="D318" s="1089">
        <v>1724000</v>
      </c>
      <c r="E318" s="1091">
        <v>1293000</v>
      </c>
      <c r="F318" s="1092">
        <v>15580</v>
      </c>
      <c r="G318" s="1089">
        <v>126.71000000000001</v>
      </c>
      <c r="H318" s="1091">
        <v>0.203795</v>
      </c>
      <c r="I318" s="1091">
        <v>1.8165E-3</v>
      </c>
      <c r="J318" s="1092">
        <v>131.63</v>
      </c>
    </row>
    <row r="319" spans="2:10" x14ac:dyDescent="0.25">
      <c r="B319" s="1089" t="s">
        <v>1069</v>
      </c>
      <c r="C319" s="1090">
        <v>2045</v>
      </c>
      <c r="D319" s="1089">
        <v>1022000</v>
      </c>
      <c r="E319" s="1091">
        <v>1021000</v>
      </c>
      <c r="F319" s="1092">
        <v>15510</v>
      </c>
      <c r="G319" s="1089">
        <v>1.6997</v>
      </c>
      <c r="H319" s="1091">
        <v>0.14096223999999999</v>
      </c>
      <c r="I319" s="1091">
        <v>3.2833999999999998E-5</v>
      </c>
      <c r="J319" s="1092">
        <v>5.9580000000000002</v>
      </c>
    </row>
    <row r="320" spans="2:10" x14ac:dyDescent="0.25">
      <c r="B320" s="1089" t="s">
        <v>705</v>
      </c>
      <c r="C320" s="1090">
        <v>2045</v>
      </c>
      <c r="D320" s="1089">
        <v>1022000</v>
      </c>
      <c r="E320" s="1091">
        <v>1021000</v>
      </c>
      <c r="F320" s="1092">
        <v>15510</v>
      </c>
      <c r="G320" s="1089">
        <v>1.6997</v>
      </c>
      <c r="H320" s="1091">
        <v>0.14096223999999999</v>
      </c>
      <c r="I320" s="1091">
        <v>3.2833999999999998E-5</v>
      </c>
      <c r="J320" s="1092">
        <v>5.9580000000000002</v>
      </c>
    </row>
    <row r="321" spans="2:10" x14ac:dyDescent="0.25">
      <c r="B321" s="1089" t="s">
        <v>706</v>
      </c>
      <c r="C321" s="1090">
        <v>2045</v>
      </c>
      <c r="D321" s="1089">
        <v>1022000</v>
      </c>
      <c r="E321" s="1091">
        <v>1021000</v>
      </c>
      <c r="F321" s="1092">
        <v>15510</v>
      </c>
      <c r="G321" s="1089">
        <v>1.6997</v>
      </c>
      <c r="H321" s="1091">
        <v>0.14096223999999999</v>
      </c>
      <c r="I321" s="1091">
        <v>3.2833999999999998E-5</v>
      </c>
      <c r="J321" s="1092">
        <v>5.9580000000000002</v>
      </c>
    </row>
    <row r="322" spans="2:10" x14ac:dyDescent="0.25">
      <c r="B322" s="1089" t="s">
        <v>899</v>
      </c>
      <c r="C322" s="1090">
        <v>2045</v>
      </c>
      <c r="D322" s="1089">
        <v>1209000</v>
      </c>
      <c r="E322" s="1091">
        <v>1202000</v>
      </c>
      <c r="F322" s="1092">
        <v>1052000</v>
      </c>
      <c r="G322" s="1089">
        <v>17.989000000000001</v>
      </c>
      <c r="H322" s="1091">
        <v>0.164127</v>
      </c>
      <c r="I322" s="1091">
        <v>2.9079000000000003E-4</v>
      </c>
      <c r="J322" s="1092">
        <v>23.018999999999998</v>
      </c>
    </row>
    <row r="323" spans="2:10" x14ac:dyDescent="0.25">
      <c r="B323" s="1089" t="s">
        <v>897</v>
      </c>
      <c r="C323" s="1090">
        <v>2045</v>
      </c>
      <c r="D323" s="1089">
        <v>1586000</v>
      </c>
      <c r="E323" s="1091">
        <v>696300</v>
      </c>
      <c r="F323" s="1092">
        <v>286000</v>
      </c>
      <c r="G323" s="1089">
        <v>38.110999999999997</v>
      </c>
      <c r="H323" s="1091">
        <v>0.1118</v>
      </c>
      <c r="I323" s="1091">
        <v>2.5350000000000001E-2</v>
      </c>
      <c r="J323" s="1092">
        <v>45.23</v>
      </c>
    </row>
    <row r="324" spans="2:10" x14ac:dyDescent="0.25">
      <c r="B324" s="1089" t="s">
        <v>900</v>
      </c>
      <c r="C324" s="1090">
        <v>2045</v>
      </c>
      <c r="D324" s="1089">
        <v>1249000</v>
      </c>
      <c r="E324" s="1091">
        <v>1242000</v>
      </c>
      <c r="F324" s="1092">
        <v>1078000</v>
      </c>
      <c r="G324" s="1089">
        <v>23.861000000000001</v>
      </c>
      <c r="H324" s="1091">
        <v>0.16985599999999998</v>
      </c>
      <c r="I324" s="1091">
        <v>3.7867E-4</v>
      </c>
      <c r="J324" s="1092">
        <v>29.189</v>
      </c>
    </row>
    <row r="325" spans="2:10" x14ac:dyDescent="0.25">
      <c r="B325" s="1089" t="s">
        <v>1063</v>
      </c>
      <c r="C325" s="1090">
        <v>2045</v>
      </c>
      <c r="D325" s="1089">
        <v>1190000</v>
      </c>
      <c r="E325" s="1091">
        <v>51590</v>
      </c>
      <c r="F325" s="1092">
        <v>29220</v>
      </c>
      <c r="G325" s="1089">
        <v>3.7631000000000001</v>
      </c>
      <c r="H325" s="1091">
        <v>8.4335E-3</v>
      </c>
      <c r="I325" s="1091">
        <v>-3.8260760000000003E-3</v>
      </c>
      <c r="J325" s="1092">
        <v>3.0114000000000001</v>
      </c>
    </row>
    <row r="326" spans="2:10" x14ac:dyDescent="0.25">
      <c r="B326" s="1089" t="s">
        <v>804</v>
      </c>
      <c r="C326" s="1090">
        <v>2045</v>
      </c>
      <c r="D326" s="1089">
        <v>1190000</v>
      </c>
      <c r="E326" s="1091">
        <v>51590</v>
      </c>
      <c r="F326" s="1092">
        <v>29220</v>
      </c>
      <c r="G326" s="1089">
        <v>3.7631000000000001</v>
      </c>
      <c r="H326" s="1091">
        <v>8.4335E-3</v>
      </c>
      <c r="I326" s="1091">
        <v>-3.8260760000000003E-3</v>
      </c>
      <c r="J326" s="1092">
        <v>3.0114000000000001</v>
      </c>
    </row>
    <row r="327" spans="2:10" x14ac:dyDescent="0.25">
      <c r="B327" s="1089" t="s">
        <v>812</v>
      </c>
      <c r="C327" s="1090">
        <v>2045</v>
      </c>
      <c r="D327" s="1089">
        <v>1190000</v>
      </c>
      <c r="E327" s="1091">
        <v>51590</v>
      </c>
      <c r="F327" s="1092">
        <v>29220</v>
      </c>
      <c r="G327" s="1089">
        <v>3.7631000000000001</v>
      </c>
      <c r="H327" s="1091">
        <v>8.4335E-3</v>
      </c>
      <c r="I327" s="1091">
        <v>-3.8260760000000003E-3</v>
      </c>
      <c r="J327" s="1092">
        <v>3.0114000000000001</v>
      </c>
    </row>
    <row r="328" spans="2:10" ht="13.8" thickBot="1" x14ac:dyDescent="0.3">
      <c r="B328" s="1093" t="s">
        <v>1070</v>
      </c>
      <c r="C328" s="1094">
        <v>2045</v>
      </c>
      <c r="D328" s="1093">
        <v>1384000</v>
      </c>
      <c r="E328" s="1095">
        <v>1383000</v>
      </c>
      <c r="F328" s="1096">
        <v>5034</v>
      </c>
      <c r="G328" s="1093">
        <v>78.571100000000001</v>
      </c>
      <c r="H328" s="1095">
        <v>0.27494000000000002</v>
      </c>
      <c r="I328" s="1095">
        <v>2.3304000000000003E-3</v>
      </c>
      <c r="J328" s="1096">
        <v>87.594300000000004</v>
      </c>
    </row>
    <row r="329" spans="2:10" x14ac:dyDescent="0.25">
      <c r="B329" s="1085" t="s">
        <v>1067</v>
      </c>
      <c r="C329" s="1086">
        <v>2050</v>
      </c>
      <c r="D329" s="1085">
        <v>1092000</v>
      </c>
      <c r="E329" s="1087">
        <v>1092000</v>
      </c>
      <c r="F329" s="1088">
        <v>3971</v>
      </c>
      <c r="G329" s="1085">
        <v>5.7390999999999996</v>
      </c>
      <c r="H329" s="1087">
        <v>0.18462200000000001</v>
      </c>
      <c r="I329" s="1087">
        <v>8.61E-4</v>
      </c>
      <c r="J329" s="1088">
        <v>11.5648</v>
      </c>
    </row>
    <row r="330" spans="2:10" x14ac:dyDescent="0.25">
      <c r="B330" s="1089" t="s">
        <v>282</v>
      </c>
      <c r="C330" s="1090">
        <v>2050</v>
      </c>
      <c r="D330" s="1089">
        <v>1092000</v>
      </c>
      <c r="E330" s="1091">
        <v>1092000</v>
      </c>
      <c r="F330" s="1092">
        <v>3971</v>
      </c>
      <c r="G330" s="1089">
        <v>5.7390999999999996</v>
      </c>
      <c r="H330" s="1091">
        <v>0.18462200000000001</v>
      </c>
      <c r="I330" s="1091">
        <v>8.61E-4</v>
      </c>
      <c r="J330" s="1092">
        <v>11.5648</v>
      </c>
    </row>
    <row r="331" spans="2:10" x14ac:dyDescent="0.25">
      <c r="B331" s="1089" t="s">
        <v>1068</v>
      </c>
      <c r="C331" s="1090">
        <v>2050</v>
      </c>
      <c r="D331" s="1089">
        <v>1092000</v>
      </c>
      <c r="E331" s="1091">
        <v>1092000</v>
      </c>
      <c r="F331" s="1092">
        <v>3971</v>
      </c>
      <c r="G331" s="1089">
        <v>5.7390999999999996</v>
      </c>
      <c r="H331" s="1091">
        <v>0.18462200000000001</v>
      </c>
      <c r="I331" s="1091">
        <v>8.61E-4</v>
      </c>
      <c r="J331" s="1092">
        <v>11.5648</v>
      </c>
    </row>
    <row r="332" spans="2:10" x14ac:dyDescent="0.25">
      <c r="B332" s="1089" t="s">
        <v>670</v>
      </c>
      <c r="C332" s="1090">
        <v>2050</v>
      </c>
      <c r="D332" s="1089">
        <v>1092000</v>
      </c>
      <c r="E332" s="1091">
        <v>1092000</v>
      </c>
      <c r="F332" s="1092">
        <v>3971</v>
      </c>
      <c r="G332" s="1089">
        <v>5.7390999999999996</v>
      </c>
      <c r="H332" s="1091">
        <v>0.18462200000000001</v>
      </c>
      <c r="I332" s="1091">
        <v>8.61E-4</v>
      </c>
      <c r="J332" s="1092">
        <v>11.5648</v>
      </c>
    </row>
    <row r="333" spans="2:10" x14ac:dyDescent="0.25">
      <c r="B333" s="1089" t="s">
        <v>671</v>
      </c>
      <c r="C333" s="1090">
        <v>2050</v>
      </c>
      <c r="D333" s="1089">
        <v>-1185000</v>
      </c>
      <c r="E333" s="1091">
        <v>0</v>
      </c>
      <c r="F333" s="1092">
        <v>0</v>
      </c>
      <c r="G333" s="1089">
        <v>-85.800000000000011</v>
      </c>
      <c r="H333" s="1091">
        <v>0.54700000000000004</v>
      </c>
      <c r="I333" s="1091">
        <v>-1.8286999999999999E-3</v>
      </c>
      <c r="J333" s="1092">
        <v>-70.08</v>
      </c>
    </row>
    <row r="334" spans="2:10" x14ac:dyDescent="0.25">
      <c r="B334" s="1089" t="s">
        <v>672</v>
      </c>
      <c r="C334" s="1090">
        <v>2050</v>
      </c>
      <c r="D334" s="1089">
        <v>1721000</v>
      </c>
      <c r="E334" s="1091">
        <v>1293000</v>
      </c>
      <c r="F334" s="1092">
        <v>15050</v>
      </c>
      <c r="G334" s="1089">
        <v>125.08</v>
      </c>
      <c r="H334" s="1091">
        <v>0.20477100000000001</v>
      </c>
      <c r="I334" s="1091">
        <v>1.7827000000000001E-3</v>
      </c>
      <c r="J334" s="1092">
        <v>129.82</v>
      </c>
    </row>
    <row r="335" spans="2:10" x14ac:dyDescent="0.25">
      <c r="B335" s="1089" t="s">
        <v>687</v>
      </c>
      <c r="C335" s="1090">
        <v>2050</v>
      </c>
      <c r="D335" s="1089">
        <v>1721000</v>
      </c>
      <c r="E335" s="1091">
        <v>1293000</v>
      </c>
      <c r="F335" s="1092">
        <v>15050</v>
      </c>
      <c r="G335" s="1089">
        <v>125.08</v>
      </c>
      <c r="H335" s="1091">
        <v>0.20477100000000001</v>
      </c>
      <c r="I335" s="1091">
        <v>1.7827000000000001E-3</v>
      </c>
      <c r="J335" s="1092">
        <v>129.82</v>
      </c>
    </row>
    <row r="336" spans="2:10" x14ac:dyDescent="0.25">
      <c r="B336" s="1089" t="s">
        <v>673</v>
      </c>
      <c r="C336" s="1090">
        <v>2050</v>
      </c>
      <c r="D336" s="1089">
        <v>1721000</v>
      </c>
      <c r="E336" s="1091">
        <v>1293000</v>
      </c>
      <c r="F336" s="1092">
        <v>15050</v>
      </c>
      <c r="G336" s="1089">
        <v>125.08</v>
      </c>
      <c r="H336" s="1091">
        <v>0.20477100000000001</v>
      </c>
      <c r="I336" s="1091">
        <v>1.7827000000000001E-3</v>
      </c>
      <c r="J336" s="1092">
        <v>129.82</v>
      </c>
    </row>
    <row r="337" spans="2:10" x14ac:dyDescent="0.25">
      <c r="B337" s="1089" t="s">
        <v>1069</v>
      </c>
      <c r="C337" s="1090">
        <v>2050</v>
      </c>
      <c r="D337" s="1089">
        <v>1022000</v>
      </c>
      <c r="E337" s="1091">
        <v>1021000</v>
      </c>
      <c r="F337" s="1092">
        <v>15510</v>
      </c>
      <c r="G337" s="1089">
        <v>1.6964999999999999</v>
      </c>
      <c r="H337" s="1091">
        <v>0.14096238999999999</v>
      </c>
      <c r="I337" s="1091">
        <v>3.2765999999999998E-5</v>
      </c>
      <c r="J337" s="1092">
        <v>5.9536999999999995</v>
      </c>
    </row>
    <row r="338" spans="2:10" x14ac:dyDescent="0.25">
      <c r="B338" s="1089" t="s">
        <v>705</v>
      </c>
      <c r="C338" s="1090">
        <v>2050</v>
      </c>
      <c r="D338" s="1089">
        <v>1022000</v>
      </c>
      <c r="E338" s="1091">
        <v>1021000</v>
      </c>
      <c r="F338" s="1092">
        <v>15510</v>
      </c>
      <c r="G338" s="1089">
        <v>1.6964999999999999</v>
      </c>
      <c r="H338" s="1091">
        <v>0.14096238999999999</v>
      </c>
      <c r="I338" s="1091">
        <v>3.2765999999999998E-5</v>
      </c>
      <c r="J338" s="1092">
        <v>5.9536999999999995</v>
      </c>
    </row>
    <row r="339" spans="2:10" x14ac:dyDescent="0.25">
      <c r="B339" s="1089" t="s">
        <v>706</v>
      </c>
      <c r="C339" s="1090">
        <v>2050</v>
      </c>
      <c r="D339" s="1089">
        <v>1022000</v>
      </c>
      <c r="E339" s="1091">
        <v>1021000</v>
      </c>
      <c r="F339" s="1092">
        <v>15510</v>
      </c>
      <c r="G339" s="1089">
        <v>1.6964999999999999</v>
      </c>
      <c r="H339" s="1091">
        <v>0.14096238999999999</v>
      </c>
      <c r="I339" s="1091">
        <v>3.2765999999999998E-5</v>
      </c>
      <c r="J339" s="1092">
        <v>5.9536999999999995</v>
      </c>
    </row>
    <row r="340" spans="2:10" x14ac:dyDescent="0.25">
      <c r="B340" s="1089" t="s">
        <v>899</v>
      </c>
      <c r="C340" s="1090">
        <v>2050</v>
      </c>
      <c r="D340" s="1089">
        <v>1209000</v>
      </c>
      <c r="E340" s="1091">
        <v>1202000</v>
      </c>
      <c r="F340" s="1092">
        <v>1052000</v>
      </c>
      <c r="G340" s="1089">
        <v>17.969000000000001</v>
      </c>
      <c r="H340" s="1091">
        <v>0.164128</v>
      </c>
      <c r="I340" s="1091">
        <v>2.9025999999999998E-4</v>
      </c>
      <c r="J340" s="1092">
        <v>22.988</v>
      </c>
    </row>
    <row r="341" spans="2:10" x14ac:dyDescent="0.25">
      <c r="B341" s="1089" t="s">
        <v>897</v>
      </c>
      <c r="C341" s="1090">
        <v>2050</v>
      </c>
      <c r="D341" s="1089">
        <v>1585000</v>
      </c>
      <c r="E341" s="1091">
        <v>696300</v>
      </c>
      <c r="F341" s="1092">
        <v>286000</v>
      </c>
      <c r="G341" s="1089">
        <v>38.049999999999997</v>
      </c>
      <c r="H341" s="1091">
        <v>0.1118</v>
      </c>
      <c r="I341" s="1091">
        <v>2.5350000000000001E-2</v>
      </c>
      <c r="J341" s="1092">
        <v>45.19</v>
      </c>
    </row>
    <row r="342" spans="2:10" x14ac:dyDescent="0.25">
      <c r="B342" s="1089" t="s">
        <v>900</v>
      </c>
      <c r="C342" s="1090">
        <v>2050</v>
      </c>
      <c r="D342" s="1089">
        <v>1249000</v>
      </c>
      <c r="E342" s="1091">
        <v>1242000</v>
      </c>
      <c r="F342" s="1092">
        <v>1078000</v>
      </c>
      <c r="G342" s="1089">
        <v>23.84</v>
      </c>
      <c r="H342" s="1091">
        <v>0.16985799999999998</v>
      </c>
      <c r="I342" s="1091">
        <v>3.7813000000000001E-4</v>
      </c>
      <c r="J342" s="1092">
        <v>29.157000000000004</v>
      </c>
    </row>
    <row r="343" spans="2:10" x14ac:dyDescent="0.25">
      <c r="B343" s="1089" t="s">
        <v>1063</v>
      </c>
      <c r="C343" s="1090">
        <v>2050</v>
      </c>
      <c r="D343" s="1089">
        <v>1190000</v>
      </c>
      <c r="E343" s="1091">
        <v>51590</v>
      </c>
      <c r="F343" s="1092">
        <v>29220</v>
      </c>
      <c r="G343" s="1089">
        <v>3.7582</v>
      </c>
      <c r="H343" s="1091">
        <v>8.4366999999999984E-3</v>
      </c>
      <c r="I343" s="1091">
        <v>-3.8261190000000002E-3</v>
      </c>
      <c r="J343" s="1092">
        <v>3.0054000000000003</v>
      </c>
    </row>
    <row r="344" spans="2:10" x14ac:dyDescent="0.25">
      <c r="B344" s="1089" t="s">
        <v>804</v>
      </c>
      <c r="C344" s="1090">
        <v>2050</v>
      </c>
      <c r="D344" s="1089">
        <v>1190000</v>
      </c>
      <c r="E344" s="1091">
        <v>51590</v>
      </c>
      <c r="F344" s="1092">
        <v>29220</v>
      </c>
      <c r="G344" s="1089">
        <v>3.7582</v>
      </c>
      <c r="H344" s="1091">
        <v>8.4366999999999984E-3</v>
      </c>
      <c r="I344" s="1091">
        <v>-3.8261190000000002E-3</v>
      </c>
      <c r="J344" s="1092">
        <v>3.0054000000000003</v>
      </c>
    </row>
    <row r="345" spans="2:10" x14ac:dyDescent="0.25">
      <c r="B345" s="1089" t="s">
        <v>812</v>
      </c>
      <c r="C345" s="1090">
        <v>2050</v>
      </c>
      <c r="D345" s="1089">
        <v>1190000</v>
      </c>
      <c r="E345" s="1091">
        <v>51590</v>
      </c>
      <c r="F345" s="1092">
        <v>29220</v>
      </c>
      <c r="G345" s="1089">
        <v>3.7582</v>
      </c>
      <c r="H345" s="1091">
        <v>8.4366999999999984E-3</v>
      </c>
      <c r="I345" s="1091">
        <v>-3.8261190000000002E-3</v>
      </c>
      <c r="J345" s="1092">
        <v>3.0054000000000003</v>
      </c>
    </row>
    <row r="346" spans="2:10" ht="13.8" thickBot="1" x14ac:dyDescent="0.3">
      <c r="B346" s="1093" t="s">
        <v>1070</v>
      </c>
      <c r="C346" s="1094">
        <v>2050</v>
      </c>
      <c r="D346" s="1093">
        <v>1384000</v>
      </c>
      <c r="E346" s="1095">
        <v>1383000</v>
      </c>
      <c r="F346" s="1096">
        <v>5034</v>
      </c>
      <c r="G346" s="1093">
        <v>78.571100000000001</v>
      </c>
      <c r="H346" s="1095">
        <v>0.27494000000000002</v>
      </c>
      <c r="I346" s="1095">
        <v>2.3304000000000003E-3</v>
      </c>
      <c r="J346" s="1096">
        <v>87.594300000000004</v>
      </c>
    </row>
    <row r="347" spans="2:10" x14ac:dyDescent="0.25">
      <c r="B347" s="1085" t="s">
        <v>1067</v>
      </c>
      <c r="C347" s="1086">
        <v>2055</v>
      </c>
      <c r="D347" s="1085">
        <v>1092000</v>
      </c>
      <c r="E347" s="1087">
        <v>1092000</v>
      </c>
      <c r="F347" s="1088">
        <v>3971</v>
      </c>
      <c r="G347" s="1085">
        <v>5.7390999999999996</v>
      </c>
      <c r="H347" s="1087">
        <v>0.18462200000000001</v>
      </c>
      <c r="I347" s="1087">
        <v>8.61E-4</v>
      </c>
      <c r="J347" s="1088">
        <v>11.5648</v>
      </c>
    </row>
    <row r="348" spans="2:10" x14ac:dyDescent="0.25">
      <c r="B348" s="1089" t="s">
        <v>282</v>
      </c>
      <c r="C348" s="1090">
        <v>2055</v>
      </c>
      <c r="D348" s="1089">
        <v>1092000</v>
      </c>
      <c r="E348" s="1091">
        <v>1092000</v>
      </c>
      <c r="F348" s="1092">
        <v>3971</v>
      </c>
      <c r="G348" s="1089">
        <v>5.7390999999999996</v>
      </c>
      <c r="H348" s="1091">
        <v>0.18462200000000001</v>
      </c>
      <c r="I348" s="1091">
        <v>8.61E-4</v>
      </c>
      <c r="J348" s="1092">
        <v>11.5648</v>
      </c>
    </row>
    <row r="349" spans="2:10" x14ac:dyDescent="0.25">
      <c r="B349" s="1089" t="s">
        <v>1068</v>
      </c>
      <c r="C349" s="1090">
        <v>2055</v>
      </c>
      <c r="D349" s="1089">
        <v>1092000</v>
      </c>
      <c r="E349" s="1091">
        <v>1092000</v>
      </c>
      <c r="F349" s="1092">
        <v>3971</v>
      </c>
      <c r="G349" s="1089">
        <v>5.7390999999999996</v>
      </c>
      <c r="H349" s="1091">
        <v>0.18462200000000001</v>
      </c>
      <c r="I349" s="1091">
        <v>8.61E-4</v>
      </c>
      <c r="J349" s="1092">
        <v>11.5648</v>
      </c>
    </row>
    <row r="350" spans="2:10" x14ac:dyDescent="0.25">
      <c r="B350" s="1089" t="s">
        <v>670</v>
      </c>
      <c r="C350" s="1090">
        <v>2055</v>
      </c>
      <c r="D350" s="1089">
        <v>1092000</v>
      </c>
      <c r="E350" s="1091">
        <v>1092000</v>
      </c>
      <c r="F350" s="1092">
        <v>3971</v>
      </c>
      <c r="G350" s="1089">
        <v>5.7390999999999996</v>
      </c>
      <c r="H350" s="1091">
        <v>0.18462200000000001</v>
      </c>
      <c r="I350" s="1091">
        <v>8.61E-4</v>
      </c>
      <c r="J350" s="1092">
        <v>11.5648</v>
      </c>
    </row>
    <row r="351" spans="2:10" x14ac:dyDescent="0.25">
      <c r="B351" s="1089" t="s">
        <v>671</v>
      </c>
      <c r="C351" s="1090">
        <v>2055</v>
      </c>
      <c r="D351" s="1089">
        <v>-1185000</v>
      </c>
      <c r="E351" s="1091">
        <v>0</v>
      </c>
      <c r="F351" s="1092">
        <v>0</v>
      </c>
      <c r="G351" s="1089">
        <v>-85.800000000000011</v>
      </c>
      <c r="H351" s="1091">
        <v>0.54700000000000004</v>
      </c>
      <c r="I351" s="1091">
        <v>-1.8286999999999999E-3</v>
      </c>
      <c r="J351" s="1092">
        <v>-70.08</v>
      </c>
    </row>
    <row r="352" spans="2:10" x14ac:dyDescent="0.25">
      <c r="B352" s="1089" t="s">
        <v>672</v>
      </c>
      <c r="C352" s="1090">
        <v>2055</v>
      </c>
      <c r="D352" s="1089">
        <v>1721000</v>
      </c>
      <c r="E352" s="1091">
        <v>1293000</v>
      </c>
      <c r="F352" s="1092">
        <v>15050</v>
      </c>
      <c r="G352" s="1089">
        <v>125.08</v>
      </c>
      <c r="H352" s="1091">
        <v>0.20477100000000001</v>
      </c>
      <c r="I352" s="1091">
        <v>1.7827000000000001E-3</v>
      </c>
      <c r="J352" s="1092">
        <v>129.82</v>
      </c>
    </row>
    <row r="353" spans="2:10" x14ac:dyDescent="0.25">
      <c r="B353" s="1089" t="s">
        <v>687</v>
      </c>
      <c r="C353" s="1090">
        <v>2055</v>
      </c>
      <c r="D353" s="1089">
        <v>1721000</v>
      </c>
      <c r="E353" s="1091">
        <v>1293000</v>
      </c>
      <c r="F353" s="1092">
        <v>15050</v>
      </c>
      <c r="G353" s="1089">
        <v>125.08</v>
      </c>
      <c r="H353" s="1091">
        <v>0.20477100000000001</v>
      </c>
      <c r="I353" s="1091">
        <v>1.7827000000000001E-3</v>
      </c>
      <c r="J353" s="1092">
        <v>129.82</v>
      </c>
    </row>
    <row r="354" spans="2:10" x14ac:dyDescent="0.25">
      <c r="B354" s="1089" t="s">
        <v>673</v>
      </c>
      <c r="C354" s="1090">
        <v>2055</v>
      </c>
      <c r="D354" s="1089">
        <v>1721000</v>
      </c>
      <c r="E354" s="1091">
        <v>1293000</v>
      </c>
      <c r="F354" s="1092">
        <v>15050</v>
      </c>
      <c r="G354" s="1089">
        <v>125.08</v>
      </c>
      <c r="H354" s="1091">
        <v>0.20477100000000001</v>
      </c>
      <c r="I354" s="1091">
        <v>1.7827000000000001E-3</v>
      </c>
      <c r="J354" s="1092">
        <v>129.82</v>
      </c>
    </row>
    <row r="355" spans="2:10" x14ac:dyDescent="0.25">
      <c r="B355" s="1089" t="s">
        <v>1069</v>
      </c>
      <c r="C355" s="1090">
        <v>2055</v>
      </c>
      <c r="D355" s="1089">
        <v>1022000</v>
      </c>
      <c r="E355" s="1091">
        <v>1021000</v>
      </c>
      <c r="F355" s="1092">
        <v>15510</v>
      </c>
      <c r="G355" s="1089">
        <v>1.6964999999999999</v>
      </c>
      <c r="H355" s="1091">
        <v>0.14096238999999999</v>
      </c>
      <c r="I355" s="1091">
        <v>3.2765999999999998E-5</v>
      </c>
      <c r="J355" s="1092">
        <v>5.9536999999999995</v>
      </c>
    </row>
    <row r="356" spans="2:10" x14ac:dyDescent="0.25">
      <c r="B356" s="1089" t="s">
        <v>705</v>
      </c>
      <c r="C356" s="1090">
        <v>2055</v>
      </c>
      <c r="D356" s="1089">
        <v>1022000</v>
      </c>
      <c r="E356" s="1091">
        <v>1021000</v>
      </c>
      <c r="F356" s="1092">
        <v>15510</v>
      </c>
      <c r="G356" s="1089">
        <v>1.6964999999999999</v>
      </c>
      <c r="H356" s="1091">
        <v>0.14096238999999999</v>
      </c>
      <c r="I356" s="1091">
        <v>3.2765999999999998E-5</v>
      </c>
      <c r="J356" s="1092">
        <v>5.9536999999999995</v>
      </c>
    </row>
    <row r="357" spans="2:10" x14ac:dyDescent="0.25">
      <c r="B357" s="1089" t="s">
        <v>706</v>
      </c>
      <c r="C357" s="1090">
        <v>2055</v>
      </c>
      <c r="D357" s="1089">
        <v>1022000</v>
      </c>
      <c r="E357" s="1091">
        <v>1021000</v>
      </c>
      <c r="F357" s="1092">
        <v>15510</v>
      </c>
      <c r="G357" s="1089">
        <v>1.6964999999999999</v>
      </c>
      <c r="H357" s="1091">
        <v>0.14096238999999999</v>
      </c>
      <c r="I357" s="1091">
        <v>3.2765999999999998E-5</v>
      </c>
      <c r="J357" s="1092">
        <v>5.9536999999999995</v>
      </c>
    </row>
    <row r="358" spans="2:10" x14ac:dyDescent="0.25">
      <c r="B358" s="1089" t="s">
        <v>899</v>
      </c>
      <c r="C358" s="1090">
        <v>2055</v>
      </c>
      <c r="D358" s="1089">
        <v>1209000</v>
      </c>
      <c r="E358" s="1091">
        <v>1202000</v>
      </c>
      <c r="F358" s="1092">
        <v>1052000</v>
      </c>
      <c r="G358" s="1089">
        <v>17.969000000000001</v>
      </c>
      <c r="H358" s="1091">
        <v>0.164128</v>
      </c>
      <c r="I358" s="1091">
        <v>2.9025999999999998E-4</v>
      </c>
      <c r="J358" s="1092">
        <v>22.988</v>
      </c>
    </row>
    <row r="359" spans="2:10" x14ac:dyDescent="0.25">
      <c r="B359" s="1089" t="s">
        <v>897</v>
      </c>
      <c r="C359" s="1090">
        <v>2055</v>
      </c>
      <c r="D359" s="1089">
        <v>1585000</v>
      </c>
      <c r="E359" s="1091">
        <v>696300</v>
      </c>
      <c r="F359" s="1092">
        <v>286000</v>
      </c>
      <c r="G359" s="1089">
        <v>38.049999999999997</v>
      </c>
      <c r="H359" s="1091">
        <v>0.1118</v>
      </c>
      <c r="I359" s="1091">
        <v>2.5350000000000001E-2</v>
      </c>
      <c r="J359" s="1092">
        <v>45.19</v>
      </c>
    </row>
    <row r="360" spans="2:10" x14ac:dyDescent="0.25">
      <c r="B360" s="1089" t="s">
        <v>900</v>
      </c>
      <c r="C360" s="1090">
        <v>2055</v>
      </c>
      <c r="D360" s="1089">
        <v>1249000</v>
      </c>
      <c r="E360" s="1091">
        <v>1242000</v>
      </c>
      <c r="F360" s="1092">
        <v>1078000</v>
      </c>
      <c r="G360" s="1089">
        <v>23.84</v>
      </c>
      <c r="H360" s="1091">
        <v>0.16985799999999998</v>
      </c>
      <c r="I360" s="1091">
        <v>3.7813000000000001E-4</v>
      </c>
      <c r="J360" s="1092">
        <v>29.157000000000004</v>
      </c>
    </row>
    <row r="361" spans="2:10" x14ac:dyDescent="0.25">
      <c r="B361" s="1089" t="s">
        <v>1063</v>
      </c>
      <c r="C361" s="1090">
        <v>2055</v>
      </c>
      <c r="D361" s="1089">
        <v>1190000</v>
      </c>
      <c r="E361" s="1091">
        <v>51590</v>
      </c>
      <c r="F361" s="1092">
        <v>29220</v>
      </c>
      <c r="G361" s="1089">
        <v>3.7582</v>
      </c>
      <c r="H361" s="1091">
        <v>8.4366999999999984E-3</v>
      </c>
      <c r="I361" s="1091">
        <v>-3.8261190000000002E-3</v>
      </c>
      <c r="J361" s="1092">
        <v>3.0054000000000003</v>
      </c>
    </row>
    <row r="362" spans="2:10" x14ac:dyDescent="0.25">
      <c r="B362" s="1089" t="s">
        <v>804</v>
      </c>
      <c r="C362" s="1090">
        <v>2055</v>
      </c>
      <c r="D362" s="1089">
        <v>1190000</v>
      </c>
      <c r="E362" s="1091">
        <v>51590</v>
      </c>
      <c r="F362" s="1092">
        <v>29220</v>
      </c>
      <c r="G362" s="1089">
        <v>3.7582</v>
      </c>
      <c r="H362" s="1091">
        <v>8.4366999999999984E-3</v>
      </c>
      <c r="I362" s="1091">
        <v>-3.8261190000000002E-3</v>
      </c>
      <c r="J362" s="1092">
        <v>3.0054000000000003</v>
      </c>
    </row>
    <row r="363" spans="2:10" x14ac:dyDescent="0.25">
      <c r="B363" s="1089" t="s">
        <v>812</v>
      </c>
      <c r="C363" s="1090">
        <v>2055</v>
      </c>
      <c r="D363" s="1089">
        <v>1190000</v>
      </c>
      <c r="E363" s="1091">
        <v>51590</v>
      </c>
      <c r="F363" s="1092">
        <v>29220</v>
      </c>
      <c r="G363" s="1089">
        <v>3.7582</v>
      </c>
      <c r="H363" s="1091">
        <v>8.4366999999999984E-3</v>
      </c>
      <c r="I363" s="1091">
        <v>-3.8261190000000002E-3</v>
      </c>
      <c r="J363" s="1092">
        <v>3.0054000000000003</v>
      </c>
    </row>
    <row r="364" spans="2:10" ht="13.8" thickBot="1" x14ac:dyDescent="0.3">
      <c r="B364" s="1093" t="s">
        <v>1070</v>
      </c>
      <c r="C364" s="1094">
        <v>2055</v>
      </c>
      <c r="D364" s="1093">
        <v>1384000</v>
      </c>
      <c r="E364" s="1095">
        <v>1383000</v>
      </c>
      <c r="F364" s="1096">
        <v>5034</v>
      </c>
      <c r="G364" s="1093">
        <v>78.571100000000001</v>
      </c>
      <c r="H364" s="1095">
        <v>0.27494000000000002</v>
      </c>
      <c r="I364" s="1095">
        <v>2.3304000000000003E-3</v>
      </c>
      <c r="J364" s="1096">
        <v>87.594300000000004</v>
      </c>
    </row>
    <row r="365" spans="2:10" x14ac:dyDescent="0.25">
      <c r="B365" s="1085" t="s">
        <v>1067</v>
      </c>
      <c r="C365" s="1086">
        <v>2060</v>
      </c>
      <c r="D365" s="1085">
        <v>1092000</v>
      </c>
      <c r="E365" s="1087">
        <v>1092000</v>
      </c>
      <c r="F365" s="1088">
        <v>3971</v>
      </c>
      <c r="G365" s="1085">
        <v>5.7390999999999996</v>
      </c>
      <c r="H365" s="1087">
        <v>0.18462200000000001</v>
      </c>
      <c r="I365" s="1087">
        <v>8.61E-4</v>
      </c>
      <c r="J365" s="1088">
        <v>11.5648</v>
      </c>
    </row>
    <row r="366" spans="2:10" x14ac:dyDescent="0.25">
      <c r="B366" s="1089" t="s">
        <v>282</v>
      </c>
      <c r="C366" s="1090">
        <v>2060</v>
      </c>
      <c r="D366" s="1089">
        <v>1092000</v>
      </c>
      <c r="E366" s="1091">
        <v>1092000</v>
      </c>
      <c r="F366" s="1092">
        <v>3971</v>
      </c>
      <c r="G366" s="1089">
        <v>5.7390999999999996</v>
      </c>
      <c r="H366" s="1091">
        <v>0.18462200000000001</v>
      </c>
      <c r="I366" s="1091">
        <v>8.61E-4</v>
      </c>
      <c r="J366" s="1092">
        <v>11.5648</v>
      </c>
    </row>
    <row r="367" spans="2:10" x14ac:dyDescent="0.25">
      <c r="B367" s="1089" t="s">
        <v>1068</v>
      </c>
      <c r="C367" s="1090">
        <v>2060</v>
      </c>
      <c r="D367" s="1089">
        <v>1092000</v>
      </c>
      <c r="E367" s="1091">
        <v>1092000</v>
      </c>
      <c r="F367" s="1092">
        <v>3971</v>
      </c>
      <c r="G367" s="1089">
        <v>5.7390999999999996</v>
      </c>
      <c r="H367" s="1091">
        <v>0.18462200000000001</v>
      </c>
      <c r="I367" s="1091">
        <v>8.61E-4</v>
      </c>
      <c r="J367" s="1092">
        <v>11.5648</v>
      </c>
    </row>
    <row r="368" spans="2:10" x14ac:dyDescent="0.25">
      <c r="B368" s="1089" t="s">
        <v>670</v>
      </c>
      <c r="C368" s="1090">
        <v>2060</v>
      </c>
      <c r="D368" s="1089">
        <v>1092000</v>
      </c>
      <c r="E368" s="1091">
        <v>1092000</v>
      </c>
      <c r="F368" s="1092">
        <v>3971</v>
      </c>
      <c r="G368" s="1089">
        <v>5.7390999999999996</v>
      </c>
      <c r="H368" s="1091">
        <v>0.18462200000000001</v>
      </c>
      <c r="I368" s="1091">
        <v>8.61E-4</v>
      </c>
      <c r="J368" s="1092">
        <v>11.5648</v>
      </c>
    </row>
    <row r="369" spans="2:10" x14ac:dyDescent="0.25">
      <c r="B369" s="1089" t="s">
        <v>671</v>
      </c>
      <c r="C369" s="1090">
        <v>2060</v>
      </c>
      <c r="D369" s="1089">
        <v>-1185000</v>
      </c>
      <c r="E369" s="1091">
        <v>0</v>
      </c>
      <c r="F369" s="1092">
        <v>0</v>
      </c>
      <c r="G369" s="1089">
        <v>-85.800000000000011</v>
      </c>
      <c r="H369" s="1091">
        <v>0.54700000000000004</v>
      </c>
      <c r="I369" s="1091">
        <v>-1.8286999999999999E-3</v>
      </c>
      <c r="J369" s="1092">
        <v>-70.08</v>
      </c>
    </row>
    <row r="370" spans="2:10" x14ac:dyDescent="0.25">
      <c r="B370" s="1089" t="s">
        <v>672</v>
      </c>
      <c r="C370" s="1090">
        <v>2060</v>
      </c>
      <c r="D370" s="1089">
        <v>1721000</v>
      </c>
      <c r="E370" s="1091">
        <v>1293000</v>
      </c>
      <c r="F370" s="1092">
        <v>15050</v>
      </c>
      <c r="G370" s="1089">
        <v>125.08</v>
      </c>
      <c r="H370" s="1091">
        <v>0.20477100000000001</v>
      </c>
      <c r="I370" s="1091">
        <v>1.7827000000000001E-3</v>
      </c>
      <c r="J370" s="1092">
        <v>129.82</v>
      </c>
    </row>
    <row r="371" spans="2:10" x14ac:dyDescent="0.25">
      <c r="B371" s="1089" t="s">
        <v>687</v>
      </c>
      <c r="C371" s="1090">
        <v>2060</v>
      </c>
      <c r="D371" s="1089">
        <v>1721000</v>
      </c>
      <c r="E371" s="1091">
        <v>1293000</v>
      </c>
      <c r="F371" s="1092">
        <v>15050</v>
      </c>
      <c r="G371" s="1089">
        <v>125.08</v>
      </c>
      <c r="H371" s="1091">
        <v>0.20477100000000001</v>
      </c>
      <c r="I371" s="1091">
        <v>1.7827000000000001E-3</v>
      </c>
      <c r="J371" s="1092">
        <v>129.82</v>
      </c>
    </row>
    <row r="372" spans="2:10" x14ac:dyDescent="0.25">
      <c r="B372" s="1089" t="s">
        <v>673</v>
      </c>
      <c r="C372" s="1090">
        <v>2060</v>
      </c>
      <c r="D372" s="1089">
        <v>1721000</v>
      </c>
      <c r="E372" s="1091">
        <v>1293000</v>
      </c>
      <c r="F372" s="1092">
        <v>15050</v>
      </c>
      <c r="G372" s="1089">
        <v>125.08</v>
      </c>
      <c r="H372" s="1091">
        <v>0.20477100000000001</v>
      </c>
      <c r="I372" s="1091">
        <v>1.7827000000000001E-3</v>
      </c>
      <c r="J372" s="1092">
        <v>129.82</v>
      </c>
    </row>
    <row r="373" spans="2:10" x14ac:dyDescent="0.25">
      <c r="B373" s="1089" t="s">
        <v>1069</v>
      </c>
      <c r="C373" s="1090">
        <v>2060</v>
      </c>
      <c r="D373" s="1089">
        <v>1022000</v>
      </c>
      <c r="E373" s="1091">
        <v>1021000</v>
      </c>
      <c r="F373" s="1092">
        <v>15510</v>
      </c>
      <c r="G373" s="1089">
        <v>1.6964999999999999</v>
      </c>
      <c r="H373" s="1091">
        <v>0.14096238999999999</v>
      </c>
      <c r="I373" s="1091">
        <v>3.2765999999999998E-5</v>
      </c>
      <c r="J373" s="1092">
        <v>5.9536999999999995</v>
      </c>
    </row>
    <row r="374" spans="2:10" x14ac:dyDescent="0.25">
      <c r="B374" s="1089" t="s">
        <v>705</v>
      </c>
      <c r="C374" s="1090">
        <v>2060</v>
      </c>
      <c r="D374" s="1089">
        <v>1022000</v>
      </c>
      <c r="E374" s="1091">
        <v>1021000</v>
      </c>
      <c r="F374" s="1092">
        <v>15510</v>
      </c>
      <c r="G374" s="1089">
        <v>1.6964999999999999</v>
      </c>
      <c r="H374" s="1091">
        <v>0.14096238999999999</v>
      </c>
      <c r="I374" s="1091">
        <v>3.2765999999999998E-5</v>
      </c>
      <c r="J374" s="1092">
        <v>5.9536999999999995</v>
      </c>
    </row>
    <row r="375" spans="2:10" x14ac:dyDescent="0.25">
      <c r="B375" s="1089" t="s">
        <v>706</v>
      </c>
      <c r="C375" s="1090">
        <v>2060</v>
      </c>
      <c r="D375" s="1089">
        <v>1022000</v>
      </c>
      <c r="E375" s="1091">
        <v>1021000</v>
      </c>
      <c r="F375" s="1092">
        <v>15510</v>
      </c>
      <c r="G375" s="1089">
        <v>1.6964999999999999</v>
      </c>
      <c r="H375" s="1091">
        <v>0.14096238999999999</v>
      </c>
      <c r="I375" s="1091">
        <v>3.2765999999999998E-5</v>
      </c>
      <c r="J375" s="1092">
        <v>5.9536999999999995</v>
      </c>
    </row>
    <row r="376" spans="2:10" x14ac:dyDescent="0.25">
      <c r="B376" s="1089" t="s">
        <v>899</v>
      </c>
      <c r="C376" s="1090">
        <v>2060</v>
      </c>
      <c r="D376" s="1089">
        <v>1209000</v>
      </c>
      <c r="E376" s="1091">
        <v>1202000</v>
      </c>
      <c r="F376" s="1092">
        <v>1052000</v>
      </c>
      <c r="G376" s="1089">
        <v>17.969000000000001</v>
      </c>
      <c r="H376" s="1091">
        <v>0.164128</v>
      </c>
      <c r="I376" s="1091">
        <v>2.9025999999999998E-4</v>
      </c>
      <c r="J376" s="1092">
        <v>22.988</v>
      </c>
    </row>
    <row r="377" spans="2:10" x14ac:dyDescent="0.25">
      <c r="B377" s="1089" t="s">
        <v>897</v>
      </c>
      <c r="C377" s="1090">
        <v>2060</v>
      </c>
      <c r="D377" s="1089">
        <v>1585000</v>
      </c>
      <c r="E377" s="1091">
        <v>696300</v>
      </c>
      <c r="F377" s="1092">
        <v>286000</v>
      </c>
      <c r="G377" s="1089">
        <v>38.049999999999997</v>
      </c>
      <c r="H377" s="1091">
        <v>0.1118</v>
      </c>
      <c r="I377" s="1091">
        <v>2.5350000000000001E-2</v>
      </c>
      <c r="J377" s="1092">
        <v>45.19</v>
      </c>
    </row>
    <row r="378" spans="2:10" x14ac:dyDescent="0.25">
      <c r="B378" s="1089" t="s">
        <v>900</v>
      </c>
      <c r="C378" s="1090">
        <v>2060</v>
      </c>
      <c r="D378" s="1089">
        <v>1249000</v>
      </c>
      <c r="E378" s="1091">
        <v>1242000</v>
      </c>
      <c r="F378" s="1092">
        <v>1078000</v>
      </c>
      <c r="G378" s="1089">
        <v>23.84</v>
      </c>
      <c r="H378" s="1091">
        <v>0.16985799999999998</v>
      </c>
      <c r="I378" s="1091">
        <v>3.7813000000000001E-4</v>
      </c>
      <c r="J378" s="1092">
        <v>29.157000000000004</v>
      </c>
    </row>
    <row r="379" spans="2:10" x14ac:dyDescent="0.25">
      <c r="B379" s="1089" t="s">
        <v>1063</v>
      </c>
      <c r="C379" s="1090">
        <v>2060</v>
      </c>
      <c r="D379" s="1089">
        <v>1190000</v>
      </c>
      <c r="E379" s="1091">
        <v>51590</v>
      </c>
      <c r="F379" s="1092">
        <v>29220</v>
      </c>
      <c r="G379" s="1089">
        <v>3.7582</v>
      </c>
      <c r="H379" s="1091">
        <v>8.4366999999999984E-3</v>
      </c>
      <c r="I379" s="1091">
        <v>-3.8261190000000002E-3</v>
      </c>
      <c r="J379" s="1092">
        <v>3.0054000000000003</v>
      </c>
    </row>
    <row r="380" spans="2:10" x14ac:dyDescent="0.25">
      <c r="B380" s="1089" t="s">
        <v>804</v>
      </c>
      <c r="C380" s="1090">
        <v>2060</v>
      </c>
      <c r="D380" s="1089">
        <v>1190000</v>
      </c>
      <c r="E380" s="1091">
        <v>51590</v>
      </c>
      <c r="F380" s="1092">
        <v>29220</v>
      </c>
      <c r="G380" s="1089">
        <v>3.7582</v>
      </c>
      <c r="H380" s="1091">
        <v>8.4366999999999984E-3</v>
      </c>
      <c r="I380" s="1091">
        <v>-3.8261190000000002E-3</v>
      </c>
      <c r="J380" s="1092">
        <v>3.0054000000000003</v>
      </c>
    </row>
    <row r="381" spans="2:10" x14ac:dyDescent="0.25">
      <c r="B381" s="1089" t="s">
        <v>812</v>
      </c>
      <c r="C381" s="1090">
        <v>2060</v>
      </c>
      <c r="D381" s="1089">
        <v>1190000</v>
      </c>
      <c r="E381" s="1091">
        <v>51590</v>
      </c>
      <c r="F381" s="1092">
        <v>29220</v>
      </c>
      <c r="G381" s="1089">
        <v>3.7582</v>
      </c>
      <c r="H381" s="1091">
        <v>8.4366999999999984E-3</v>
      </c>
      <c r="I381" s="1091">
        <v>-3.8261190000000002E-3</v>
      </c>
      <c r="J381" s="1092">
        <v>3.0054000000000003</v>
      </c>
    </row>
    <row r="382" spans="2:10" ht="13.8" thickBot="1" x14ac:dyDescent="0.3">
      <c r="B382" s="1093" t="s">
        <v>1070</v>
      </c>
      <c r="C382" s="1094">
        <v>2060</v>
      </c>
      <c r="D382" s="1093">
        <v>1384000</v>
      </c>
      <c r="E382" s="1095">
        <v>1383000</v>
      </c>
      <c r="F382" s="1096">
        <v>5034</v>
      </c>
      <c r="G382" s="1093">
        <v>78.571100000000001</v>
      </c>
      <c r="H382" s="1095">
        <v>0.27494000000000002</v>
      </c>
      <c r="I382" s="1095">
        <v>2.3304000000000003E-3</v>
      </c>
      <c r="J382" s="1096">
        <v>87.594300000000004</v>
      </c>
    </row>
    <row r="383" spans="2:10" x14ac:dyDescent="0.25">
      <c r="B383" s="1085" t="s">
        <v>1067</v>
      </c>
      <c r="C383" s="1086">
        <v>2065</v>
      </c>
      <c r="D383" s="1085">
        <v>1092000</v>
      </c>
      <c r="E383" s="1087">
        <v>1092000</v>
      </c>
      <c r="F383" s="1088">
        <v>3971</v>
      </c>
      <c r="G383" s="1085">
        <v>5.7390999999999996</v>
      </c>
      <c r="H383" s="1087">
        <v>0.18462200000000001</v>
      </c>
      <c r="I383" s="1087">
        <v>8.61E-4</v>
      </c>
      <c r="J383" s="1088">
        <v>11.5648</v>
      </c>
    </row>
    <row r="384" spans="2:10" x14ac:dyDescent="0.25">
      <c r="B384" s="1089" t="s">
        <v>282</v>
      </c>
      <c r="C384" s="1090">
        <v>2065</v>
      </c>
      <c r="D384" s="1089">
        <v>1092000</v>
      </c>
      <c r="E384" s="1091">
        <v>1092000</v>
      </c>
      <c r="F384" s="1092">
        <v>3971</v>
      </c>
      <c r="G384" s="1089">
        <v>5.7390999999999996</v>
      </c>
      <c r="H384" s="1091">
        <v>0.18462200000000001</v>
      </c>
      <c r="I384" s="1091">
        <v>8.61E-4</v>
      </c>
      <c r="J384" s="1092">
        <v>11.5648</v>
      </c>
    </row>
    <row r="385" spans="2:10" x14ac:dyDescent="0.25">
      <c r="B385" s="1089" t="s">
        <v>1068</v>
      </c>
      <c r="C385" s="1090">
        <v>2065</v>
      </c>
      <c r="D385" s="1089">
        <v>1092000</v>
      </c>
      <c r="E385" s="1091">
        <v>1092000</v>
      </c>
      <c r="F385" s="1092">
        <v>3971</v>
      </c>
      <c r="G385" s="1089">
        <v>5.7390999999999996</v>
      </c>
      <c r="H385" s="1091">
        <v>0.18462200000000001</v>
      </c>
      <c r="I385" s="1091">
        <v>8.61E-4</v>
      </c>
      <c r="J385" s="1092">
        <v>11.5648</v>
      </c>
    </row>
    <row r="386" spans="2:10" x14ac:dyDescent="0.25">
      <c r="B386" s="1089" t="s">
        <v>670</v>
      </c>
      <c r="C386" s="1090">
        <v>2065</v>
      </c>
      <c r="D386" s="1089">
        <v>1092000</v>
      </c>
      <c r="E386" s="1091">
        <v>1092000</v>
      </c>
      <c r="F386" s="1092">
        <v>3971</v>
      </c>
      <c r="G386" s="1089">
        <v>5.7390999999999996</v>
      </c>
      <c r="H386" s="1091">
        <v>0.18462200000000001</v>
      </c>
      <c r="I386" s="1091">
        <v>8.61E-4</v>
      </c>
      <c r="J386" s="1092">
        <v>11.5648</v>
      </c>
    </row>
    <row r="387" spans="2:10" x14ac:dyDescent="0.25">
      <c r="B387" s="1089" t="s">
        <v>671</v>
      </c>
      <c r="C387" s="1090">
        <v>2065</v>
      </c>
      <c r="D387" s="1089">
        <v>-1185000</v>
      </c>
      <c r="E387" s="1091">
        <v>0</v>
      </c>
      <c r="F387" s="1092">
        <v>0</v>
      </c>
      <c r="G387" s="1089">
        <v>-85.800000000000011</v>
      </c>
      <c r="H387" s="1091">
        <v>0.54700000000000004</v>
      </c>
      <c r="I387" s="1091">
        <v>-1.8286999999999999E-3</v>
      </c>
      <c r="J387" s="1092">
        <v>-70.08</v>
      </c>
    </row>
    <row r="388" spans="2:10" x14ac:dyDescent="0.25">
      <c r="B388" s="1089" t="s">
        <v>672</v>
      </c>
      <c r="C388" s="1090">
        <v>2065</v>
      </c>
      <c r="D388" s="1089">
        <v>1721000</v>
      </c>
      <c r="E388" s="1091">
        <v>1293000</v>
      </c>
      <c r="F388" s="1092">
        <v>15050</v>
      </c>
      <c r="G388" s="1089">
        <v>125.08</v>
      </c>
      <c r="H388" s="1091">
        <v>0.20477100000000001</v>
      </c>
      <c r="I388" s="1091">
        <v>1.7827000000000001E-3</v>
      </c>
      <c r="J388" s="1092">
        <v>129.82</v>
      </c>
    </row>
    <row r="389" spans="2:10" x14ac:dyDescent="0.25">
      <c r="B389" s="1089" t="s">
        <v>687</v>
      </c>
      <c r="C389" s="1090">
        <v>2065</v>
      </c>
      <c r="D389" s="1089">
        <v>1721000</v>
      </c>
      <c r="E389" s="1091">
        <v>1293000</v>
      </c>
      <c r="F389" s="1092">
        <v>15050</v>
      </c>
      <c r="G389" s="1089">
        <v>125.08</v>
      </c>
      <c r="H389" s="1091">
        <v>0.20477100000000001</v>
      </c>
      <c r="I389" s="1091">
        <v>1.7827000000000001E-3</v>
      </c>
      <c r="J389" s="1092">
        <v>129.82</v>
      </c>
    </row>
    <row r="390" spans="2:10" x14ac:dyDescent="0.25">
      <c r="B390" s="1089" t="s">
        <v>673</v>
      </c>
      <c r="C390" s="1090">
        <v>2065</v>
      </c>
      <c r="D390" s="1089">
        <v>1721000</v>
      </c>
      <c r="E390" s="1091">
        <v>1293000</v>
      </c>
      <c r="F390" s="1092">
        <v>15050</v>
      </c>
      <c r="G390" s="1089">
        <v>125.08</v>
      </c>
      <c r="H390" s="1091">
        <v>0.20477100000000001</v>
      </c>
      <c r="I390" s="1091">
        <v>1.7827000000000001E-3</v>
      </c>
      <c r="J390" s="1092">
        <v>129.82</v>
      </c>
    </row>
    <row r="391" spans="2:10" x14ac:dyDescent="0.25">
      <c r="B391" s="1089" t="s">
        <v>1069</v>
      </c>
      <c r="C391" s="1090">
        <v>2065</v>
      </c>
      <c r="D391" s="1089">
        <v>1022000</v>
      </c>
      <c r="E391" s="1091">
        <v>1021000</v>
      </c>
      <c r="F391" s="1092">
        <v>15510</v>
      </c>
      <c r="G391" s="1089">
        <v>1.6964999999999999</v>
      </c>
      <c r="H391" s="1091">
        <v>0.14096238999999999</v>
      </c>
      <c r="I391" s="1091">
        <v>3.2765999999999998E-5</v>
      </c>
      <c r="J391" s="1092">
        <v>5.9536999999999995</v>
      </c>
    </row>
    <row r="392" spans="2:10" x14ac:dyDescent="0.25">
      <c r="B392" s="1089" t="s">
        <v>705</v>
      </c>
      <c r="C392" s="1090">
        <v>2065</v>
      </c>
      <c r="D392" s="1089">
        <v>1022000</v>
      </c>
      <c r="E392" s="1091">
        <v>1021000</v>
      </c>
      <c r="F392" s="1092">
        <v>15510</v>
      </c>
      <c r="G392" s="1089">
        <v>1.6964999999999999</v>
      </c>
      <c r="H392" s="1091">
        <v>0.14096238999999999</v>
      </c>
      <c r="I392" s="1091">
        <v>3.2765999999999998E-5</v>
      </c>
      <c r="J392" s="1092">
        <v>5.9536999999999995</v>
      </c>
    </row>
    <row r="393" spans="2:10" x14ac:dyDescent="0.25">
      <c r="B393" s="1089" t="s">
        <v>706</v>
      </c>
      <c r="C393" s="1090">
        <v>2065</v>
      </c>
      <c r="D393" s="1089">
        <v>1022000</v>
      </c>
      <c r="E393" s="1091">
        <v>1021000</v>
      </c>
      <c r="F393" s="1092">
        <v>15510</v>
      </c>
      <c r="G393" s="1089">
        <v>1.6964999999999999</v>
      </c>
      <c r="H393" s="1091">
        <v>0.14096238999999999</v>
      </c>
      <c r="I393" s="1091">
        <v>3.2765999999999998E-5</v>
      </c>
      <c r="J393" s="1092">
        <v>5.9536999999999995</v>
      </c>
    </row>
    <row r="394" spans="2:10" x14ac:dyDescent="0.25">
      <c r="B394" s="1089" t="s">
        <v>899</v>
      </c>
      <c r="C394" s="1090">
        <v>2065</v>
      </c>
      <c r="D394" s="1089">
        <v>1209000</v>
      </c>
      <c r="E394" s="1091">
        <v>1202000</v>
      </c>
      <c r="F394" s="1092">
        <v>1052000</v>
      </c>
      <c r="G394" s="1089">
        <v>17.969000000000001</v>
      </c>
      <c r="H394" s="1091">
        <v>0.164128</v>
      </c>
      <c r="I394" s="1091">
        <v>2.9025999999999998E-4</v>
      </c>
      <c r="J394" s="1092">
        <v>22.988</v>
      </c>
    </row>
    <row r="395" spans="2:10" x14ac:dyDescent="0.25">
      <c r="B395" s="1089" t="s">
        <v>897</v>
      </c>
      <c r="C395" s="1090">
        <v>2065</v>
      </c>
      <c r="D395" s="1089">
        <v>1585000</v>
      </c>
      <c r="E395" s="1091">
        <v>696300</v>
      </c>
      <c r="F395" s="1092">
        <v>286000</v>
      </c>
      <c r="G395" s="1089">
        <v>38.049999999999997</v>
      </c>
      <c r="H395" s="1091">
        <v>0.1118</v>
      </c>
      <c r="I395" s="1091">
        <v>2.5350000000000001E-2</v>
      </c>
      <c r="J395" s="1092">
        <v>45.19</v>
      </c>
    </row>
    <row r="396" spans="2:10" x14ac:dyDescent="0.25">
      <c r="B396" s="1089" t="s">
        <v>900</v>
      </c>
      <c r="C396" s="1090">
        <v>2065</v>
      </c>
      <c r="D396" s="1089">
        <v>1249000</v>
      </c>
      <c r="E396" s="1091">
        <v>1242000</v>
      </c>
      <c r="F396" s="1092">
        <v>1078000</v>
      </c>
      <c r="G396" s="1089">
        <v>23.84</v>
      </c>
      <c r="H396" s="1091">
        <v>0.16985799999999998</v>
      </c>
      <c r="I396" s="1091">
        <v>3.7813000000000001E-4</v>
      </c>
      <c r="J396" s="1092">
        <v>29.157000000000004</v>
      </c>
    </row>
    <row r="397" spans="2:10" x14ac:dyDescent="0.25">
      <c r="B397" s="1089" t="s">
        <v>1063</v>
      </c>
      <c r="C397" s="1090">
        <v>2065</v>
      </c>
      <c r="D397" s="1089">
        <v>1190000</v>
      </c>
      <c r="E397" s="1091">
        <v>51590</v>
      </c>
      <c r="F397" s="1092">
        <v>29220</v>
      </c>
      <c r="G397" s="1089">
        <v>3.7582</v>
      </c>
      <c r="H397" s="1091">
        <v>8.4366999999999984E-3</v>
      </c>
      <c r="I397" s="1091">
        <v>-3.8261190000000002E-3</v>
      </c>
      <c r="J397" s="1092">
        <v>3.0054000000000003</v>
      </c>
    </row>
    <row r="398" spans="2:10" x14ac:dyDescent="0.25">
      <c r="B398" s="1089" t="s">
        <v>804</v>
      </c>
      <c r="C398" s="1090">
        <v>2065</v>
      </c>
      <c r="D398" s="1089">
        <v>1190000</v>
      </c>
      <c r="E398" s="1091">
        <v>51590</v>
      </c>
      <c r="F398" s="1092">
        <v>29220</v>
      </c>
      <c r="G398" s="1089">
        <v>3.7582</v>
      </c>
      <c r="H398" s="1091">
        <v>8.4366999999999984E-3</v>
      </c>
      <c r="I398" s="1091">
        <v>-3.8261190000000002E-3</v>
      </c>
      <c r="J398" s="1092">
        <v>3.0054000000000003</v>
      </c>
    </row>
    <row r="399" spans="2:10" x14ac:dyDescent="0.25">
      <c r="B399" s="1089" t="s">
        <v>812</v>
      </c>
      <c r="C399" s="1090">
        <v>2065</v>
      </c>
      <c r="D399" s="1089">
        <v>1190000</v>
      </c>
      <c r="E399" s="1091">
        <v>51590</v>
      </c>
      <c r="F399" s="1092">
        <v>29220</v>
      </c>
      <c r="G399" s="1089">
        <v>3.7582</v>
      </c>
      <c r="H399" s="1091">
        <v>8.4366999999999984E-3</v>
      </c>
      <c r="I399" s="1091">
        <v>-3.8261190000000002E-3</v>
      </c>
      <c r="J399" s="1092">
        <v>3.0054000000000003</v>
      </c>
    </row>
    <row r="400" spans="2:10" ht="13.8" thickBot="1" x14ac:dyDescent="0.3">
      <c r="B400" s="1093" t="s">
        <v>1070</v>
      </c>
      <c r="C400" s="1094">
        <v>2065</v>
      </c>
      <c r="D400" s="1093">
        <v>1384000</v>
      </c>
      <c r="E400" s="1095">
        <v>1383000</v>
      </c>
      <c r="F400" s="1096">
        <v>5034</v>
      </c>
      <c r="G400" s="1093">
        <v>78.571100000000001</v>
      </c>
      <c r="H400" s="1095">
        <v>0.27494000000000002</v>
      </c>
      <c r="I400" s="1095">
        <v>2.3304000000000003E-3</v>
      </c>
      <c r="J400" s="1096">
        <v>87.594300000000004</v>
      </c>
    </row>
    <row r="401" spans="2:10" x14ac:dyDescent="0.25">
      <c r="B401" s="1085" t="s">
        <v>1067</v>
      </c>
      <c r="C401" s="1086">
        <v>2070</v>
      </c>
      <c r="D401" s="1085">
        <v>1092000</v>
      </c>
      <c r="E401" s="1087">
        <v>1092000</v>
      </c>
      <c r="F401" s="1088">
        <v>3971</v>
      </c>
      <c r="G401" s="1085">
        <v>5.7390999999999996</v>
      </c>
      <c r="H401" s="1087">
        <v>0.18462200000000001</v>
      </c>
      <c r="I401" s="1087">
        <v>8.61E-4</v>
      </c>
      <c r="J401" s="1088">
        <v>11.5648</v>
      </c>
    </row>
    <row r="402" spans="2:10" x14ac:dyDescent="0.25">
      <c r="B402" s="1089" t="s">
        <v>282</v>
      </c>
      <c r="C402" s="1090">
        <v>2070</v>
      </c>
      <c r="D402" s="1089">
        <v>1092000</v>
      </c>
      <c r="E402" s="1091">
        <v>1092000</v>
      </c>
      <c r="F402" s="1092">
        <v>3971</v>
      </c>
      <c r="G402" s="1089">
        <v>5.7390999999999996</v>
      </c>
      <c r="H402" s="1091">
        <v>0.18462200000000001</v>
      </c>
      <c r="I402" s="1091">
        <v>8.61E-4</v>
      </c>
      <c r="J402" s="1092">
        <v>11.5648</v>
      </c>
    </row>
    <row r="403" spans="2:10" x14ac:dyDescent="0.25">
      <c r="B403" s="1089" t="s">
        <v>1068</v>
      </c>
      <c r="C403" s="1090">
        <v>2070</v>
      </c>
      <c r="D403" s="1089">
        <v>1092000</v>
      </c>
      <c r="E403" s="1091">
        <v>1092000</v>
      </c>
      <c r="F403" s="1092">
        <v>3971</v>
      </c>
      <c r="G403" s="1089">
        <v>5.7390999999999996</v>
      </c>
      <c r="H403" s="1091">
        <v>0.18462200000000001</v>
      </c>
      <c r="I403" s="1091">
        <v>8.61E-4</v>
      </c>
      <c r="J403" s="1092">
        <v>11.5648</v>
      </c>
    </row>
    <row r="404" spans="2:10" x14ac:dyDescent="0.25">
      <c r="B404" s="1089" t="s">
        <v>670</v>
      </c>
      <c r="C404" s="1090">
        <v>2070</v>
      </c>
      <c r="D404" s="1089">
        <v>1092000</v>
      </c>
      <c r="E404" s="1091">
        <v>1092000</v>
      </c>
      <c r="F404" s="1092">
        <v>3971</v>
      </c>
      <c r="G404" s="1089">
        <v>5.7390999999999996</v>
      </c>
      <c r="H404" s="1091">
        <v>0.18462200000000001</v>
      </c>
      <c r="I404" s="1091">
        <v>8.61E-4</v>
      </c>
      <c r="J404" s="1092">
        <v>11.5648</v>
      </c>
    </row>
    <row r="405" spans="2:10" x14ac:dyDescent="0.25">
      <c r="B405" s="1089" t="s">
        <v>671</v>
      </c>
      <c r="C405" s="1090">
        <v>2070</v>
      </c>
      <c r="D405" s="1089">
        <v>-1185000</v>
      </c>
      <c r="E405" s="1091">
        <v>0</v>
      </c>
      <c r="F405" s="1092">
        <v>0</v>
      </c>
      <c r="G405" s="1089">
        <v>-85.800000000000011</v>
      </c>
      <c r="H405" s="1091">
        <v>0.54700000000000004</v>
      </c>
      <c r="I405" s="1091">
        <v>-1.8286999999999999E-3</v>
      </c>
      <c r="J405" s="1092">
        <v>-70.08</v>
      </c>
    </row>
    <row r="406" spans="2:10" x14ac:dyDescent="0.25">
      <c r="B406" s="1089" t="s">
        <v>672</v>
      </c>
      <c r="C406" s="1090">
        <v>2070</v>
      </c>
      <c r="D406" s="1089">
        <v>1721000</v>
      </c>
      <c r="E406" s="1091">
        <v>1293000</v>
      </c>
      <c r="F406" s="1092">
        <v>15050</v>
      </c>
      <c r="G406" s="1089">
        <v>125.08</v>
      </c>
      <c r="H406" s="1091">
        <v>0.20477100000000001</v>
      </c>
      <c r="I406" s="1091">
        <v>1.7827000000000001E-3</v>
      </c>
      <c r="J406" s="1092">
        <v>129.82</v>
      </c>
    </row>
    <row r="407" spans="2:10" x14ac:dyDescent="0.25">
      <c r="B407" s="1089" t="s">
        <v>687</v>
      </c>
      <c r="C407" s="1090">
        <v>2070</v>
      </c>
      <c r="D407" s="1089">
        <v>1721000</v>
      </c>
      <c r="E407" s="1091">
        <v>1293000</v>
      </c>
      <c r="F407" s="1092">
        <v>15050</v>
      </c>
      <c r="G407" s="1089">
        <v>125.08</v>
      </c>
      <c r="H407" s="1091">
        <v>0.20477100000000001</v>
      </c>
      <c r="I407" s="1091">
        <v>1.7827000000000001E-3</v>
      </c>
      <c r="J407" s="1092">
        <v>129.82</v>
      </c>
    </row>
    <row r="408" spans="2:10" x14ac:dyDescent="0.25">
      <c r="B408" s="1089" t="s">
        <v>673</v>
      </c>
      <c r="C408" s="1090">
        <v>2070</v>
      </c>
      <c r="D408" s="1089">
        <v>1721000</v>
      </c>
      <c r="E408" s="1091">
        <v>1293000</v>
      </c>
      <c r="F408" s="1092">
        <v>15050</v>
      </c>
      <c r="G408" s="1089">
        <v>125.08</v>
      </c>
      <c r="H408" s="1091">
        <v>0.20477100000000001</v>
      </c>
      <c r="I408" s="1091">
        <v>1.7827000000000001E-3</v>
      </c>
      <c r="J408" s="1092">
        <v>129.82</v>
      </c>
    </row>
    <row r="409" spans="2:10" x14ac:dyDescent="0.25">
      <c r="B409" s="1089" t="s">
        <v>1069</v>
      </c>
      <c r="C409" s="1090">
        <v>2070</v>
      </c>
      <c r="D409" s="1089">
        <v>1022000</v>
      </c>
      <c r="E409" s="1091">
        <v>1021000</v>
      </c>
      <c r="F409" s="1092">
        <v>15510</v>
      </c>
      <c r="G409" s="1089">
        <v>1.6964999999999999</v>
      </c>
      <c r="H409" s="1091">
        <v>0.14096238999999999</v>
      </c>
      <c r="I409" s="1091">
        <v>3.2765999999999998E-5</v>
      </c>
      <c r="J409" s="1092">
        <v>5.9536999999999995</v>
      </c>
    </row>
    <row r="410" spans="2:10" x14ac:dyDescent="0.25">
      <c r="B410" s="1089" t="s">
        <v>705</v>
      </c>
      <c r="C410" s="1090">
        <v>2070</v>
      </c>
      <c r="D410" s="1089">
        <v>1022000</v>
      </c>
      <c r="E410" s="1091">
        <v>1021000</v>
      </c>
      <c r="F410" s="1092">
        <v>15510</v>
      </c>
      <c r="G410" s="1089">
        <v>1.6964999999999999</v>
      </c>
      <c r="H410" s="1091">
        <v>0.14096238999999999</v>
      </c>
      <c r="I410" s="1091">
        <v>3.2765999999999998E-5</v>
      </c>
      <c r="J410" s="1092">
        <v>5.9536999999999995</v>
      </c>
    </row>
    <row r="411" spans="2:10" x14ac:dyDescent="0.25">
      <c r="B411" s="1089" t="s">
        <v>706</v>
      </c>
      <c r="C411" s="1090">
        <v>2070</v>
      </c>
      <c r="D411" s="1089">
        <v>1022000</v>
      </c>
      <c r="E411" s="1091">
        <v>1021000</v>
      </c>
      <c r="F411" s="1092">
        <v>15510</v>
      </c>
      <c r="G411" s="1089">
        <v>1.6964999999999999</v>
      </c>
      <c r="H411" s="1091">
        <v>0.14096238999999999</v>
      </c>
      <c r="I411" s="1091">
        <v>3.2765999999999998E-5</v>
      </c>
      <c r="J411" s="1092">
        <v>5.9536999999999995</v>
      </c>
    </row>
    <row r="412" spans="2:10" x14ac:dyDescent="0.25">
      <c r="B412" s="1089" t="s">
        <v>899</v>
      </c>
      <c r="C412" s="1090">
        <v>2070</v>
      </c>
      <c r="D412" s="1089">
        <v>1209000</v>
      </c>
      <c r="E412" s="1091">
        <v>1202000</v>
      </c>
      <c r="F412" s="1092">
        <v>1052000</v>
      </c>
      <c r="G412" s="1089">
        <v>17.969000000000001</v>
      </c>
      <c r="H412" s="1091">
        <v>0.164128</v>
      </c>
      <c r="I412" s="1091">
        <v>2.9025999999999998E-4</v>
      </c>
      <c r="J412" s="1092">
        <v>22.988</v>
      </c>
    </row>
    <row r="413" spans="2:10" x14ac:dyDescent="0.25">
      <c r="B413" s="1089" t="s">
        <v>897</v>
      </c>
      <c r="C413" s="1090">
        <v>2070</v>
      </c>
      <c r="D413" s="1089">
        <v>1585000</v>
      </c>
      <c r="E413" s="1091">
        <v>696300</v>
      </c>
      <c r="F413" s="1092">
        <v>286000</v>
      </c>
      <c r="G413" s="1089">
        <v>38.049999999999997</v>
      </c>
      <c r="H413" s="1091">
        <v>0.1118</v>
      </c>
      <c r="I413" s="1091">
        <v>2.5350000000000001E-2</v>
      </c>
      <c r="J413" s="1092">
        <v>45.19</v>
      </c>
    </row>
    <row r="414" spans="2:10" x14ac:dyDescent="0.25">
      <c r="B414" s="1089" t="s">
        <v>900</v>
      </c>
      <c r="C414" s="1090">
        <v>2070</v>
      </c>
      <c r="D414" s="1089">
        <v>1249000</v>
      </c>
      <c r="E414" s="1091">
        <v>1242000</v>
      </c>
      <c r="F414" s="1092">
        <v>1078000</v>
      </c>
      <c r="G414" s="1089">
        <v>23.84</v>
      </c>
      <c r="H414" s="1091">
        <v>0.16985799999999998</v>
      </c>
      <c r="I414" s="1091">
        <v>3.7813000000000001E-4</v>
      </c>
      <c r="J414" s="1092">
        <v>29.157000000000004</v>
      </c>
    </row>
    <row r="415" spans="2:10" x14ac:dyDescent="0.25">
      <c r="B415" s="1089" t="s">
        <v>1063</v>
      </c>
      <c r="C415" s="1090">
        <v>2070</v>
      </c>
      <c r="D415" s="1089">
        <v>1190000</v>
      </c>
      <c r="E415" s="1091">
        <v>51590</v>
      </c>
      <c r="F415" s="1092">
        <v>29220</v>
      </c>
      <c r="G415" s="1089">
        <v>3.7582</v>
      </c>
      <c r="H415" s="1091">
        <v>8.4366999999999984E-3</v>
      </c>
      <c r="I415" s="1091">
        <v>-3.8261190000000002E-3</v>
      </c>
      <c r="J415" s="1092">
        <v>3.0054000000000003</v>
      </c>
    </row>
    <row r="416" spans="2:10" x14ac:dyDescent="0.25">
      <c r="B416" s="1089" t="s">
        <v>804</v>
      </c>
      <c r="C416" s="1090">
        <v>2070</v>
      </c>
      <c r="D416" s="1089">
        <v>1190000</v>
      </c>
      <c r="E416" s="1091">
        <v>51590</v>
      </c>
      <c r="F416" s="1092">
        <v>29220</v>
      </c>
      <c r="G416" s="1089">
        <v>3.7582</v>
      </c>
      <c r="H416" s="1091">
        <v>8.4366999999999984E-3</v>
      </c>
      <c r="I416" s="1091">
        <v>-3.8261190000000002E-3</v>
      </c>
      <c r="J416" s="1092">
        <v>3.0054000000000003</v>
      </c>
    </row>
    <row r="417" spans="2:10" x14ac:dyDescent="0.25">
      <c r="B417" s="1089" t="s">
        <v>812</v>
      </c>
      <c r="C417" s="1090">
        <v>2070</v>
      </c>
      <c r="D417" s="1089">
        <v>1190000</v>
      </c>
      <c r="E417" s="1091">
        <v>51590</v>
      </c>
      <c r="F417" s="1092">
        <v>29220</v>
      </c>
      <c r="G417" s="1089">
        <v>3.7582</v>
      </c>
      <c r="H417" s="1091">
        <v>8.4366999999999984E-3</v>
      </c>
      <c r="I417" s="1091">
        <v>-3.8261190000000002E-3</v>
      </c>
      <c r="J417" s="1092">
        <v>3.0054000000000003</v>
      </c>
    </row>
    <row r="418" spans="2:10" ht="13.8" thickBot="1" x14ac:dyDescent="0.3">
      <c r="B418" s="1093" t="s">
        <v>1070</v>
      </c>
      <c r="C418" s="1094">
        <v>2070</v>
      </c>
      <c r="D418" s="1093">
        <v>1384000</v>
      </c>
      <c r="E418" s="1095">
        <v>1383000</v>
      </c>
      <c r="F418" s="1096">
        <v>5034</v>
      </c>
      <c r="G418" s="1093">
        <v>78.571100000000001</v>
      </c>
      <c r="H418" s="1095">
        <v>0.27494000000000002</v>
      </c>
      <c r="I418" s="1095">
        <v>2.3304000000000003E-3</v>
      </c>
      <c r="J418" s="1096">
        <v>87.594300000000004</v>
      </c>
    </row>
    <row r="419" spans="2:10" x14ac:dyDescent="0.25">
      <c r="B419" s="1085" t="s">
        <v>1067</v>
      </c>
      <c r="C419" s="1086">
        <v>2075</v>
      </c>
      <c r="D419" s="1085">
        <v>1092000</v>
      </c>
      <c r="E419" s="1087">
        <v>1092000</v>
      </c>
      <c r="F419" s="1088">
        <v>3971</v>
      </c>
      <c r="G419" s="1085">
        <v>5.7390999999999996</v>
      </c>
      <c r="H419" s="1087">
        <v>0.18462200000000001</v>
      </c>
      <c r="I419" s="1087">
        <v>8.61E-4</v>
      </c>
      <c r="J419" s="1088">
        <v>11.5648</v>
      </c>
    </row>
    <row r="420" spans="2:10" x14ac:dyDescent="0.25">
      <c r="B420" s="1089" t="s">
        <v>282</v>
      </c>
      <c r="C420" s="1090">
        <v>2075</v>
      </c>
      <c r="D420" s="1089">
        <v>1092000</v>
      </c>
      <c r="E420" s="1091">
        <v>1092000</v>
      </c>
      <c r="F420" s="1092">
        <v>3971</v>
      </c>
      <c r="G420" s="1089">
        <v>5.7390999999999996</v>
      </c>
      <c r="H420" s="1091">
        <v>0.18462200000000001</v>
      </c>
      <c r="I420" s="1091">
        <v>8.61E-4</v>
      </c>
      <c r="J420" s="1092">
        <v>11.5648</v>
      </c>
    </row>
    <row r="421" spans="2:10" x14ac:dyDescent="0.25">
      <c r="B421" s="1089" t="s">
        <v>1068</v>
      </c>
      <c r="C421" s="1090">
        <v>2075</v>
      </c>
      <c r="D421" s="1089">
        <v>1092000</v>
      </c>
      <c r="E421" s="1091">
        <v>1092000</v>
      </c>
      <c r="F421" s="1092">
        <v>3971</v>
      </c>
      <c r="G421" s="1089">
        <v>5.7390999999999996</v>
      </c>
      <c r="H421" s="1091">
        <v>0.18462200000000001</v>
      </c>
      <c r="I421" s="1091">
        <v>8.61E-4</v>
      </c>
      <c r="J421" s="1092">
        <v>11.5648</v>
      </c>
    </row>
    <row r="422" spans="2:10" x14ac:dyDescent="0.25">
      <c r="B422" s="1089" t="s">
        <v>670</v>
      </c>
      <c r="C422" s="1090">
        <v>2075</v>
      </c>
      <c r="D422" s="1089">
        <v>1092000</v>
      </c>
      <c r="E422" s="1091">
        <v>1092000</v>
      </c>
      <c r="F422" s="1092">
        <v>3971</v>
      </c>
      <c r="G422" s="1089">
        <v>5.7390999999999996</v>
      </c>
      <c r="H422" s="1091">
        <v>0.18462200000000001</v>
      </c>
      <c r="I422" s="1091">
        <v>8.61E-4</v>
      </c>
      <c r="J422" s="1092">
        <v>11.5648</v>
      </c>
    </row>
    <row r="423" spans="2:10" x14ac:dyDescent="0.25">
      <c r="B423" s="1089" t="s">
        <v>671</v>
      </c>
      <c r="C423" s="1090">
        <v>2075</v>
      </c>
      <c r="D423" s="1089">
        <v>-1185000</v>
      </c>
      <c r="E423" s="1091">
        <v>0</v>
      </c>
      <c r="F423" s="1092">
        <v>0</v>
      </c>
      <c r="G423" s="1089">
        <v>-85.800000000000011</v>
      </c>
      <c r="H423" s="1091">
        <v>0.54700000000000004</v>
      </c>
      <c r="I423" s="1091">
        <v>-1.8286999999999999E-3</v>
      </c>
      <c r="J423" s="1092">
        <v>-70.08</v>
      </c>
    </row>
    <row r="424" spans="2:10" x14ac:dyDescent="0.25">
      <c r="B424" s="1089" t="s">
        <v>672</v>
      </c>
      <c r="C424" s="1090">
        <v>2075</v>
      </c>
      <c r="D424" s="1089">
        <v>1721000</v>
      </c>
      <c r="E424" s="1091">
        <v>1293000</v>
      </c>
      <c r="F424" s="1092">
        <v>15050</v>
      </c>
      <c r="G424" s="1089">
        <v>125.08</v>
      </c>
      <c r="H424" s="1091">
        <v>0.20477100000000001</v>
      </c>
      <c r="I424" s="1091">
        <v>1.7827000000000001E-3</v>
      </c>
      <c r="J424" s="1092">
        <v>129.82</v>
      </c>
    </row>
    <row r="425" spans="2:10" x14ac:dyDescent="0.25">
      <c r="B425" s="1089" t="s">
        <v>687</v>
      </c>
      <c r="C425" s="1090">
        <v>2075</v>
      </c>
      <c r="D425" s="1089">
        <v>1721000</v>
      </c>
      <c r="E425" s="1091">
        <v>1293000</v>
      </c>
      <c r="F425" s="1092">
        <v>15050</v>
      </c>
      <c r="G425" s="1089">
        <v>125.08</v>
      </c>
      <c r="H425" s="1091">
        <v>0.20477100000000001</v>
      </c>
      <c r="I425" s="1091">
        <v>1.7827000000000001E-3</v>
      </c>
      <c r="J425" s="1092">
        <v>129.82</v>
      </c>
    </row>
    <row r="426" spans="2:10" x14ac:dyDescent="0.25">
      <c r="B426" s="1089" t="s">
        <v>673</v>
      </c>
      <c r="C426" s="1090">
        <v>2075</v>
      </c>
      <c r="D426" s="1089">
        <v>1721000</v>
      </c>
      <c r="E426" s="1091">
        <v>1293000</v>
      </c>
      <c r="F426" s="1092">
        <v>15050</v>
      </c>
      <c r="G426" s="1089">
        <v>125.08</v>
      </c>
      <c r="H426" s="1091">
        <v>0.20477100000000001</v>
      </c>
      <c r="I426" s="1091">
        <v>1.7827000000000001E-3</v>
      </c>
      <c r="J426" s="1092">
        <v>129.82</v>
      </c>
    </row>
    <row r="427" spans="2:10" x14ac:dyDescent="0.25">
      <c r="B427" s="1089" t="s">
        <v>1069</v>
      </c>
      <c r="C427" s="1090">
        <v>2075</v>
      </c>
      <c r="D427" s="1089">
        <v>1022000</v>
      </c>
      <c r="E427" s="1091">
        <v>1021000</v>
      </c>
      <c r="F427" s="1092">
        <v>15510</v>
      </c>
      <c r="G427" s="1089">
        <v>1.6964999999999999</v>
      </c>
      <c r="H427" s="1091">
        <v>0.14096238999999999</v>
      </c>
      <c r="I427" s="1091">
        <v>3.2765999999999998E-5</v>
      </c>
      <c r="J427" s="1092">
        <v>5.9536999999999995</v>
      </c>
    </row>
    <row r="428" spans="2:10" x14ac:dyDescent="0.25">
      <c r="B428" s="1089" t="s">
        <v>705</v>
      </c>
      <c r="C428" s="1090">
        <v>2075</v>
      </c>
      <c r="D428" s="1089">
        <v>1022000</v>
      </c>
      <c r="E428" s="1091">
        <v>1021000</v>
      </c>
      <c r="F428" s="1092">
        <v>15510</v>
      </c>
      <c r="G428" s="1089">
        <v>1.6964999999999999</v>
      </c>
      <c r="H428" s="1091">
        <v>0.14096238999999999</v>
      </c>
      <c r="I428" s="1091">
        <v>3.2765999999999998E-5</v>
      </c>
      <c r="J428" s="1092">
        <v>5.9536999999999995</v>
      </c>
    </row>
    <row r="429" spans="2:10" x14ac:dyDescent="0.25">
      <c r="B429" s="1089" t="s">
        <v>706</v>
      </c>
      <c r="C429" s="1090">
        <v>2075</v>
      </c>
      <c r="D429" s="1089">
        <v>1022000</v>
      </c>
      <c r="E429" s="1091">
        <v>1021000</v>
      </c>
      <c r="F429" s="1092">
        <v>15510</v>
      </c>
      <c r="G429" s="1089">
        <v>1.6964999999999999</v>
      </c>
      <c r="H429" s="1091">
        <v>0.14096238999999999</v>
      </c>
      <c r="I429" s="1091">
        <v>3.2765999999999998E-5</v>
      </c>
      <c r="J429" s="1092">
        <v>5.9536999999999995</v>
      </c>
    </row>
    <row r="430" spans="2:10" x14ac:dyDescent="0.25">
      <c r="B430" s="1089" t="s">
        <v>899</v>
      </c>
      <c r="C430" s="1090">
        <v>2075</v>
      </c>
      <c r="D430" s="1089">
        <v>1209000</v>
      </c>
      <c r="E430" s="1091">
        <v>1202000</v>
      </c>
      <c r="F430" s="1092">
        <v>1052000</v>
      </c>
      <c r="G430" s="1089">
        <v>17.969000000000001</v>
      </c>
      <c r="H430" s="1091">
        <v>0.164128</v>
      </c>
      <c r="I430" s="1091">
        <v>2.9025999999999998E-4</v>
      </c>
      <c r="J430" s="1092">
        <v>22.988</v>
      </c>
    </row>
    <row r="431" spans="2:10" x14ac:dyDescent="0.25">
      <c r="B431" s="1089" t="s">
        <v>897</v>
      </c>
      <c r="C431" s="1090">
        <v>2075</v>
      </c>
      <c r="D431" s="1089">
        <v>1585000</v>
      </c>
      <c r="E431" s="1091">
        <v>696300</v>
      </c>
      <c r="F431" s="1092">
        <v>286000</v>
      </c>
      <c r="G431" s="1089">
        <v>38.049999999999997</v>
      </c>
      <c r="H431" s="1091">
        <v>0.1118</v>
      </c>
      <c r="I431" s="1091">
        <v>2.5350000000000001E-2</v>
      </c>
      <c r="J431" s="1092">
        <v>45.19</v>
      </c>
    </row>
    <row r="432" spans="2:10" x14ac:dyDescent="0.25">
      <c r="B432" s="1089" t="s">
        <v>900</v>
      </c>
      <c r="C432" s="1090">
        <v>2075</v>
      </c>
      <c r="D432" s="1089">
        <v>1249000</v>
      </c>
      <c r="E432" s="1091">
        <v>1242000</v>
      </c>
      <c r="F432" s="1092">
        <v>1078000</v>
      </c>
      <c r="G432" s="1089">
        <v>23.84</v>
      </c>
      <c r="H432" s="1091">
        <v>0.16985799999999998</v>
      </c>
      <c r="I432" s="1091">
        <v>3.7813000000000001E-4</v>
      </c>
      <c r="J432" s="1092">
        <v>29.157000000000004</v>
      </c>
    </row>
    <row r="433" spans="2:10" x14ac:dyDescent="0.25">
      <c r="B433" s="1089" t="s">
        <v>1063</v>
      </c>
      <c r="C433" s="1090">
        <v>2075</v>
      </c>
      <c r="D433" s="1089">
        <v>1190000</v>
      </c>
      <c r="E433" s="1091">
        <v>51590</v>
      </c>
      <c r="F433" s="1092">
        <v>29220</v>
      </c>
      <c r="G433" s="1089">
        <v>3.7582</v>
      </c>
      <c r="H433" s="1091">
        <v>8.4366999999999984E-3</v>
      </c>
      <c r="I433" s="1091">
        <v>-3.8261190000000002E-3</v>
      </c>
      <c r="J433" s="1092">
        <v>3.0054000000000003</v>
      </c>
    </row>
    <row r="434" spans="2:10" x14ac:dyDescent="0.25">
      <c r="B434" s="1089" t="s">
        <v>804</v>
      </c>
      <c r="C434" s="1090">
        <v>2075</v>
      </c>
      <c r="D434" s="1089">
        <v>1190000</v>
      </c>
      <c r="E434" s="1091">
        <v>51590</v>
      </c>
      <c r="F434" s="1092">
        <v>29220</v>
      </c>
      <c r="G434" s="1089">
        <v>3.7582</v>
      </c>
      <c r="H434" s="1091">
        <v>8.4366999999999984E-3</v>
      </c>
      <c r="I434" s="1091">
        <v>-3.8261190000000002E-3</v>
      </c>
      <c r="J434" s="1092">
        <v>3.0054000000000003</v>
      </c>
    </row>
    <row r="435" spans="2:10" x14ac:dyDescent="0.25">
      <c r="B435" s="1089" t="s">
        <v>812</v>
      </c>
      <c r="C435" s="1090">
        <v>2075</v>
      </c>
      <c r="D435" s="1089">
        <v>1190000</v>
      </c>
      <c r="E435" s="1091">
        <v>51590</v>
      </c>
      <c r="F435" s="1092">
        <v>29220</v>
      </c>
      <c r="G435" s="1089">
        <v>3.7582</v>
      </c>
      <c r="H435" s="1091">
        <v>8.4366999999999984E-3</v>
      </c>
      <c r="I435" s="1091">
        <v>-3.8261190000000002E-3</v>
      </c>
      <c r="J435" s="1092">
        <v>3.0054000000000003</v>
      </c>
    </row>
    <row r="436" spans="2:10" ht="13.8" thickBot="1" x14ac:dyDescent="0.3">
      <c r="B436" s="1093" t="s">
        <v>1070</v>
      </c>
      <c r="C436" s="1094">
        <v>2075</v>
      </c>
      <c r="D436" s="1093">
        <v>1384000</v>
      </c>
      <c r="E436" s="1095">
        <v>1383000</v>
      </c>
      <c r="F436" s="1096">
        <v>5034</v>
      </c>
      <c r="G436" s="1093">
        <v>78.571100000000001</v>
      </c>
      <c r="H436" s="1095">
        <v>0.27494000000000002</v>
      </c>
      <c r="I436" s="1095">
        <v>2.3304000000000003E-3</v>
      </c>
      <c r="J436" s="1096">
        <v>87.594300000000004</v>
      </c>
    </row>
    <row r="437" spans="2:10" x14ac:dyDescent="0.25">
      <c r="B437" s="1085" t="s">
        <v>1067</v>
      </c>
      <c r="C437" s="1086">
        <v>2080</v>
      </c>
      <c r="D437" s="1085">
        <v>1092000</v>
      </c>
      <c r="E437" s="1087">
        <v>1092000</v>
      </c>
      <c r="F437" s="1088">
        <v>3971</v>
      </c>
      <c r="G437" s="1085">
        <v>5.7390999999999996</v>
      </c>
      <c r="H437" s="1087">
        <v>0.18462200000000001</v>
      </c>
      <c r="I437" s="1087">
        <v>8.61E-4</v>
      </c>
      <c r="J437" s="1088">
        <v>11.5648</v>
      </c>
    </row>
    <row r="438" spans="2:10" x14ac:dyDescent="0.25">
      <c r="B438" s="1089" t="s">
        <v>282</v>
      </c>
      <c r="C438" s="1090">
        <v>2080</v>
      </c>
      <c r="D438" s="1089">
        <v>1092000</v>
      </c>
      <c r="E438" s="1091">
        <v>1092000</v>
      </c>
      <c r="F438" s="1092">
        <v>3971</v>
      </c>
      <c r="G438" s="1089">
        <v>5.7390999999999996</v>
      </c>
      <c r="H438" s="1091">
        <v>0.18462200000000001</v>
      </c>
      <c r="I438" s="1091">
        <v>8.61E-4</v>
      </c>
      <c r="J438" s="1092">
        <v>11.5648</v>
      </c>
    </row>
    <row r="439" spans="2:10" x14ac:dyDescent="0.25">
      <c r="B439" s="1089" t="s">
        <v>1068</v>
      </c>
      <c r="C439" s="1090">
        <v>2080</v>
      </c>
      <c r="D439" s="1089">
        <v>1092000</v>
      </c>
      <c r="E439" s="1091">
        <v>1092000</v>
      </c>
      <c r="F439" s="1092">
        <v>3971</v>
      </c>
      <c r="G439" s="1089">
        <v>5.7390999999999996</v>
      </c>
      <c r="H439" s="1091">
        <v>0.18462200000000001</v>
      </c>
      <c r="I439" s="1091">
        <v>8.61E-4</v>
      </c>
      <c r="J439" s="1092">
        <v>11.5648</v>
      </c>
    </row>
    <row r="440" spans="2:10" x14ac:dyDescent="0.25">
      <c r="B440" s="1089" t="s">
        <v>670</v>
      </c>
      <c r="C440" s="1090">
        <v>2080</v>
      </c>
      <c r="D440" s="1089">
        <v>1092000</v>
      </c>
      <c r="E440" s="1091">
        <v>1092000</v>
      </c>
      <c r="F440" s="1092">
        <v>3971</v>
      </c>
      <c r="G440" s="1089">
        <v>5.7390999999999996</v>
      </c>
      <c r="H440" s="1091">
        <v>0.18462200000000001</v>
      </c>
      <c r="I440" s="1091">
        <v>8.61E-4</v>
      </c>
      <c r="J440" s="1092">
        <v>11.5648</v>
      </c>
    </row>
    <row r="441" spans="2:10" x14ac:dyDescent="0.25">
      <c r="B441" s="1089" t="s">
        <v>671</v>
      </c>
      <c r="C441" s="1090">
        <v>2080</v>
      </c>
      <c r="D441" s="1089">
        <v>-1185000</v>
      </c>
      <c r="E441" s="1091">
        <v>0</v>
      </c>
      <c r="F441" s="1092">
        <v>0</v>
      </c>
      <c r="G441" s="1089">
        <v>-85.800000000000011</v>
      </c>
      <c r="H441" s="1091">
        <v>0.54700000000000004</v>
      </c>
      <c r="I441" s="1091">
        <v>-1.8286999999999999E-3</v>
      </c>
      <c r="J441" s="1092">
        <v>-70.08</v>
      </c>
    </row>
    <row r="442" spans="2:10" x14ac:dyDescent="0.25">
      <c r="B442" s="1089" t="s">
        <v>672</v>
      </c>
      <c r="C442" s="1090">
        <v>2080</v>
      </c>
      <c r="D442" s="1089">
        <v>1721000</v>
      </c>
      <c r="E442" s="1091">
        <v>1293000</v>
      </c>
      <c r="F442" s="1092">
        <v>15050</v>
      </c>
      <c r="G442" s="1089">
        <v>125.08</v>
      </c>
      <c r="H442" s="1091">
        <v>0.20477100000000001</v>
      </c>
      <c r="I442" s="1091">
        <v>1.7827000000000001E-3</v>
      </c>
      <c r="J442" s="1092">
        <v>129.82</v>
      </c>
    </row>
    <row r="443" spans="2:10" x14ac:dyDescent="0.25">
      <c r="B443" s="1089" t="s">
        <v>687</v>
      </c>
      <c r="C443" s="1090">
        <v>2080</v>
      </c>
      <c r="D443" s="1089">
        <v>1721000</v>
      </c>
      <c r="E443" s="1091">
        <v>1293000</v>
      </c>
      <c r="F443" s="1092">
        <v>15050</v>
      </c>
      <c r="G443" s="1089">
        <v>125.08</v>
      </c>
      <c r="H443" s="1091">
        <v>0.20477100000000001</v>
      </c>
      <c r="I443" s="1091">
        <v>1.7827000000000001E-3</v>
      </c>
      <c r="J443" s="1092">
        <v>129.82</v>
      </c>
    </row>
    <row r="444" spans="2:10" x14ac:dyDescent="0.25">
      <c r="B444" s="1089" t="s">
        <v>673</v>
      </c>
      <c r="C444" s="1090">
        <v>2080</v>
      </c>
      <c r="D444" s="1089">
        <v>1721000</v>
      </c>
      <c r="E444" s="1091">
        <v>1293000</v>
      </c>
      <c r="F444" s="1092">
        <v>15050</v>
      </c>
      <c r="G444" s="1089">
        <v>125.08</v>
      </c>
      <c r="H444" s="1091">
        <v>0.20477100000000001</v>
      </c>
      <c r="I444" s="1091">
        <v>1.7827000000000001E-3</v>
      </c>
      <c r="J444" s="1092">
        <v>129.82</v>
      </c>
    </row>
    <row r="445" spans="2:10" x14ac:dyDescent="0.25">
      <c r="B445" s="1089" t="s">
        <v>1069</v>
      </c>
      <c r="C445" s="1090">
        <v>2080</v>
      </c>
      <c r="D445" s="1089">
        <v>1022000</v>
      </c>
      <c r="E445" s="1091">
        <v>1021000</v>
      </c>
      <c r="F445" s="1092">
        <v>15510</v>
      </c>
      <c r="G445" s="1089">
        <v>1.6964999999999999</v>
      </c>
      <c r="H445" s="1091">
        <v>0.14096238999999999</v>
      </c>
      <c r="I445" s="1091">
        <v>3.2765999999999998E-5</v>
      </c>
      <c r="J445" s="1092">
        <v>5.9536999999999995</v>
      </c>
    </row>
    <row r="446" spans="2:10" x14ac:dyDescent="0.25">
      <c r="B446" s="1089" t="s">
        <v>705</v>
      </c>
      <c r="C446" s="1090">
        <v>2080</v>
      </c>
      <c r="D446" s="1089">
        <v>1022000</v>
      </c>
      <c r="E446" s="1091">
        <v>1021000</v>
      </c>
      <c r="F446" s="1092">
        <v>15510</v>
      </c>
      <c r="G446" s="1089">
        <v>1.6964999999999999</v>
      </c>
      <c r="H446" s="1091">
        <v>0.14096238999999999</v>
      </c>
      <c r="I446" s="1091">
        <v>3.2765999999999998E-5</v>
      </c>
      <c r="J446" s="1092">
        <v>5.9536999999999995</v>
      </c>
    </row>
    <row r="447" spans="2:10" x14ac:dyDescent="0.25">
      <c r="B447" s="1089" t="s">
        <v>706</v>
      </c>
      <c r="C447" s="1090">
        <v>2080</v>
      </c>
      <c r="D447" s="1089">
        <v>1022000</v>
      </c>
      <c r="E447" s="1091">
        <v>1021000</v>
      </c>
      <c r="F447" s="1092">
        <v>15510</v>
      </c>
      <c r="G447" s="1089">
        <v>1.6964999999999999</v>
      </c>
      <c r="H447" s="1091">
        <v>0.14096238999999999</v>
      </c>
      <c r="I447" s="1091">
        <v>3.2765999999999998E-5</v>
      </c>
      <c r="J447" s="1092">
        <v>5.9536999999999995</v>
      </c>
    </row>
    <row r="448" spans="2:10" x14ac:dyDescent="0.25">
      <c r="B448" s="1089" t="s">
        <v>899</v>
      </c>
      <c r="C448" s="1090">
        <v>2080</v>
      </c>
      <c r="D448" s="1089">
        <v>1209000</v>
      </c>
      <c r="E448" s="1091">
        <v>1202000</v>
      </c>
      <c r="F448" s="1092">
        <v>1052000</v>
      </c>
      <c r="G448" s="1089">
        <v>17.969000000000001</v>
      </c>
      <c r="H448" s="1091">
        <v>0.164128</v>
      </c>
      <c r="I448" s="1091">
        <v>2.9025999999999998E-4</v>
      </c>
      <c r="J448" s="1092">
        <v>22.988</v>
      </c>
    </row>
    <row r="449" spans="2:10" x14ac:dyDescent="0.25">
      <c r="B449" s="1089" t="s">
        <v>897</v>
      </c>
      <c r="C449" s="1090">
        <v>2080</v>
      </c>
      <c r="D449" s="1089">
        <v>1585000</v>
      </c>
      <c r="E449" s="1091">
        <v>696300</v>
      </c>
      <c r="F449" s="1092">
        <v>286000</v>
      </c>
      <c r="G449" s="1089">
        <v>38.049999999999997</v>
      </c>
      <c r="H449" s="1091">
        <v>0.1118</v>
      </c>
      <c r="I449" s="1091">
        <v>2.5350000000000001E-2</v>
      </c>
      <c r="J449" s="1092">
        <v>45.19</v>
      </c>
    </row>
    <row r="450" spans="2:10" x14ac:dyDescent="0.25">
      <c r="B450" s="1089" t="s">
        <v>900</v>
      </c>
      <c r="C450" s="1090">
        <v>2080</v>
      </c>
      <c r="D450" s="1089">
        <v>1249000</v>
      </c>
      <c r="E450" s="1091">
        <v>1242000</v>
      </c>
      <c r="F450" s="1092">
        <v>1078000</v>
      </c>
      <c r="G450" s="1089">
        <v>23.84</v>
      </c>
      <c r="H450" s="1091">
        <v>0.16985799999999998</v>
      </c>
      <c r="I450" s="1091">
        <v>3.7813000000000001E-4</v>
      </c>
      <c r="J450" s="1092">
        <v>29.157000000000004</v>
      </c>
    </row>
    <row r="451" spans="2:10" x14ac:dyDescent="0.25">
      <c r="B451" s="1089" t="s">
        <v>1063</v>
      </c>
      <c r="C451" s="1090">
        <v>2080</v>
      </c>
      <c r="D451" s="1089">
        <v>1190000</v>
      </c>
      <c r="E451" s="1091">
        <v>51590</v>
      </c>
      <c r="F451" s="1092">
        <v>29220</v>
      </c>
      <c r="G451" s="1089">
        <v>3.7582</v>
      </c>
      <c r="H451" s="1091">
        <v>8.4366999999999984E-3</v>
      </c>
      <c r="I451" s="1091">
        <v>-3.8261190000000002E-3</v>
      </c>
      <c r="J451" s="1092">
        <v>3.0054000000000003</v>
      </c>
    </row>
    <row r="452" spans="2:10" x14ac:dyDescent="0.25">
      <c r="B452" s="1089" t="s">
        <v>804</v>
      </c>
      <c r="C452" s="1090">
        <v>2080</v>
      </c>
      <c r="D452" s="1089">
        <v>1190000</v>
      </c>
      <c r="E452" s="1091">
        <v>51590</v>
      </c>
      <c r="F452" s="1092">
        <v>29220</v>
      </c>
      <c r="G452" s="1089">
        <v>3.7582</v>
      </c>
      <c r="H452" s="1091">
        <v>8.4366999999999984E-3</v>
      </c>
      <c r="I452" s="1091">
        <v>-3.8261190000000002E-3</v>
      </c>
      <c r="J452" s="1092">
        <v>3.0054000000000003</v>
      </c>
    </row>
    <row r="453" spans="2:10" x14ac:dyDescent="0.25">
      <c r="B453" s="1089" t="s">
        <v>812</v>
      </c>
      <c r="C453" s="1090">
        <v>2080</v>
      </c>
      <c r="D453" s="1089">
        <v>1190000</v>
      </c>
      <c r="E453" s="1091">
        <v>51590</v>
      </c>
      <c r="F453" s="1092">
        <v>29220</v>
      </c>
      <c r="G453" s="1089">
        <v>3.7582</v>
      </c>
      <c r="H453" s="1091">
        <v>8.4366999999999984E-3</v>
      </c>
      <c r="I453" s="1091">
        <v>-3.8261190000000002E-3</v>
      </c>
      <c r="J453" s="1092">
        <v>3.0054000000000003</v>
      </c>
    </row>
    <row r="454" spans="2:10" ht="13.8" thickBot="1" x14ac:dyDescent="0.3">
      <c r="B454" s="1093" t="s">
        <v>1070</v>
      </c>
      <c r="C454" s="1094">
        <v>2080</v>
      </c>
      <c r="D454" s="1093">
        <v>1384000</v>
      </c>
      <c r="E454" s="1095">
        <v>1383000</v>
      </c>
      <c r="F454" s="1096">
        <v>5034</v>
      </c>
      <c r="G454" s="1093">
        <v>78.571100000000001</v>
      </c>
      <c r="H454" s="1095">
        <v>0.27494000000000002</v>
      </c>
      <c r="I454" s="1095">
        <v>2.3304000000000003E-3</v>
      </c>
      <c r="J454" s="1096">
        <v>87.594300000000004</v>
      </c>
    </row>
    <row r="455" spans="2:10" x14ac:dyDescent="0.25">
      <c r="B455" s="1085" t="s">
        <v>1067</v>
      </c>
      <c r="C455" s="1086">
        <v>2085</v>
      </c>
      <c r="D455" s="1085">
        <v>1092000</v>
      </c>
      <c r="E455" s="1087">
        <v>1092000</v>
      </c>
      <c r="F455" s="1088">
        <v>3971</v>
      </c>
      <c r="G455" s="1085">
        <v>5.7390999999999996</v>
      </c>
      <c r="H455" s="1087">
        <v>0.18462200000000001</v>
      </c>
      <c r="I455" s="1087">
        <v>8.61E-4</v>
      </c>
      <c r="J455" s="1088">
        <v>11.5648</v>
      </c>
    </row>
    <row r="456" spans="2:10" x14ac:dyDescent="0.25">
      <c r="B456" s="1089" t="s">
        <v>282</v>
      </c>
      <c r="C456" s="1090">
        <v>2085</v>
      </c>
      <c r="D456" s="1089">
        <v>1092000</v>
      </c>
      <c r="E456" s="1091">
        <v>1092000</v>
      </c>
      <c r="F456" s="1092">
        <v>3971</v>
      </c>
      <c r="G456" s="1089">
        <v>5.7390999999999996</v>
      </c>
      <c r="H456" s="1091">
        <v>0.18462200000000001</v>
      </c>
      <c r="I456" s="1091">
        <v>8.61E-4</v>
      </c>
      <c r="J456" s="1092">
        <v>11.5648</v>
      </c>
    </row>
    <row r="457" spans="2:10" x14ac:dyDescent="0.25">
      <c r="B457" s="1089" t="s">
        <v>1068</v>
      </c>
      <c r="C457" s="1090">
        <v>2085</v>
      </c>
      <c r="D457" s="1089">
        <v>1092000</v>
      </c>
      <c r="E457" s="1091">
        <v>1092000</v>
      </c>
      <c r="F457" s="1092">
        <v>3971</v>
      </c>
      <c r="G457" s="1089">
        <v>5.7390999999999996</v>
      </c>
      <c r="H457" s="1091">
        <v>0.18462200000000001</v>
      </c>
      <c r="I457" s="1091">
        <v>8.61E-4</v>
      </c>
      <c r="J457" s="1092">
        <v>11.5648</v>
      </c>
    </row>
    <row r="458" spans="2:10" x14ac:dyDescent="0.25">
      <c r="B458" s="1089" t="s">
        <v>670</v>
      </c>
      <c r="C458" s="1090">
        <v>2085</v>
      </c>
      <c r="D458" s="1089">
        <v>1092000</v>
      </c>
      <c r="E458" s="1091">
        <v>1092000</v>
      </c>
      <c r="F458" s="1092">
        <v>3971</v>
      </c>
      <c r="G458" s="1089">
        <v>5.7390999999999996</v>
      </c>
      <c r="H458" s="1091">
        <v>0.18462200000000001</v>
      </c>
      <c r="I458" s="1091">
        <v>8.61E-4</v>
      </c>
      <c r="J458" s="1092">
        <v>11.5648</v>
      </c>
    </row>
    <row r="459" spans="2:10" x14ac:dyDescent="0.25">
      <c r="B459" s="1089" t="s">
        <v>671</v>
      </c>
      <c r="C459" s="1090">
        <v>2085</v>
      </c>
      <c r="D459" s="1089">
        <v>-1185000</v>
      </c>
      <c r="E459" s="1091">
        <v>0</v>
      </c>
      <c r="F459" s="1092">
        <v>0</v>
      </c>
      <c r="G459" s="1089">
        <v>-85.800000000000011</v>
      </c>
      <c r="H459" s="1091">
        <v>0.54700000000000004</v>
      </c>
      <c r="I459" s="1091">
        <v>-1.8286999999999999E-3</v>
      </c>
      <c r="J459" s="1092">
        <v>-70.08</v>
      </c>
    </row>
    <row r="460" spans="2:10" x14ac:dyDescent="0.25">
      <c r="B460" s="1089" t="s">
        <v>672</v>
      </c>
      <c r="C460" s="1090">
        <v>2085</v>
      </c>
      <c r="D460" s="1089">
        <v>1721000</v>
      </c>
      <c r="E460" s="1091">
        <v>1293000</v>
      </c>
      <c r="F460" s="1092">
        <v>15050</v>
      </c>
      <c r="G460" s="1089">
        <v>125.08</v>
      </c>
      <c r="H460" s="1091">
        <v>0.20477100000000001</v>
      </c>
      <c r="I460" s="1091">
        <v>1.7827000000000001E-3</v>
      </c>
      <c r="J460" s="1092">
        <v>129.82</v>
      </c>
    </row>
    <row r="461" spans="2:10" x14ac:dyDescent="0.25">
      <c r="B461" s="1089" t="s">
        <v>687</v>
      </c>
      <c r="C461" s="1090">
        <v>2085</v>
      </c>
      <c r="D461" s="1089">
        <v>1721000</v>
      </c>
      <c r="E461" s="1091">
        <v>1293000</v>
      </c>
      <c r="F461" s="1092">
        <v>15050</v>
      </c>
      <c r="G461" s="1089">
        <v>125.08</v>
      </c>
      <c r="H461" s="1091">
        <v>0.20477100000000001</v>
      </c>
      <c r="I461" s="1091">
        <v>1.7827000000000001E-3</v>
      </c>
      <c r="J461" s="1092">
        <v>129.82</v>
      </c>
    </row>
    <row r="462" spans="2:10" x14ac:dyDescent="0.25">
      <c r="B462" s="1089" t="s">
        <v>673</v>
      </c>
      <c r="C462" s="1090">
        <v>2085</v>
      </c>
      <c r="D462" s="1089">
        <v>1721000</v>
      </c>
      <c r="E462" s="1091">
        <v>1293000</v>
      </c>
      <c r="F462" s="1092">
        <v>15050</v>
      </c>
      <c r="G462" s="1089">
        <v>125.08</v>
      </c>
      <c r="H462" s="1091">
        <v>0.20477100000000001</v>
      </c>
      <c r="I462" s="1091">
        <v>1.7827000000000001E-3</v>
      </c>
      <c r="J462" s="1092">
        <v>129.82</v>
      </c>
    </row>
    <row r="463" spans="2:10" x14ac:dyDescent="0.25">
      <c r="B463" s="1089" t="s">
        <v>1069</v>
      </c>
      <c r="C463" s="1090">
        <v>2085</v>
      </c>
      <c r="D463" s="1089">
        <v>1022000</v>
      </c>
      <c r="E463" s="1091">
        <v>1021000</v>
      </c>
      <c r="F463" s="1092">
        <v>15510</v>
      </c>
      <c r="G463" s="1089">
        <v>1.6964999999999999</v>
      </c>
      <c r="H463" s="1091">
        <v>0.14096238999999999</v>
      </c>
      <c r="I463" s="1091">
        <v>3.2765999999999998E-5</v>
      </c>
      <c r="J463" s="1092">
        <v>5.9536999999999995</v>
      </c>
    </row>
    <row r="464" spans="2:10" x14ac:dyDescent="0.25">
      <c r="B464" s="1089" t="s">
        <v>705</v>
      </c>
      <c r="C464" s="1090">
        <v>2085</v>
      </c>
      <c r="D464" s="1089">
        <v>1022000</v>
      </c>
      <c r="E464" s="1091">
        <v>1021000</v>
      </c>
      <c r="F464" s="1092">
        <v>15510</v>
      </c>
      <c r="G464" s="1089">
        <v>1.6964999999999999</v>
      </c>
      <c r="H464" s="1091">
        <v>0.14096238999999999</v>
      </c>
      <c r="I464" s="1091">
        <v>3.2765999999999998E-5</v>
      </c>
      <c r="J464" s="1092">
        <v>5.9536999999999995</v>
      </c>
    </row>
    <row r="465" spans="2:10" x14ac:dyDescent="0.25">
      <c r="B465" s="1089" t="s">
        <v>706</v>
      </c>
      <c r="C465" s="1090">
        <v>2085</v>
      </c>
      <c r="D465" s="1089">
        <v>1022000</v>
      </c>
      <c r="E465" s="1091">
        <v>1021000</v>
      </c>
      <c r="F465" s="1092">
        <v>15510</v>
      </c>
      <c r="G465" s="1089">
        <v>1.6964999999999999</v>
      </c>
      <c r="H465" s="1091">
        <v>0.14096238999999999</v>
      </c>
      <c r="I465" s="1091">
        <v>3.2765999999999998E-5</v>
      </c>
      <c r="J465" s="1092">
        <v>5.9536999999999995</v>
      </c>
    </row>
    <row r="466" spans="2:10" x14ac:dyDescent="0.25">
      <c r="B466" s="1089" t="s">
        <v>899</v>
      </c>
      <c r="C466" s="1090">
        <v>2085</v>
      </c>
      <c r="D466" s="1089">
        <v>1209000</v>
      </c>
      <c r="E466" s="1091">
        <v>1202000</v>
      </c>
      <c r="F466" s="1092">
        <v>1052000</v>
      </c>
      <c r="G466" s="1089">
        <v>17.969000000000001</v>
      </c>
      <c r="H466" s="1091">
        <v>0.164128</v>
      </c>
      <c r="I466" s="1091">
        <v>2.9025999999999998E-4</v>
      </c>
      <c r="J466" s="1092">
        <v>22.988</v>
      </c>
    </row>
    <row r="467" spans="2:10" x14ac:dyDescent="0.25">
      <c r="B467" s="1089" t="s">
        <v>897</v>
      </c>
      <c r="C467" s="1090">
        <v>2085</v>
      </c>
      <c r="D467" s="1089">
        <v>1585000</v>
      </c>
      <c r="E467" s="1091">
        <v>696300</v>
      </c>
      <c r="F467" s="1092">
        <v>286000</v>
      </c>
      <c r="G467" s="1089">
        <v>38.049999999999997</v>
      </c>
      <c r="H467" s="1091">
        <v>0.1118</v>
      </c>
      <c r="I467" s="1091">
        <v>2.5350000000000001E-2</v>
      </c>
      <c r="J467" s="1092">
        <v>45.19</v>
      </c>
    </row>
    <row r="468" spans="2:10" x14ac:dyDescent="0.25">
      <c r="B468" s="1089" t="s">
        <v>900</v>
      </c>
      <c r="C468" s="1090">
        <v>2085</v>
      </c>
      <c r="D468" s="1089">
        <v>1249000</v>
      </c>
      <c r="E468" s="1091">
        <v>1242000</v>
      </c>
      <c r="F468" s="1092">
        <v>1078000</v>
      </c>
      <c r="G468" s="1089">
        <v>23.84</v>
      </c>
      <c r="H468" s="1091">
        <v>0.16985799999999998</v>
      </c>
      <c r="I468" s="1091">
        <v>3.7813000000000001E-4</v>
      </c>
      <c r="J468" s="1092">
        <v>29.157000000000004</v>
      </c>
    </row>
    <row r="469" spans="2:10" x14ac:dyDescent="0.25">
      <c r="B469" s="1089" t="s">
        <v>1063</v>
      </c>
      <c r="C469" s="1090">
        <v>2085</v>
      </c>
      <c r="D469" s="1089">
        <v>1190000</v>
      </c>
      <c r="E469" s="1091">
        <v>51590</v>
      </c>
      <c r="F469" s="1092">
        <v>29220</v>
      </c>
      <c r="G469" s="1089">
        <v>3.7582</v>
      </c>
      <c r="H469" s="1091">
        <v>8.4366999999999984E-3</v>
      </c>
      <c r="I469" s="1091">
        <v>-3.8261190000000002E-3</v>
      </c>
      <c r="J469" s="1092">
        <v>3.0054000000000003</v>
      </c>
    </row>
    <row r="470" spans="2:10" x14ac:dyDescent="0.25">
      <c r="B470" s="1089" t="s">
        <v>804</v>
      </c>
      <c r="C470" s="1090">
        <v>2085</v>
      </c>
      <c r="D470" s="1089">
        <v>1190000</v>
      </c>
      <c r="E470" s="1091">
        <v>51590</v>
      </c>
      <c r="F470" s="1092">
        <v>29220</v>
      </c>
      <c r="G470" s="1089">
        <v>3.7582</v>
      </c>
      <c r="H470" s="1091">
        <v>8.4366999999999984E-3</v>
      </c>
      <c r="I470" s="1091">
        <v>-3.8261190000000002E-3</v>
      </c>
      <c r="J470" s="1092">
        <v>3.0054000000000003</v>
      </c>
    </row>
    <row r="471" spans="2:10" x14ac:dyDescent="0.25">
      <c r="B471" s="1089" t="s">
        <v>812</v>
      </c>
      <c r="C471" s="1090">
        <v>2085</v>
      </c>
      <c r="D471" s="1089">
        <v>1190000</v>
      </c>
      <c r="E471" s="1091">
        <v>51590</v>
      </c>
      <c r="F471" s="1092">
        <v>29220</v>
      </c>
      <c r="G471" s="1089">
        <v>3.7582</v>
      </c>
      <c r="H471" s="1091">
        <v>8.4366999999999984E-3</v>
      </c>
      <c r="I471" s="1091">
        <v>-3.8261190000000002E-3</v>
      </c>
      <c r="J471" s="1092">
        <v>3.0054000000000003</v>
      </c>
    </row>
    <row r="472" spans="2:10" ht="13.8" thickBot="1" x14ac:dyDescent="0.3">
      <c r="B472" s="1093" t="s">
        <v>1070</v>
      </c>
      <c r="C472" s="1094">
        <v>2085</v>
      </c>
      <c r="D472" s="1093">
        <v>1384000</v>
      </c>
      <c r="E472" s="1095">
        <v>1383000</v>
      </c>
      <c r="F472" s="1096">
        <v>5034</v>
      </c>
      <c r="G472" s="1093">
        <v>78.571100000000001</v>
      </c>
      <c r="H472" s="1095">
        <v>0.27494000000000002</v>
      </c>
      <c r="I472" s="1095">
        <v>2.3304000000000003E-3</v>
      </c>
      <c r="J472" s="1096">
        <v>87.594300000000004</v>
      </c>
    </row>
    <row r="473" spans="2:10" x14ac:dyDescent="0.25">
      <c r="B473" s="1085" t="s">
        <v>1067</v>
      </c>
      <c r="C473" s="1086">
        <v>2090</v>
      </c>
      <c r="D473" s="1085">
        <v>1092000</v>
      </c>
      <c r="E473" s="1087">
        <v>1092000</v>
      </c>
      <c r="F473" s="1088">
        <v>3971</v>
      </c>
      <c r="G473" s="1085">
        <v>5.7390999999999996</v>
      </c>
      <c r="H473" s="1087">
        <v>0.18462200000000001</v>
      </c>
      <c r="I473" s="1087">
        <v>8.61E-4</v>
      </c>
      <c r="J473" s="1088">
        <v>11.5648</v>
      </c>
    </row>
    <row r="474" spans="2:10" x14ac:dyDescent="0.25">
      <c r="B474" s="1089" t="s">
        <v>282</v>
      </c>
      <c r="C474" s="1090">
        <v>2090</v>
      </c>
      <c r="D474" s="1089">
        <v>1092000</v>
      </c>
      <c r="E474" s="1091">
        <v>1092000</v>
      </c>
      <c r="F474" s="1092">
        <v>3971</v>
      </c>
      <c r="G474" s="1089">
        <v>5.7390999999999996</v>
      </c>
      <c r="H474" s="1091">
        <v>0.18462200000000001</v>
      </c>
      <c r="I474" s="1091">
        <v>8.61E-4</v>
      </c>
      <c r="J474" s="1092">
        <v>11.5648</v>
      </c>
    </row>
    <row r="475" spans="2:10" x14ac:dyDescent="0.25">
      <c r="B475" s="1089" t="s">
        <v>1068</v>
      </c>
      <c r="C475" s="1090">
        <v>2090</v>
      </c>
      <c r="D475" s="1089">
        <v>1092000</v>
      </c>
      <c r="E475" s="1091">
        <v>1092000</v>
      </c>
      <c r="F475" s="1092">
        <v>3971</v>
      </c>
      <c r="G475" s="1089">
        <v>5.7390999999999996</v>
      </c>
      <c r="H475" s="1091">
        <v>0.18462200000000001</v>
      </c>
      <c r="I475" s="1091">
        <v>8.61E-4</v>
      </c>
      <c r="J475" s="1092">
        <v>11.5648</v>
      </c>
    </row>
    <row r="476" spans="2:10" x14ac:dyDescent="0.25">
      <c r="B476" s="1089" t="s">
        <v>670</v>
      </c>
      <c r="C476" s="1090">
        <v>2090</v>
      </c>
      <c r="D476" s="1089">
        <v>1092000</v>
      </c>
      <c r="E476" s="1091">
        <v>1092000</v>
      </c>
      <c r="F476" s="1092">
        <v>3971</v>
      </c>
      <c r="G476" s="1089">
        <v>5.7390999999999996</v>
      </c>
      <c r="H476" s="1091">
        <v>0.18462200000000001</v>
      </c>
      <c r="I476" s="1091">
        <v>8.61E-4</v>
      </c>
      <c r="J476" s="1092">
        <v>11.5648</v>
      </c>
    </row>
    <row r="477" spans="2:10" x14ac:dyDescent="0.25">
      <c r="B477" s="1089" t="s">
        <v>671</v>
      </c>
      <c r="C477" s="1090">
        <v>2090</v>
      </c>
      <c r="D477" s="1089">
        <v>-1185000</v>
      </c>
      <c r="E477" s="1091">
        <v>0</v>
      </c>
      <c r="F477" s="1092">
        <v>0</v>
      </c>
      <c r="G477" s="1089">
        <v>-85.800000000000011</v>
      </c>
      <c r="H477" s="1091">
        <v>0.54700000000000004</v>
      </c>
      <c r="I477" s="1091">
        <v>-1.8286999999999999E-3</v>
      </c>
      <c r="J477" s="1092">
        <v>-70.08</v>
      </c>
    </row>
    <row r="478" spans="2:10" x14ac:dyDescent="0.25">
      <c r="B478" s="1089" t="s">
        <v>672</v>
      </c>
      <c r="C478" s="1090">
        <v>2090</v>
      </c>
      <c r="D478" s="1089">
        <v>1721000</v>
      </c>
      <c r="E478" s="1091">
        <v>1293000</v>
      </c>
      <c r="F478" s="1092">
        <v>15050</v>
      </c>
      <c r="G478" s="1089">
        <v>125.08</v>
      </c>
      <c r="H478" s="1091">
        <v>0.20477100000000001</v>
      </c>
      <c r="I478" s="1091">
        <v>1.7827000000000001E-3</v>
      </c>
      <c r="J478" s="1092">
        <v>129.82</v>
      </c>
    </row>
    <row r="479" spans="2:10" x14ac:dyDescent="0.25">
      <c r="B479" s="1089" t="s">
        <v>687</v>
      </c>
      <c r="C479" s="1090">
        <v>2090</v>
      </c>
      <c r="D479" s="1089">
        <v>1721000</v>
      </c>
      <c r="E479" s="1091">
        <v>1293000</v>
      </c>
      <c r="F479" s="1092">
        <v>15050</v>
      </c>
      <c r="G479" s="1089">
        <v>125.08</v>
      </c>
      <c r="H479" s="1091">
        <v>0.20477100000000001</v>
      </c>
      <c r="I479" s="1091">
        <v>1.7827000000000001E-3</v>
      </c>
      <c r="J479" s="1092">
        <v>129.82</v>
      </c>
    </row>
    <row r="480" spans="2:10" x14ac:dyDescent="0.25">
      <c r="B480" s="1089" t="s">
        <v>673</v>
      </c>
      <c r="C480" s="1090">
        <v>2090</v>
      </c>
      <c r="D480" s="1089">
        <v>1721000</v>
      </c>
      <c r="E480" s="1091">
        <v>1293000</v>
      </c>
      <c r="F480" s="1092">
        <v>15050</v>
      </c>
      <c r="G480" s="1089">
        <v>125.08</v>
      </c>
      <c r="H480" s="1091">
        <v>0.20477100000000001</v>
      </c>
      <c r="I480" s="1091">
        <v>1.7827000000000001E-3</v>
      </c>
      <c r="J480" s="1092">
        <v>129.82</v>
      </c>
    </row>
    <row r="481" spans="2:10" x14ac:dyDescent="0.25">
      <c r="B481" s="1089" t="s">
        <v>1069</v>
      </c>
      <c r="C481" s="1090">
        <v>2090</v>
      </c>
      <c r="D481" s="1089">
        <v>1022000</v>
      </c>
      <c r="E481" s="1091">
        <v>1021000</v>
      </c>
      <c r="F481" s="1092">
        <v>15510</v>
      </c>
      <c r="G481" s="1089">
        <v>1.6964999999999999</v>
      </c>
      <c r="H481" s="1091">
        <v>0.14096238999999999</v>
      </c>
      <c r="I481" s="1091">
        <v>3.2765999999999998E-5</v>
      </c>
      <c r="J481" s="1092">
        <v>5.9536999999999995</v>
      </c>
    </row>
    <row r="482" spans="2:10" x14ac:dyDescent="0.25">
      <c r="B482" s="1089" t="s">
        <v>705</v>
      </c>
      <c r="C482" s="1090">
        <v>2090</v>
      </c>
      <c r="D482" s="1089">
        <v>1022000</v>
      </c>
      <c r="E482" s="1091">
        <v>1021000</v>
      </c>
      <c r="F482" s="1092">
        <v>15510</v>
      </c>
      <c r="G482" s="1089">
        <v>1.6964999999999999</v>
      </c>
      <c r="H482" s="1091">
        <v>0.14096238999999999</v>
      </c>
      <c r="I482" s="1091">
        <v>3.2765999999999998E-5</v>
      </c>
      <c r="J482" s="1092">
        <v>5.9536999999999995</v>
      </c>
    </row>
    <row r="483" spans="2:10" x14ac:dyDescent="0.25">
      <c r="B483" s="1089" t="s">
        <v>706</v>
      </c>
      <c r="C483" s="1090">
        <v>2090</v>
      </c>
      <c r="D483" s="1089">
        <v>1022000</v>
      </c>
      <c r="E483" s="1091">
        <v>1021000</v>
      </c>
      <c r="F483" s="1092">
        <v>15510</v>
      </c>
      <c r="G483" s="1089">
        <v>1.6964999999999999</v>
      </c>
      <c r="H483" s="1091">
        <v>0.14096238999999999</v>
      </c>
      <c r="I483" s="1091">
        <v>3.2765999999999998E-5</v>
      </c>
      <c r="J483" s="1092">
        <v>5.9536999999999995</v>
      </c>
    </row>
    <row r="484" spans="2:10" x14ac:dyDescent="0.25">
      <c r="B484" s="1089" t="s">
        <v>899</v>
      </c>
      <c r="C484" s="1090">
        <v>2090</v>
      </c>
      <c r="D484" s="1089">
        <v>1209000</v>
      </c>
      <c r="E484" s="1091">
        <v>1202000</v>
      </c>
      <c r="F484" s="1092">
        <v>1052000</v>
      </c>
      <c r="G484" s="1089">
        <v>17.969000000000001</v>
      </c>
      <c r="H484" s="1091">
        <v>0.164128</v>
      </c>
      <c r="I484" s="1091">
        <v>2.9025999999999998E-4</v>
      </c>
      <c r="J484" s="1092">
        <v>22.988</v>
      </c>
    </row>
    <row r="485" spans="2:10" x14ac:dyDescent="0.25">
      <c r="B485" s="1089" t="s">
        <v>897</v>
      </c>
      <c r="C485" s="1090">
        <v>2090</v>
      </c>
      <c r="D485" s="1089">
        <v>1585000</v>
      </c>
      <c r="E485" s="1091">
        <v>696300</v>
      </c>
      <c r="F485" s="1092">
        <v>286000</v>
      </c>
      <c r="G485" s="1089">
        <v>38.049999999999997</v>
      </c>
      <c r="H485" s="1091">
        <v>0.1118</v>
      </c>
      <c r="I485" s="1091">
        <v>2.5350000000000001E-2</v>
      </c>
      <c r="J485" s="1092">
        <v>45.19</v>
      </c>
    </row>
    <row r="486" spans="2:10" x14ac:dyDescent="0.25">
      <c r="B486" s="1089" t="s">
        <v>900</v>
      </c>
      <c r="C486" s="1090">
        <v>2090</v>
      </c>
      <c r="D486" s="1089">
        <v>1249000</v>
      </c>
      <c r="E486" s="1091">
        <v>1242000</v>
      </c>
      <c r="F486" s="1092">
        <v>1078000</v>
      </c>
      <c r="G486" s="1089">
        <v>23.84</v>
      </c>
      <c r="H486" s="1091">
        <v>0.16985799999999998</v>
      </c>
      <c r="I486" s="1091">
        <v>3.7813000000000001E-4</v>
      </c>
      <c r="J486" s="1092">
        <v>29.157000000000004</v>
      </c>
    </row>
    <row r="487" spans="2:10" x14ac:dyDescent="0.25">
      <c r="B487" s="1089" t="s">
        <v>1063</v>
      </c>
      <c r="C487" s="1090">
        <v>2090</v>
      </c>
      <c r="D487" s="1089">
        <v>1190000</v>
      </c>
      <c r="E487" s="1091">
        <v>51590</v>
      </c>
      <c r="F487" s="1092">
        <v>29220</v>
      </c>
      <c r="G487" s="1089">
        <v>3.7582</v>
      </c>
      <c r="H487" s="1091">
        <v>8.4366999999999984E-3</v>
      </c>
      <c r="I487" s="1091">
        <v>-3.8261190000000002E-3</v>
      </c>
      <c r="J487" s="1092">
        <v>3.0054000000000003</v>
      </c>
    </row>
    <row r="488" spans="2:10" x14ac:dyDescent="0.25">
      <c r="B488" s="1089" t="s">
        <v>804</v>
      </c>
      <c r="C488" s="1090">
        <v>2090</v>
      </c>
      <c r="D488" s="1089">
        <v>1190000</v>
      </c>
      <c r="E488" s="1091">
        <v>51590</v>
      </c>
      <c r="F488" s="1092">
        <v>29220</v>
      </c>
      <c r="G488" s="1089">
        <v>3.7582</v>
      </c>
      <c r="H488" s="1091">
        <v>8.4366999999999984E-3</v>
      </c>
      <c r="I488" s="1091">
        <v>-3.8261190000000002E-3</v>
      </c>
      <c r="J488" s="1092">
        <v>3.0054000000000003</v>
      </c>
    </row>
    <row r="489" spans="2:10" x14ac:dyDescent="0.25">
      <c r="B489" s="1089" t="s">
        <v>812</v>
      </c>
      <c r="C489" s="1090">
        <v>2090</v>
      </c>
      <c r="D489" s="1089">
        <v>1190000</v>
      </c>
      <c r="E489" s="1091">
        <v>51590</v>
      </c>
      <c r="F489" s="1092">
        <v>29220</v>
      </c>
      <c r="G489" s="1089">
        <v>3.7582</v>
      </c>
      <c r="H489" s="1091">
        <v>8.4366999999999984E-3</v>
      </c>
      <c r="I489" s="1091">
        <v>-3.8261190000000002E-3</v>
      </c>
      <c r="J489" s="1092">
        <v>3.0054000000000003</v>
      </c>
    </row>
    <row r="490" spans="2:10" ht="13.8" thickBot="1" x14ac:dyDescent="0.3">
      <c r="B490" s="1093" t="s">
        <v>1070</v>
      </c>
      <c r="C490" s="1094">
        <v>2090</v>
      </c>
      <c r="D490" s="1093">
        <v>1384000</v>
      </c>
      <c r="E490" s="1095">
        <v>1383000</v>
      </c>
      <c r="F490" s="1096">
        <v>5034</v>
      </c>
      <c r="G490" s="1093">
        <v>78.571100000000001</v>
      </c>
      <c r="H490" s="1095">
        <v>0.27494000000000002</v>
      </c>
      <c r="I490" s="1095">
        <v>2.3304000000000003E-3</v>
      </c>
      <c r="J490" s="1096">
        <v>87.594300000000004</v>
      </c>
    </row>
    <row r="491" spans="2:10" x14ac:dyDescent="0.25">
      <c r="B491" s="1085" t="s">
        <v>1067</v>
      </c>
      <c r="C491" s="1086">
        <v>2095</v>
      </c>
      <c r="D491" s="1085">
        <v>1092000</v>
      </c>
      <c r="E491" s="1087">
        <v>1092000</v>
      </c>
      <c r="F491" s="1088">
        <v>3971</v>
      </c>
      <c r="G491" s="1085">
        <v>5.7390999999999996</v>
      </c>
      <c r="H491" s="1087">
        <v>0.18462200000000001</v>
      </c>
      <c r="I491" s="1087">
        <v>8.61E-4</v>
      </c>
      <c r="J491" s="1088">
        <v>11.5648</v>
      </c>
    </row>
    <row r="492" spans="2:10" x14ac:dyDescent="0.25">
      <c r="B492" s="1089" t="s">
        <v>282</v>
      </c>
      <c r="C492" s="1090">
        <v>2095</v>
      </c>
      <c r="D492" s="1089">
        <v>1092000</v>
      </c>
      <c r="E492" s="1091">
        <v>1092000</v>
      </c>
      <c r="F492" s="1092">
        <v>3971</v>
      </c>
      <c r="G492" s="1089">
        <v>5.7390999999999996</v>
      </c>
      <c r="H492" s="1091">
        <v>0.18462200000000001</v>
      </c>
      <c r="I492" s="1091">
        <v>8.61E-4</v>
      </c>
      <c r="J492" s="1092">
        <v>11.5648</v>
      </c>
    </row>
    <row r="493" spans="2:10" x14ac:dyDescent="0.25">
      <c r="B493" s="1089" t="s">
        <v>1068</v>
      </c>
      <c r="C493" s="1090">
        <v>2095</v>
      </c>
      <c r="D493" s="1089">
        <v>1092000</v>
      </c>
      <c r="E493" s="1091">
        <v>1092000</v>
      </c>
      <c r="F493" s="1092">
        <v>3971</v>
      </c>
      <c r="G493" s="1089">
        <v>5.7390999999999996</v>
      </c>
      <c r="H493" s="1091">
        <v>0.18462200000000001</v>
      </c>
      <c r="I493" s="1091">
        <v>8.61E-4</v>
      </c>
      <c r="J493" s="1092">
        <v>11.5648</v>
      </c>
    </row>
    <row r="494" spans="2:10" x14ac:dyDescent="0.25">
      <c r="B494" s="1089" t="s">
        <v>670</v>
      </c>
      <c r="C494" s="1090">
        <v>2095</v>
      </c>
      <c r="D494" s="1089">
        <v>1092000</v>
      </c>
      <c r="E494" s="1091">
        <v>1092000</v>
      </c>
      <c r="F494" s="1092">
        <v>3971</v>
      </c>
      <c r="G494" s="1089">
        <v>5.7390999999999996</v>
      </c>
      <c r="H494" s="1091">
        <v>0.18462200000000001</v>
      </c>
      <c r="I494" s="1091">
        <v>8.61E-4</v>
      </c>
      <c r="J494" s="1092">
        <v>11.5648</v>
      </c>
    </row>
    <row r="495" spans="2:10" x14ac:dyDescent="0.25">
      <c r="B495" s="1089" t="s">
        <v>671</v>
      </c>
      <c r="C495" s="1090">
        <v>2095</v>
      </c>
      <c r="D495" s="1089">
        <v>-1185000</v>
      </c>
      <c r="E495" s="1091">
        <v>0</v>
      </c>
      <c r="F495" s="1092">
        <v>0</v>
      </c>
      <c r="G495" s="1089">
        <v>-85.800000000000011</v>
      </c>
      <c r="H495" s="1091">
        <v>0.54700000000000004</v>
      </c>
      <c r="I495" s="1091">
        <v>-1.8286999999999999E-3</v>
      </c>
      <c r="J495" s="1092">
        <v>-70.08</v>
      </c>
    </row>
    <row r="496" spans="2:10" x14ac:dyDescent="0.25">
      <c r="B496" s="1089" t="s">
        <v>672</v>
      </c>
      <c r="C496" s="1090">
        <v>2095</v>
      </c>
      <c r="D496" s="1089">
        <v>1721000</v>
      </c>
      <c r="E496" s="1091">
        <v>1293000</v>
      </c>
      <c r="F496" s="1092">
        <v>15050</v>
      </c>
      <c r="G496" s="1089">
        <v>125.08</v>
      </c>
      <c r="H496" s="1091">
        <v>0.20477100000000001</v>
      </c>
      <c r="I496" s="1091">
        <v>1.7827000000000001E-3</v>
      </c>
      <c r="J496" s="1092">
        <v>129.82</v>
      </c>
    </row>
    <row r="497" spans="2:10" x14ac:dyDescent="0.25">
      <c r="B497" s="1089" t="s">
        <v>687</v>
      </c>
      <c r="C497" s="1090">
        <v>2095</v>
      </c>
      <c r="D497" s="1089">
        <v>1721000</v>
      </c>
      <c r="E497" s="1091">
        <v>1293000</v>
      </c>
      <c r="F497" s="1092">
        <v>15050</v>
      </c>
      <c r="G497" s="1089">
        <v>125.08</v>
      </c>
      <c r="H497" s="1091">
        <v>0.20477100000000001</v>
      </c>
      <c r="I497" s="1091">
        <v>1.7827000000000001E-3</v>
      </c>
      <c r="J497" s="1092">
        <v>129.82</v>
      </c>
    </row>
    <row r="498" spans="2:10" x14ac:dyDescent="0.25">
      <c r="B498" s="1089" t="s">
        <v>673</v>
      </c>
      <c r="C498" s="1090">
        <v>2095</v>
      </c>
      <c r="D498" s="1089">
        <v>1721000</v>
      </c>
      <c r="E498" s="1091">
        <v>1293000</v>
      </c>
      <c r="F498" s="1092">
        <v>15050</v>
      </c>
      <c r="G498" s="1089">
        <v>125.08</v>
      </c>
      <c r="H498" s="1091">
        <v>0.20477100000000001</v>
      </c>
      <c r="I498" s="1091">
        <v>1.7827000000000001E-3</v>
      </c>
      <c r="J498" s="1092">
        <v>129.82</v>
      </c>
    </row>
    <row r="499" spans="2:10" x14ac:dyDescent="0.25">
      <c r="B499" s="1089" t="s">
        <v>1069</v>
      </c>
      <c r="C499" s="1090">
        <v>2095</v>
      </c>
      <c r="D499" s="1089">
        <v>1022000</v>
      </c>
      <c r="E499" s="1091">
        <v>1021000</v>
      </c>
      <c r="F499" s="1092">
        <v>15510</v>
      </c>
      <c r="G499" s="1089">
        <v>1.6964999999999999</v>
      </c>
      <c r="H499" s="1091">
        <v>0.14096238999999999</v>
      </c>
      <c r="I499" s="1091">
        <v>3.2765999999999998E-5</v>
      </c>
      <c r="J499" s="1092">
        <v>5.9536999999999995</v>
      </c>
    </row>
    <row r="500" spans="2:10" x14ac:dyDescent="0.25">
      <c r="B500" s="1089" t="s">
        <v>705</v>
      </c>
      <c r="C500" s="1090">
        <v>2095</v>
      </c>
      <c r="D500" s="1089">
        <v>1022000</v>
      </c>
      <c r="E500" s="1091">
        <v>1021000</v>
      </c>
      <c r="F500" s="1092">
        <v>15510</v>
      </c>
      <c r="G500" s="1089">
        <v>1.6964999999999999</v>
      </c>
      <c r="H500" s="1091">
        <v>0.14096238999999999</v>
      </c>
      <c r="I500" s="1091">
        <v>3.2765999999999998E-5</v>
      </c>
      <c r="J500" s="1092">
        <v>5.9536999999999995</v>
      </c>
    </row>
    <row r="501" spans="2:10" x14ac:dyDescent="0.25">
      <c r="B501" s="1089" t="s">
        <v>706</v>
      </c>
      <c r="C501" s="1090">
        <v>2095</v>
      </c>
      <c r="D501" s="1089">
        <v>1022000</v>
      </c>
      <c r="E501" s="1091">
        <v>1021000</v>
      </c>
      <c r="F501" s="1092">
        <v>15510</v>
      </c>
      <c r="G501" s="1089">
        <v>1.6964999999999999</v>
      </c>
      <c r="H501" s="1091">
        <v>0.14096238999999999</v>
      </c>
      <c r="I501" s="1091">
        <v>3.2765999999999998E-5</v>
      </c>
      <c r="J501" s="1092">
        <v>5.9536999999999995</v>
      </c>
    </row>
    <row r="502" spans="2:10" x14ac:dyDescent="0.25">
      <c r="B502" s="1089" t="s">
        <v>899</v>
      </c>
      <c r="C502" s="1090">
        <v>2095</v>
      </c>
      <c r="D502" s="1089">
        <v>1209000</v>
      </c>
      <c r="E502" s="1091">
        <v>1202000</v>
      </c>
      <c r="F502" s="1092">
        <v>1052000</v>
      </c>
      <c r="G502" s="1089">
        <v>17.969000000000001</v>
      </c>
      <c r="H502" s="1091">
        <v>0.164128</v>
      </c>
      <c r="I502" s="1091">
        <v>2.9025999999999998E-4</v>
      </c>
      <c r="J502" s="1092">
        <v>22.988</v>
      </c>
    </row>
    <row r="503" spans="2:10" x14ac:dyDescent="0.25">
      <c r="B503" s="1089" t="s">
        <v>897</v>
      </c>
      <c r="C503" s="1090">
        <v>2095</v>
      </c>
      <c r="D503" s="1089">
        <v>1585000</v>
      </c>
      <c r="E503" s="1091">
        <v>696300</v>
      </c>
      <c r="F503" s="1092">
        <v>286000</v>
      </c>
      <c r="G503" s="1089">
        <v>38.049999999999997</v>
      </c>
      <c r="H503" s="1091">
        <v>0.1118</v>
      </c>
      <c r="I503" s="1091">
        <v>2.5350000000000001E-2</v>
      </c>
      <c r="J503" s="1092">
        <v>45.19</v>
      </c>
    </row>
    <row r="504" spans="2:10" x14ac:dyDescent="0.25">
      <c r="B504" s="1089" t="s">
        <v>900</v>
      </c>
      <c r="C504" s="1090">
        <v>2095</v>
      </c>
      <c r="D504" s="1089">
        <v>1249000</v>
      </c>
      <c r="E504" s="1091">
        <v>1242000</v>
      </c>
      <c r="F504" s="1092">
        <v>1078000</v>
      </c>
      <c r="G504" s="1089">
        <v>23.84</v>
      </c>
      <c r="H504" s="1091">
        <v>0.16985799999999998</v>
      </c>
      <c r="I504" s="1091">
        <v>3.7813000000000001E-4</v>
      </c>
      <c r="J504" s="1092">
        <v>29.157000000000004</v>
      </c>
    </row>
    <row r="505" spans="2:10" x14ac:dyDescent="0.25">
      <c r="B505" s="1089" t="s">
        <v>1063</v>
      </c>
      <c r="C505" s="1090">
        <v>2095</v>
      </c>
      <c r="D505" s="1089">
        <v>1190000</v>
      </c>
      <c r="E505" s="1091">
        <v>51590</v>
      </c>
      <c r="F505" s="1092">
        <v>29220</v>
      </c>
      <c r="G505" s="1089">
        <v>3.7582</v>
      </c>
      <c r="H505" s="1091">
        <v>8.4366999999999984E-3</v>
      </c>
      <c r="I505" s="1091">
        <v>-3.8261190000000002E-3</v>
      </c>
      <c r="J505" s="1092">
        <v>3.0054000000000003</v>
      </c>
    </row>
    <row r="506" spans="2:10" x14ac:dyDescent="0.25">
      <c r="B506" s="1089" t="s">
        <v>804</v>
      </c>
      <c r="C506" s="1090">
        <v>2095</v>
      </c>
      <c r="D506" s="1089">
        <v>1190000</v>
      </c>
      <c r="E506" s="1091">
        <v>51590</v>
      </c>
      <c r="F506" s="1092">
        <v>29220</v>
      </c>
      <c r="G506" s="1089">
        <v>3.7582</v>
      </c>
      <c r="H506" s="1091">
        <v>8.4366999999999984E-3</v>
      </c>
      <c r="I506" s="1091">
        <v>-3.8261190000000002E-3</v>
      </c>
      <c r="J506" s="1092">
        <v>3.0054000000000003</v>
      </c>
    </row>
    <row r="507" spans="2:10" x14ac:dyDescent="0.25">
      <c r="B507" s="1089" t="s">
        <v>812</v>
      </c>
      <c r="C507" s="1090">
        <v>2095</v>
      </c>
      <c r="D507" s="1089">
        <v>1190000</v>
      </c>
      <c r="E507" s="1091">
        <v>51590</v>
      </c>
      <c r="F507" s="1092">
        <v>29220</v>
      </c>
      <c r="G507" s="1089">
        <v>3.7582</v>
      </c>
      <c r="H507" s="1091">
        <v>8.4366999999999984E-3</v>
      </c>
      <c r="I507" s="1091">
        <v>-3.8261190000000002E-3</v>
      </c>
      <c r="J507" s="1092">
        <v>3.0054000000000003</v>
      </c>
    </row>
    <row r="508" spans="2:10" ht="13.8" thickBot="1" x14ac:dyDescent="0.3">
      <c r="B508" s="1093" t="s">
        <v>1070</v>
      </c>
      <c r="C508" s="1094">
        <v>2095</v>
      </c>
      <c r="D508" s="1093">
        <v>1384000</v>
      </c>
      <c r="E508" s="1095">
        <v>1383000</v>
      </c>
      <c r="F508" s="1096">
        <v>5034</v>
      </c>
      <c r="G508" s="1093">
        <v>78.571100000000001</v>
      </c>
      <c r="H508" s="1095">
        <v>0.27494000000000002</v>
      </c>
      <c r="I508" s="1095">
        <v>2.3304000000000003E-3</v>
      </c>
      <c r="J508" s="1096">
        <v>87.594300000000004</v>
      </c>
    </row>
    <row r="509" spans="2:10" x14ac:dyDescent="0.25">
      <c r="B509" s="1085" t="s">
        <v>1067</v>
      </c>
      <c r="C509" s="1086">
        <v>2100</v>
      </c>
      <c r="D509" s="1085">
        <v>1092000</v>
      </c>
      <c r="E509" s="1087">
        <v>1092000</v>
      </c>
      <c r="F509" s="1088">
        <v>3971</v>
      </c>
      <c r="G509" s="1085">
        <v>5.7390999999999996</v>
      </c>
      <c r="H509" s="1087">
        <v>0.18462200000000001</v>
      </c>
      <c r="I509" s="1087">
        <v>8.61E-4</v>
      </c>
      <c r="J509" s="1088">
        <v>11.5648</v>
      </c>
    </row>
    <row r="510" spans="2:10" x14ac:dyDescent="0.25">
      <c r="B510" s="1089" t="s">
        <v>282</v>
      </c>
      <c r="C510" s="1090">
        <v>2100</v>
      </c>
      <c r="D510" s="1089">
        <v>1092000</v>
      </c>
      <c r="E510" s="1091">
        <v>1092000</v>
      </c>
      <c r="F510" s="1092">
        <v>3971</v>
      </c>
      <c r="G510" s="1089">
        <v>5.7390999999999996</v>
      </c>
      <c r="H510" s="1091">
        <v>0.18462200000000001</v>
      </c>
      <c r="I510" s="1091">
        <v>8.61E-4</v>
      </c>
      <c r="J510" s="1092">
        <v>11.5648</v>
      </c>
    </row>
    <row r="511" spans="2:10" x14ac:dyDescent="0.25">
      <c r="B511" s="1089" t="s">
        <v>1068</v>
      </c>
      <c r="C511" s="1090">
        <v>2100</v>
      </c>
      <c r="D511" s="1089">
        <v>1092000</v>
      </c>
      <c r="E511" s="1091">
        <v>1092000</v>
      </c>
      <c r="F511" s="1092">
        <v>3971</v>
      </c>
      <c r="G511" s="1089">
        <v>5.7390999999999996</v>
      </c>
      <c r="H511" s="1091">
        <v>0.18462200000000001</v>
      </c>
      <c r="I511" s="1091">
        <v>8.61E-4</v>
      </c>
      <c r="J511" s="1092">
        <v>11.5648</v>
      </c>
    </row>
    <row r="512" spans="2:10" x14ac:dyDescent="0.25">
      <c r="B512" s="1089" t="s">
        <v>670</v>
      </c>
      <c r="C512" s="1090">
        <v>2100</v>
      </c>
      <c r="D512" s="1089">
        <v>1092000</v>
      </c>
      <c r="E512" s="1091">
        <v>1092000</v>
      </c>
      <c r="F512" s="1092">
        <v>3971</v>
      </c>
      <c r="G512" s="1089">
        <v>5.7390999999999996</v>
      </c>
      <c r="H512" s="1091">
        <v>0.18462200000000001</v>
      </c>
      <c r="I512" s="1091">
        <v>8.61E-4</v>
      </c>
      <c r="J512" s="1092">
        <v>11.5648</v>
      </c>
    </row>
    <row r="513" spans="2:10" x14ac:dyDescent="0.25">
      <c r="B513" s="1089" t="s">
        <v>671</v>
      </c>
      <c r="C513" s="1090">
        <v>2100</v>
      </c>
      <c r="D513" s="1089">
        <v>-1185000</v>
      </c>
      <c r="E513" s="1091">
        <v>0</v>
      </c>
      <c r="F513" s="1092">
        <v>0</v>
      </c>
      <c r="G513" s="1089">
        <v>-85.800000000000011</v>
      </c>
      <c r="H513" s="1091">
        <v>0.54700000000000004</v>
      </c>
      <c r="I513" s="1091">
        <v>-1.8286999999999999E-3</v>
      </c>
      <c r="J513" s="1092">
        <v>-70.08</v>
      </c>
    </row>
    <row r="514" spans="2:10" x14ac:dyDescent="0.25">
      <c r="B514" s="1089" t="s">
        <v>672</v>
      </c>
      <c r="C514" s="1090">
        <v>2100</v>
      </c>
      <c r="D514" s="1089">
        <v>1721000</v>
      </c>
      <c r="E514" s="1091">
        <v>1293000</v>
      </c>
      <c r="F514" s="1092">
        <v>15050</v>
      </c>
      <c r="G514" s="1089">
        <v>125.08</v>
      </c>
      <c r="H514" s="1091">
        <v>0.20477100000000001</v>
      </c>
      <c r="I514" s="1091">
        <v>1.7827000000000001E-3</v>
      </c>
      <c r="J514" s="1092">
        <v>129.82</v>
      </c>
    </row>
    <row r="515" spans="2:10" x14ac:dyDescent="0.25">
      <c r="B515" s="1089" t="s">
        <v>687</v>
      </c>
      <c r="C515" s="1090">
        <v>2100</v>
      </c>
      <c r="D515" s="1089">
        <v>1721000</v>
      </c>
      <c r="E515" s="1091">
        <v>1293000</v>
      </c>
      <c r="F515" s="1092">
        <v>15050</v>
      </c>
      <c r="G515" s="1089">
        <v>125.08</v>
      </c>
      <c r="H515" s="1091">
        <v>0.20477100000000001</v>
      </c>
      <c r="I515" s="1091">
        <v>1.7827000000000001E-3</v>
      </c>
      <c r="J515" s="1092">
        <v>129.82</v>
      </c>
    </row>
    <row r="516" spans="2:10" x14ac:dyDescent="0.25">
      <c r="B516" s="1089" t="s">
        <v>673</v>
      </c>
      <c r="C516" s="1090">
        <v>2100</v>
      </c>
      <c r="D516" s="1089">
        <v>1721000</v>
      </c>
      <c r="E516" s="1091">
        <v>1293000</v>
      </c>
      <c r="F516" s="1092">
        <v>15050</v>
      </c>
      <c r="G516" s="1089">
        <v>125.08</v>
      </c>
      <c r="H516" s="1091">
        <v>0.20477100000000001</v>
      </c>
      <c r="I516" s="1091">
        <v>1.7827000000000001E-3</v>
      </c>
      <c r="J516" s="1092">
        <v>129.82</v>
      </c>
    </row>
    <row r="517" spans="2:10" x14ac:dyDescent="0.25">
      <c r="B517" s="1089" t="s">
        <v>1069</v>
      </c>
      <c r="C517" s="1090">
        <v>2100</v>
      </c>
      <c r="D517" s="1089">
        <v>1022000</v>
      </c>
      <c r="E517" s="1091">
        <v>1021000</v>
      </c>
      <c r="F517" s="1092">
        <v>15510</v>
      </c>
      <c r="G517" s="1089">
        <v>1.6964999999999999</v>
      </c>
      <c r="H517" s="1091">
        <v>0.14096238999999999</v>
      </c>
      <c r="I517" s="1091">
        <v>3.2765999999999998E-5</v>
      </c>
      <c r="J517" s="1092">
        <v>5.9536999999999995</v>
      </c>
    </row>
    <row r="518" spans="2:10" x14ac:dyDescent="0.25">
      <c r="B518" s="1089" t="s">
        <v>705</v>
      </c>
      <c r="C518" s="1090">
        <v>2100</v>
      </c>
      <c r="D518" s="1089">
        <v>1022000</v>
      </c>
      <c r="E518" s="1091">
        <v>1021000</v>
      </c>
      <c r="F518" s="1092">
        <v>15510</v>
      </c>
      <c r="G518" s="1089">
        <v>1.6964999999999999</v>
      </c>
      <c r="H518" s="1091">
        <v>0.14096238999999999</v>
      </c>
      <c r="I518" s="1091">
        <v>3.2765999999999998E-5</v>
      </c>
      <c r="J518" s="1092">
        <v>5.9536999999999995</v>
      </c>
    </row>
    <row r="519" spans="2:10" x14ac:dyDescent="0.25">
      <c r="B519" s="1089" t="s">
        <v>706</v>
      </c>
      <c r="C519" s="1090">
        <v>2100</v>
      </c>
      <c r="D519" s="1089">
        <v>1022000</v>
      </c>
      <c r="E519" s="1091">
        <v>1021000</v>
      </c>
      <c r="F519" s="1092">
        <v>15510</v>
      </c>
      <c r="G519" s="1089">
        <v>1.6964999999999999</v>
      </c>
      <c r="H519" s="1091">
        <v>0.14096238999999999</v>
      </c>
      <c r="I519" s="1091">
        <v>3.2765999999999998E-5</v>
      </c>
      <c r="J519" s="1092">
        <v>5.9536999999999995</v>
      </c>
    </row>
    <row r="520" spans="2:10" x14ac:dyDescent="0.25">
      <c r="B520" s="1089" t="s">
        <v>899</v>
      </c>
      <c r="C520" s="1090">
        <v>2100</v>
      </c>
      <c r="D520" s="1089">
        <v>1209000</v>
      </c>
      <c r="E520" s="1091">
        <v>1202000</v>
      </c>
      <c r="F520" s="1092">
        <v>1052000</v>
      </c>
      <c r="G520" s="1089">
        <v>17.969000000000001</v>
      </c>
      <c r="H520" s="1091">
        <v>0.164128</v>
      </c>
      <c r="I520" s="1091">
        <v>2.9025999999999998E-4</v>
      </c>
      <c r="J520" s="1092">
        <v>22.988</v>
      </c>
    </row>
    <row r="521" spans="2:10" x14ac:dyDescent="0.25">
      <c r="B521" s="1089" t="s">
        <v>897</v>
      </c>
      <c r="C521" s="1090">
        <v>2100</v>
      </c>
      <c r="D521" s="1089">
        <v>1585000</v>
      </c>
      <c r="E521" s="1091">
        <v>696300</v>
      </c>
      <c r="F521" s="1092">
        <v>286000</v>
      </c>
      <c r="G521" s="1089">
        <v>38.049999999999997</v>
      </c>
      <c r="H521" s="1091">
        <v>0.1118</v>
      </c>
      <c r="I521" s="1091">
        <v>2.5350000000000001E-2</v>
      </c>
      <c r="J521" s="1092">
        <v>45.19</v>
      </c>
    </row>
    <row r="522" spans="2:10" x14ac:dyDescent="0.25">
      <c r="B522" s="1089" t="s">
        <v>900</v>
      </c>
      <c r="C522" s="1090">
        <v>2100</v>
      </c>
      <c r="D522" s="1089">
        <v>1249000</v>
      </c>
      <c r="E522" s="1091">
        <v>1242000</v>
      </c>
      <c r="F522" s="1092">
        <v>1078000</v>
      </c>
      <c r="G522" s="1089">
        <v>23.84</v>
      </c>
      <c r="H522" s="1091">
        <v>0.16985799999999998</v>
      </c>
      <c r="I522" s="1091">
        <v>3.7813000000000001E-4</v>
      </c>
      <c r="J522" s="1092">
        <v>29.157000000000004</v>
      </c>
    </row>
    <row r="523" spans="2:10" x14ac:dyDescent="0.25">
      <c r="B523" s="1089" t="s">
        <v>1063</v>
      </c>
      <c r="C523" s="1090">
        <v>2100</v>
      </c>
      <c r="D523" s="1089">
        <v>1190000</v>
      </c>
      <c r="E523" s="1091">
        <v>51590</v>
      </c>
      <c r="F523" s="1092">
        <v>29220</v>
      </c>
      <c r="G523" s="1089">
        <v>3.7582</v>
      </c>
      <c r="H523" s="1091">
        <v>8.4366999999999984E-3</v>
      </c>
      <c r="I523" s="1091">
        <v>-3.8261190000000002E-3</v>
      </c>
      <c r="J523" s="1092">
        <v>3.0054000000000003</v>
      </c>
    </row>
    <row r="524" spans="2:10" x14ac:dyDescent="0.25">
      <c r="B524" s="1089" t="s">
        <v>804</v>
      </c>
      <c r="C524" s="1090">
        <v>2100</v>
      </c>
      <c r="D524" s="1089">
        <v>1190000</v>
      </c>
      <c r="E524" s="1091">
        <v>51590</v>
      </c>
      <c r="F524" s="1092">
        <v>29220</v>
      </c>
      <c r="G524" s="1089">
        <v>3.7582</v>
      </c>
      <c r="H524" s="1091">
        <v>8.4366999999999984E-3</v>
      </c>
      <c r="I524" s="1091">
        <v>-3.8261190000000002E-3</v>
      </c>
      <c r="J524" s="1092">
        <v>3.0054000000000003</v>
      </c>
    </row>
    <row r="525" spans="2:10" x14ac:dyDescent="0.25">
      <c r="B525" s="1089" t="s">
        <v>812</v>
      </c>
      <c r="C525" s="1090">
        <v>2100</v>
      </c>
      <c r="D525" s="1089">
        <v>1190000</v>
      </c>
      <c r="E525" s="1091">
        <v>51590</v>
      </c>
      <c r="F525" s="1092">
        <v>29220</v>
      </c>
      <c r="G525" s="1089">
        <v>3.7582</v>
      </c>
      <c r="H525" s="1091">
        <v>8.4366999999999984E-3</v>
      </c>
      <c r="I525" s="1091">
        <v>-3.8261190000000002E-3</v>
      </c>
      <c r="J525" s="1092">
        <v>3.0054000000000003</v>
      </c>
    </row>
    <row r="526" spans="2:10" ht="13.8" thickBot="1" x14ac:dyDescent="0.3">
      <c r="B526" s="1093" t="s">
        <v>1070</v>
      </c>
      <c r="C526" s="1094">
        <v>2100</v>
      </c>
      <c r="D526" s="1093">
        <v>1384000</v>
      </c>
      <c r="E526" s="1095">
        <v>1383000</v>
      </c>
      <c r="F526" s="1096">
        <v>5034</v>
      </c>
      <c r="G526" s="1093">
        <v>78.571100000000001</v>
      </c>
      <c r="H526" s="1095">
        <v>0.27494000000000002</v>
      </c>
      <c r="I526" s="1095">
        <v>2.3304000000000003E-3</v>
      </c>
      <c r="J526" s="1096">
        <v>87.594300000000004</v>
      </c>
    </row>
  </sheetData>
  <mergeCells count="23">
    <mergeCell ref="K93:L93"/>
    <mergeCell ref="A92:B92"/>
    <mergeCell ref="A58:K58"/>
    <mergeCell ref="A53:K53"/>
    <mergeCell ref="C135:E135"/>
    <mergeCell ref="F135:H135"/>
    <mergeCell ref="A54:K54"/>
    <mergeCell ref="G92:H92"/>
    <mergeCell ref="D93:E93"/>
    <mergeCell ref="A55:K55"/>
    <mergeCell ref="A61:K61"/>
    <mergeCell ref="A62:K62"/>
    <mergeCell ref="K92:L92"/>
    <mergeCell ref="A52:K52"/>
    <mergeCell ref="A51:K51"/>
    <mergeCell ref="D92:E92"/>
    <mergeCell ref="A59:K59"/>
    <mergeCell ref="A2:K2"/>
    <mergeCell ref="A3:K3"/>
    <mergeCell ref="C4:E4"/>
    <mergeCell ref="G4:I4"/>
    <mergeCell ref="A56:K56"/>
    <mergeCell ref="A57:K57"/>
  </mergeCells>
  <phoneticPr fontId="3" type="noConversion"/>
  <dataValidations disablePrompts="1" count="2">
    <dataValidation type="list" allowBlank="1" showInputMessage="1" showErrorMessage="1" sqref="J71:J89" xr:uid="{00000000-0002-0000-0E00-000000000000}">
      <formula1>Feed_Type_List</formula1>
    </dataValidation>
    <dataValidation type="list" allowBlank="1" showInputMessage="1" showErrorMessage="1" sqref="L71:L89"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251460</xdr:colOff>
                    <xdr:row>1</xdr:row>
                    <xdr:rowOff>22860</xdr:rowOff>
                  </from>
                  <to>
                    <xdr:col>13</xdr:col>
                    <xdr:colOff>38100</xdr:colOff>
                    <xdr:row>4</xdr:row>
                    <xdr:rowOff>99060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99060</xdr:colOff>
                    <xdr:row>68</xdr:row>
                    <xdr:rowOff>60960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33203125" defaultRowHeight="13.2" x14ac:dyDescent="0.25"/>
  <cols>
    <col min="1" max="1" width="19" style="36" customWidth="1"/>
    <col min="2" max="2" width="16" style="36" customWidth="1"/>
    <col min="3" max="3" width="17.33203125" style="36" customWidth="1"/>
    <col min="4" max="4" width="17.6640625" style="36" customWidth="1"/>
    <col min="5" max="5" width="14.33203125" style="36" customWidth="1"/>
    <col min="6" max="6" width="20.6640625" style="36" customWidth="1"/>
    <col min="7" max="7" width="22.44140625" style="36" customWidth="1"/>
    <col min="8" max="16384" width="9.33203125" style="36"/>
  </cols>
  <sheetData>
    <row r="1" spans="1:12" ht="30.75" customHeight="1" x14ac:dyDescent="0.3">
      <c r="A1" s="35" t="s">
        <v>31</v>
      </c>
    </row>
    <row r="2" spans="1:12" ht="15" customHeight="1" x14ac:dyDescent="0.25">
      <c r="A2"/>
      <c r="B2"/>
      <c r="C2"/>
      <c r="D2"/>
      <c r="E2"/>
      <c r="G2" s="37"/>
      <c r="K2" s="38"/>
      <c r="L2" s="39"/>
    </row>
    <row r="3" spans="1:12" ht="15" customHeight="1" x14ac:dyDescent="0.25">
      <c r="A3"/>
      <c r="B3"/>
      <c r="C3"/>
      <c r="D3"/>
      <c r="E3"/>
      <c r="F3" s="42"/>
      <c r="G3" s="42"/>
      <c r="H3" s="37"/>
      <c r="K3" s="38"/>
      <c r="L3" s="39"/>
    </row>
    <row r="4" spans="1:12" ht="15" customHeight="1" x14ac:dyDescent="0.25">
      <c r="A4"/>
      <c r="B4"/>
      <c r="C4"/>
      <c r="D4"/>
      <c r="E4"/>
      <c r="F4" s="42"/>
      <c r="G4" s="42"/>
      <c r="H4" s="37"/>
      <c r="K4" s="38"/>
      <c r="L4" s="39"/>
    </row>
    <row r="5" spans="1:12" ht="15" customHeight="1" x14ac:dyDescent="0.25">
      <c r="A5"/>
      <c r="B5"/>
      <c r="C5"/>
      <c r="D5"/>
      <c r="E5"/>
      <c r="G5" s="37"/>
      <c r="K5" s="43"/>
      <c r="L5" s="39"/>
    </row>
    <row r="6" spans="1:12" ht="15" customHeight="1" x14ac:dyDescent="0.25">
      <c r="A6"/>
      <c r="B6"/>
      <c r="C6"/>
      <c r="D6"/>
      <c r="E6"/>
      <c r="G6" s="37"/>
      <c r="K6" s="43"/>
      <c r="L6" s="39"/>
    </row>
    <row r="7" spans="1:12" ht="15" customHeight="1" x14ac:dyDescent="0.25">
      <c r="A7"/>
      <c r="B7"/>
      <c r="C7"/>
      <c r="D7"/>
      <c r="E7"/>
      <c r="G7" s="37"/>
      <c r="K7" s="43"/>
      <c r="L7" s="39"/>
    </row>
    <row r="8" spans="1:12" x14ac:dyDescent="0.25">
      <c r="A8"/>
      <c r="B8"/>
      <c r="C8"/>
      <c r="D8"/>
      <c r="E8"/>
    </row>
    <row r="9" spans="1:12" x14ac:dyDescent="0.25">
      <c r="A9"/>
      <c r="B9"/>
      <c r="C9"/>
      <c r="D9"/>
      <c r="E9"/>
    </row>
    <row r="10" spans="1:12" ht="13.8" thickBot="1" x14ac:dyDescent="0.3"/>
    <row r="11" spans="1:12" s="51" customFormat="1" ht="24.75" customHeight="1" thickTop="1" thickBot="1" x14ac:dyDescent="0.35">
      <c r="A11" s="47" t="s">
        <v>38</v>
      </c>
      <c r="B11" s="48"/>
      <c r="C11" s="49"/>
      <c r="D11" s="49"/>
      <c r="E11" s="49"/>
      <c r="F11" s="49"/>
      <c r="G11" s="50"/>
    </row>
    <row r="12" spans="1:12" s="51" customFormat="1" ht="24.75" customHeight="1" thickTop="1" thickBot="1" x14ac:dyDescent="0.35">
      <c r="A12" s="1141"/>
      <c r="B12" s="1711"/>
      <c r="C12" s="1712"/>
      <c r="D12" s="1712"/>
      <c r="E12" s="1712"/>
      <c r="F12" s="1712"/>
      <c r="G12" s="1712"/>
    </row>
    <row r="13" spans="1:12" s="51" customFormat="1" ht="21" customHeight="1" thickTop="1" x14ac:dyDescent="0.25">
      <c r="A13" s="52" t="s">
        <v>39</v>
      </c>
      <c r="B13" s="53" t="s">
        <v>40</v>
      </c>
      <c r="C13" s="54" t="s">
        <v>41</v>
      </c>
      <c r="D13" s="54" t="s">
        <v>42</v>
      </c>
      <c r="E13" s="54" t="s">
        <v>43</v>
      </c>
      <c r="F13" s="54" t="s">
        <v>44</v>
      </c>
      <c r="G13" s="55" t="s">
        <v>45</v>
      </c>
    </row>
    <row r="14" spans="1:12" s="51" customFormat="1" ht="15" customHeight="1" x14ac:dyDescent="0.25">
      <c r="A14" s="873">
        <f>'Cash Flow Analysis'!B65</f>
        <v>1</v>
      </c>
      <c r="B14" s="1142">
        <f>IF(B13="","",IF('Cash Flow Analysis'!$B$31=0,"N/A",IF(A14=1,1,IF(A13=debt_period,"",B13+1))))</f>
        <v>1</v>
      </c>
      <c r="C14" s="876">
        <f ca="1">IF(OR(A14="",B14="",B14="N/A"),"",IF(B14=1,-'Cash Flow Analysis'!G65,IF(B14="N/A",0,G13)))</f>
        <v>1247544.4675126395</v>
      </c>
      <c r="D14" s="876">
        <f ca="1">IF(debt_period=0,
E14+F14,
IF(OR(A14="",B14="",B14="N/A"),"",IF(B14=1,((debt_interest*(1+debt_interest)^debt_period)/((1+debt_interest)^debt_period-1))*(-'Cash Flow Analysis'!G65),IF(G13=0,"",D13))))</f>
        <v>46159.145297967661</v>
      </c>
      <c r="E14" s="876">
        <f t="shared" ref="E14:E57" ca="1" si="0">IF(OR(A14="",B14="",B14="N/A"),"",C14*debt_interest)</f>
        <v>46159.145297967661</v>
      </c>
      <c r="F14" s="876">
        <f>IF(debt_period=0,
IF(B14=(anal_period+construct),0,0),
IF(OR(A14="",B14="",B14="N/A"),"",D14-E14))</f>
        <v>0</v>
      </c>
      <c r="G14" s="1143">
        <f t="shared" ref="G14:G57" ca="1" si="1">IF(OR(A14="",B14="",B14="N/A"),"",C14-F14)</f>
        <v>1247544.4675126395</v>
      </c>
    </row>
    <row r="15" spans="1:12" s="51" customFormat="1" ht="15" customHeight="1" x14ac:dyDescent="0.25">
      <c r="A15" s="873">
        <f>'Cash Flow Analysis'!B66</f>
        <v>2</v>
      </c>
      <c r="B15" s="1142">
        <f>IF(B14="","",IF('Cash Flow Analysis'!$B$31=0,"N/A",IF(A15=1,1,IF(A14=debt_period,"",B14+1))))</f>
        <v>2</v>
      </c>
      <c r="C15" s="876">
        <f ca="1">IF(OR(A15="",B15="",B15="N/A"),"",IF(B15=1,-'Cash Flow Analysis'!G66,IF(B15="N/A",0,G14)))</f>
        <v>1247544.4675126395</v>
      </c>
      <c r="D15" s="876">
        <f ca="1">IF(debt_period=0,
E15+F15,
IF(OR(A15="",B15="",B15="N/A"),"",IF(B15=1,((debt_interest*(1+debt_interest)^debt_period)/((1+debt_interest)^debt_period-1))*(-'Cash Flow Analysis'!G66),IF(G14=0,"",D14))))</f>
        <v>46159.145297967661</v>
      </c>
      <c r="E15" s="876">
        <f t="shared" ca="1" si="0"/>
        <v>46159.145297967661</v>
      </c>
      <c r="F15" s="876">
        <f>IF(debt_period=0,
IF(B15=(anal_period+construct),C14,0),
IF(OR(A15="",B15="",B15="N/A"),"",D15-E15))</f>
        <v>0</v>
      </c>
      <c r="G15" s="1143">
        <f t="shared" ca="1" si="1"/>
        <v>1247544.4675126395</v>
      </c>
    </row>
    <row r="16" spans="1:12" s="51" customFormat="1" ht="15" customHeight="1" x14ac:dyDescent="0.25">
      <c r="A16" s="873">
        <f>'Cash Flow Analysis'!B67</f>
        <v>3</v>
      </c>
      <c r="B16" s="1142">
        <f>IF(B15="","",IF('Cash Flow Analysis'!$B$31=0,"N/A",IF(A16=1,1,IF(A15=debt_period,"",B15+1))))</f>
        <v>3</v>
      </c>
      <c r="C16" s="876">
        <f ca="1">IF(OR(A16="",B16="",B16="N/A"),"",IF(B16=1,-'Cash Flow Analysis'!G67,IF(B16="N/A",0,G15)))</f>
        <v>1247544.4675126395</v>
      </c>
      <c r="D16" s="876">
        <f ca="1">IF(debt_period=0,
E16+F16,
IF(OR(A16="",B16="",B16="N/A"),"",IF(B16=1,((debt_interest*(1+debt_interest)^debt_period)/((1+debt_interest)^debt_period-1))*(-'Cash Flow Analysis'!G67),IF(G15=0,"",D15))))</f>
        <v>46159.145297967661</v>
      </c>
      <c r="E16" s="876">
        <f t="shared" ca="1" si="0"/>
        <v>46159.145297967661</v>
      </c>
      <c r="F16" s="876">
        <f t="shared" ref="F16:F57" si="2">IF(debt_period=0,
IF(B16=(anal_period+construct),C16,0),
IF(OR(A16="",B16="",B16="N/A"),"",D16-E16))</f>
        <v>0</v>
      </c>
      <c r="G16" s="1143">
        <f t="shared" ca="1" si="1"/>
        <v>1247544.4675126395</v>
      </c>
    </row>
    <row r="17" spans="1:7" s="51" customFormat="1" ht="15" customHeight="1" x14ac:dyDescent="0.25">
      <c r="A17" s="873">
        <f>'Cash Flow Analysis'!B68</f>
        <v>4</v>
      </c>
      <c r="B17" s="1142">
        <f>IF(B16="","",IF('Cash Flow Analysis'!$B$31=0,"N/A",IF(A17=1,1,IF(A16=debt_period,"",B16+1))))</f>
        <v>4</v>
      </c>
      <c r="C17" s="876">
        <f ca="1">IF(OR(A17="",B17="",B17="N/A"),"",IF(B17=1,-'Cash Flow Analysis'!G68,IF(B17="N/A",0,G16)))</f>
        <v>1247544.4675126395</v>
      </c>
      <c r="D17" s="876">
        <f ca="1">IF(debt_period=0,
E17+F17,
IF(OR(A17="",B17="",B17="N/A"),"",IF(B17=1,((debt_interest*(1+debt_interest)^debt_period)/((1+debt_interest)^debt_period-1))*(-'Cash Flow Analysis'!G68),IF(G16=0,"",D16))))</f>
        <v>46159.145297967661</v>
      </c>
      <c r="E17" s="876">
        <f t="shared" ca="1" si="0"/>
        <v>46159.145297967661</v>
      </c>
      <c r="F17" s="876">
        <f t="shared" si="2"/>
        <v>0</v>
      </c>
      <c r="G17" s="1143">
        <f t="shared" ca="1" si="1"/>
        <v>1247544.4675126395</v>
      </c>
    </row>
    <row r="18" spans="1:7" s="51" customFormat="1" ht="15" customHeight="1" x14ac:dyDescent="0.25">
      <c r="A18" s="873">
        <f>'Cash Flow Analysis'!B69</f>
        <v>5</v>
      </c>
      <c r="B18" s="1142">
        <f>IF(B17="","",IF('Cash Flow Analysis'!$B$31=0,"N/A",IF(A18=1,1,IF(A17=debt_period,"",B17+1))))</f>
        <v>5</v>
      </c>
      <c r="C18" s="876">
        <f ca="1">IF(OR(A18="",B18="",B18="N/A"),"",IF(B18=1,-'Cash Flow Analysis'!G69,IF(B18="N/A",0,G17)))</f>
        <v>1247544.4675126395</v>
      </c>
      <c r="D18" s="876">
        <f ca="1">IF(debt_period=0,
E18+F18,
IF(OR(A18="",B18="",B18="N/A"),"",IF(B18=1,((debt_interest*(1+debt_interest)^debt_period)/((1+debt_interest)^debt_period-1))*(-'Cash Flow Analysis'!G69),IF(G17=0,"",D17))))</f>
        <v>46159.145297967661</v>
      </c>
      <c r="E18" s="876">
        <f t="shared" ca="1" si="0"/>
        <v>46159.145297967661</v>
      </c>
      <c r="F18" s="876">
        <f t="shared" si="2"/>
        <v>0</v>
      </c>
      <c r="G18" s="1143">
        <f t="shared" ca="1" si="1"/>
        <v>1247544.4675126395</v>
      </c>
    </row>
    <row r="19" spans="1:7" s="51" customFormat="1" ht="15" customHeight="1" x14ac:dyDescent="0.25">
      <c r="A19" s="873">
        <f>'Cash Flow Analysis'!B70</f>
        <v>6</v>
      </c>
      <c r="B19" s="1142">
        <f>IF(B18="","",IF('Cash Flow Analysis'!$B$31=0,"N/A",IF(A19=1,1,IF(A18=debt_period,"",B18+1))))</f>
        <v>6</v>
      </c>
      <c r="C19" s="876">
        <f ca="1">IF(OR(A19="",B19="",B19="N/A"),"",IF(B19=1,-'Cash Flow Analysis'!G70,IF(B19="N/A",0,G18)))</f>
        <v>1247544.4675126395</v>
      </c>
      <c r="D19" s="876">
        <f ca="1">IF(debt_period=0,
E19+F19,
IF(OR(A19="",B19="",B19="N/A"),"",IF(B19=1,((debt_interest*(1+debt_interest)^debt_period)/((1+debt_interest)^debt_period-1))*(-'Cash Flow Analysis'!G70),IF(G18=0,"",D18))))</f>
        <v>46159.145297967661</v>
      </c>
      <c r="E19" s="876">
        <f t="shared" ca="1" si="0"/>
        <v>46159.145297967661</v>
      </c>
      <c r="F19" s="876">
        <f t="shared" si="2"/>
        <v>0</v>
      </c>
      <c r="G19" s="1143">
        <f t="shared" ca="1" si="1"/>
        <v>1247544.4675126395</v>
      </c>
    </row>
    <row r="20" spans="1:7" s="51" customFormat="1" ht="15" customHeight="1" x14ac:dyDescent="0.25">
      <c r="A20" s="873">
        <f>'Cash Flow Analysis'!B71</f>
        <v>7</v>
      </c>
      <c r="B20" s="1142">
        <f>IF(B19="","",IF('Cash Flow Analysis'!$B$31=0,"N/A",IF(A20=1,1,IF(A19=debt_period,"",B19+1))))</f>
        <v>7</v>
      </c>
      <c r="C20" s="876">
        <f ca="1">IF(OR(A20="",B20="",B20="N/A"),"",IF(B20=1,-'Cash Flow Analysis'!G71,IF(B20="N/A",0,G19)))</f>
        <v>1247544.4675126395</v>
      </c>
      <c r="D20" s="876">
        <f ca="1">IF(debt_period=0,
E20+F20,
IF(OR(A20="",B20="",B20="N/A"),"",IF(B20=1,((debt_interest*(1+debt_interest)^debt_period)/((1+debt_interest)^debt_period-1))*(-'Cash Flow Analysis'!G71),IF(G19=0,"",D19))))</f>
        <v>46159.145297967661</v>
      </c>
      <c r="E20" s="876">
        <f t="shared" ca="1" si="0"/>
        <v>46159.145297967661</v>
      </c>
      <c r="F20" s="876">
        <f t="shared" si="2"/>
        <v>0</v>
      </c>
      <c r="G20" s="1143">
        <f t="shared" ca="1" si="1"/>
        <v>1247544.4675126395</v>
      </c>
    </row>
    <row r="21" spans="1:7" s="51" customFormat="1" ht="15" customHeight="1" x14ac:dyDescent="0.25">
      <c r="A21" s="873">
        <f>'Cash Flow Analysis'!B72</f>
        <v>8</v>
      </c>
      <c r="B21" s="1142">
        <f>IF(B20="","",IF('Cash Flow Analysis'!$B$31=0,"N/A",IF(A21=1,1,IF(A20=debt_period,"",B20+1))))</f>
        <v>8</v>
      </c>
      <c r="C21" s="876">
        <f ca="1">IF(OR(A21="",B21="",B21="N/A"),"",IF(B21=1,-'Cash Flow Analysis'!G72,IF(B21="N/A",0,G20)))</f>
        <v>1247544.4675126395</v>
      </c>
      <c r="D21" s="876">
        <f ca="1">IF(debt_period=0,
E21+F21,
IF(OR(A21="",B21="",B21="N/A"),"",IF(B21=1,((debt_interest*(1+debt_interest)^debt_period)/((1+debt_interest)^debt_period-1))*(-'Cash Flow Analysis'!G72),IF(G20=0,"",D20))))</f>
        <v>46159.145297967661</v>
      </c>
      <c r="E21" s="876">
        <f t="shared" ca="1" si="0"/>
        <v>46159.145297967661</v>
      </c>
      <c r="F21" s="876">
        <f t="shared" si="2"/>
        <v>0</v>
      </c>
      <c r="G21" s="1143">
        <f t="shared" ca="1" si="1"/>
        <v>1247544.4675126395</v>
      </c>
    </row>
    <row r="22" spans="1:7" s="51" customFormat="1" ht="15" customHeight="1" x14ac:dyDescent="0.25">
      <c r="A22" s="873">
        <f>'Cash Flow Analysis'!B73</f>
        <v>9</v>
      </c>
      <c r="B22" s="1142">
        <f>IF(B21="","",IF('Cash Flow Analysis'!$B$31=0,"N/A",IF(A22=1,1,IF(A21=debt_period,"",B21+1))))</f>
        <v>9</v>
      </c>
      <c r="C22" s="876">
        <f ca="1">IF(OR(A22="",B22="",B22="N/A"),"",IF(B22=1,-'Cash Flow Analysis'!G73,IF(B22="N/A",0,G21)))</f>
        <v>1247544.4675126395</v>
      </c>
      <c r="D22" s="876">
        <f ca="1">IF(debt_period=0,
E22+F22,
IF(OR(A22="",B22="",B22="N/A"),"",IF(B22=1,((debt_interest*(1+debt_interest)^debt_period)/((1+debt_interest)^debt_period-1))*(-'Cash Flow Analysis'!G73),IF(G21=0,"",D21))))</f>
        <v>46159.145297967661</v>
      </c>
      <c r="E22" s="876">
        <f t="shared" ca="1" si="0"/>
        <v>46159.145297967661</v>
      </c>
      <c r="F22" s="876">
        <f t="shared" si="2"/>
        <v>0</v>
      </c>
      <c r="G22" s="1143">
        <f t="shared" ca="1" si="1"/>
        <v>1247544.4675126395</v>
      </c>
    </row>
    <row r="23" spans="1:7" s="51" customFormat="1" ht="15" customHeight="1" x14ac:dyDescent="0.25">
      <c r="A23" s="873">
        <f>'Cash Flow Analysis'!B74</f>
        <v>10</v>
      </c>
      <c r="B23" s="1142">
        <f>IF(B22="","",IF('Cash Flow Analysis'!$B$31=0,"N/A",IF(A23=1,1,IF(A22=debt_period,"",B22+1))))</f>
        <v>10</v>
      </c>
      <c r="C23" s="876">
        <f ca="1">IF(OR(A23="",B23="",B23="N/A"),"",IF(B23=1,-'Cash Flow Analysis'!G74,IF(B23="N/A",0,G22)))</f>
        <v>1247544.4675126395</v>
      </c>
      <c r="D23" s="876">
        <f ca="1">IF(debt_period=0,
E23+F23,
IF(OR(A23="",B23="",B23="N/A"),"",IF(B23=1,((debt_interest*(1+debt_interest)^debt_period)/((1+debt_interest)^debt_period-1))*(-'Cash Flow Analysis'!G74),IF(G22=0,"",D22))))</f>
        <v>46159.145297967661</v>
      </c>
      <c r="E23" s="876">
        <f t="shared" ca="1" si="0"/>
        <v>46159.145297967661</v>
      </c>
      <c r="F23" s="876">
        <f t="shared" si="2"/>
        <v>0</v>
      </c>
      <c r="G23" s="1143">
        <f t="shared" ca="1" si="1"/>
        <v>1247544.4675126395</v>
      </c>
    </row>
    <row r="24" spans="1:7" s="51" customFormat="1" ht="15" customHeight="1" x14ac:dyDescent="0.25">
      <c r="A24" s="873">
        <f>'Cash Flow Analysis'!B75</f>
        <v>11</v>
      </c>
      <c r="B24" s="1142">
        <f>IF(B23="","",IF('Cash Flow Analysis'!$B$31=0,"N/A",IF(A24=1,1,IF(A23=debt_period,"",B23+1))))</f>
        <v>11</v>
      </c>
      <c r="C24" s="876">
        <f ca="1">IF(OR(A24="",B24="",B24="N/A"),"",IF(B24=1,-'Cash Flow Analysis'!G75,IF(B24="N/A",0,G23)))</f>
        <v>1247544.4675126395</v>
      </c>
      <c r="D24" s="876">
        <f ca="1">IF(debt_period=0,
E24+F24,
IF(OR(A24="",B24="",B24="N/A"),"",IF(B24=1,((debt_interest*(1+debt_interest)^debt_period)/((1+debt_interest)^debt_period-1))*(-'Cash Flow Analysis'!G75),IF(G23=0,"",D23))))</f>
        <v>46159.145297967661</v>
      </c>
      <c r="E24" s="876">
        <f t="shared" ca="1" si="0"/>
        <v>46159.145297967661</v>
      </c>
      <c r="F24" s="876">
        <f t="shared" si="2"/>
        <v>0</v>
      </c>
      <c r="G24" s="1143">
        <f t="shared" ca="1" si="1"/>
        <v>1247544.4675126395</v>
      </c>
    </row>
    <row r="25" spans="1:7" s="51" customFormat="1" ht="15" customHeight="1" x14ac:dyDescent="0.25">
      <c r="A25" s="873">
        <f>'Cash Flow Analysis'!B76</f>
        <v>12</v>
      </c>
      <c r="B25" s="1142">
        <f>IF(B24="","",IF('Cash Flow Analysis'!$B$31=0,"N/A",IF(A25=1,1,IF(A24=debt_period,"",B24+1))))</f>
        <v>12</v>
      </c>
      <c r="C25" s="876">
        <f ca="1">IF(OR(A25="",B25="",B25="N/A"),"",IF(B25=1,-'Cash Flow Analysis'!G76,IF(B25="N/A",0,G24)))</f>
        <v>1247544.4675126395</v>
      </c>
      <c r="D25" s="876">
        <f ca="1">IF(debt_period=0,
E25+F25,
IF(OR(A25="",B25="",B25="N/A"),"",IF(B25=1,((debt_interest*(1+debt_interest)^debt_period)/((1+debt_interest)^debt_period-1))*(-'Cash Flow Analysis'!G76),IF(G24=0,"",D24))))</f>
        <v>46159.145297967661</v>
      </c>
      <c r="E25" s="876">
        <f t="shared" ca="1" si="0"/>
        <v>46159.145297967661</v>
      </c>
      <c r="F25" s="876">
        <f t="shared" si="2"/>
        <v>0</v>
      </c>
      <c r="G25" s="1143">
        <f t="shared" ca="1" si="1"/>
        <v>1247544.4675126395</v>
      </c>
    </row>
    <row r="26" spans="1:7" s="51" customFormat="1" ht="15" customHeight="1" x14ac:dyDescent="0.25">
      <c r="A26" s="873">
        <f>'Cash Flow Analysis'!B77</f>
        <v>13</v>
      </c>
      <c r="B26" s="1142">
        <f>IF(B25="","",IF('Cash Flow Analysis'!$B$31=0,"N/A",IF(A26=1,1,IF(A25=debt_period,"",B25+1))))</f>
        <v>13</v>
      </c>
      <c r="C26" s="876">
        <f ca="1">IF(OR(A26="",B26="",B26="N/A"),"",IF(B26=1,-'Cash Flow Analysis'!G77,IF(B26="N/A",0,G25)))</f>
        <v>1247544.4675126395</v>
      </c>
      <c r="D26" s="876">
        <f ca="1">IF(debt_period=0,
E26+F26,
IF(OR(A26="",B26="",B26="N/A"),"",IF(B26=1,((debt_interest*(1+debt_interest)^debt_period)/((1+debt_interest)^debt_period-1))*(-'Cash Flow Analysis'!G77),IF(G25=0,"",D25))))</f>
        <v>46159.145297967661</v>
      </c>
      <c r="E26" s="876">
        <f t="shared" ca="1" si="0"/>
        <v>46159.145297967661</v>
      </c>
      <c r="F26" s="876">
        <f t="shared" si="2"/>
        <v>0</v>
      </c>
      <c r="G26" s="1143">
        <f t="shared" ca="1" si="1"/>
        <v>1247544.4675126395</v>
      </c>
    </row>
    <row r="27" spans="1:7" s="51" customFormat="1" ht="15" customHeight="1" x14ac:dyDescent="0.25">
      <c r="A27" s="873">
        <f>'Cash Flow Analysis'!B78</f>
        <v>14</v>
      </c>
      <c r="B27" s="1142">
        <f>IF(B26="","",IF('Cash Flow Analysis'!$B$31=0,"N/A",IF(A27=1,1,IF(A26=debt_period,"",B26+1))))</f>
        <v>14</v>
      </c>
      <c r="C27" s="876">
        <f ca="1">IF(OR(A27="",B27="",B27="N/A"),"",IF(B27=1,-'Cash Flow Analysis'!G78,IF(B27="N/A",0,G26)))</f>
        <v>1247544.4675126395</v>
      </c>
      <c r="D27" s="876">
        <f ca="1">IF(debt_period=0,
E27+F27,
IF(OR(A27="",B27="",B27="N/A"),"",IF(B27=1,((debt_interest*(1+debt_interest)^debt_period)/((1+debt_interest)^debt_period-1))*(-'Cash Flow Analysis'!G78),IF(G26=0,"",D26))))</f>
        <v>46159.145297967661</v>
      </c>
      <c r="E27" s="876">
        <f t="shared" ca="1" si="0"/>
        <v>46159.145297967661</v>
      </c>
      <c r="F27" s="876">
        <f t="shared" si="2"/>
        <v>0</v>
      </c>
      <c r="G27" s="1143">
        <f t="shared" ca="1" si="1"/>
        <v>1247544.4675126395</v>
      </c>
    </row>
    <row r="28" spans="1:7" s="51" customFormat="1" ht="15" customHeight="1" x14ac:dyDescent="0.25">
      <c r="A28" s="873">
        <f>'Cash Flow Analysis'!B79</f>
        <v>15</v>
      </c>
      <c r="B28" s="1142">
        <f>IF(B27="","",IF('Cash Flow Analysis'!$B$31=0,"N/A",IF(A28=1,1,IF(A27=debt_period,"",B27+1))))</f>
        <v>15</v>
      </c>
      <c r="C28" s="876">
        <f ca="1">IF(OR(A28="",B28="",B28="N/A"),"",IF(B28=1,-'Cash Flow Analysis'!G79,IF(B28="N/A",0,G27)))</f>
        <v>1247544.4675126395</v>
      </c>
      <c r="D28" s="876">
        <f ca="1">IF(debt_period=0,
E28+F28,
IF(OR(A28="",B28="",B28="N/A"),"",IF(B28=1,((debt_interest*(1+debt_interest)^debt_period)/((1+debt_interest)^debt_period-1))*(-'Cash Flow Analysis'!G79),IF(G27=0,"",D27))))</f>
        <v>46159.145297967661</v>
      </c>
      <c r="E28" s="876">
        <f t="shared" ca="1" si="0"/>
        <v>46159.145297967661</v>
      </c>
      <c r="F28" s="876">
        <f t="shared" si="2"/>
        <v>0</v>
      </c>
      <c r="G28" s="1143">
        <f t="shared" ca="1" si="1"/>
        <v>1247544.4675126395</v>
      </c>
    </row>
    <row r="29" spans="1:7" s="51" customFormat="1" ht="15" customHeight="1" x14ac:dyDescent="0.25">
      <c r="A29" s="873">
        <f>'Cash Flow Analysis'!B80</f>
        <v>16</v>
      </c>
      <c r="B29" s="1142">
        <f>IF(B28="","",IF('Cash Flow Analysis'!$B$31=0,"N/A",IF(A29=1,1,IF(A28=debt_period,"",B28+1))))</f>
        <v>16</v>
      </c>
      <c r="C29" s="876">
        <f ca="1">IF(OR(A29="",B29="",B29="N/A"),"",IF(B29=1,-'Cash Flow Analysis'!G80,IF(B29="N/A",0,G28)))</f>
        <v>1247544.4675126395</v>
      </c>
      <c r="D29" s="876">
        <f ca="1">IF(debt_period=0,
E29+F29,
IF(OR(A29="",B29="",B29="N/A"),"",IF(B29=1,((debt_interest*(1+debt_interest)^debt_period)/((1+debt_interest)^debt_period-1))*(-'Cash Flow Analysis'!G80),IF(G28=0,"",D28))))</f>
        <v>46159.145297967661</v>
      </c>
      <c r="E29" s="876">
        <f t="shared" ca="1" si="0"/>
        <v>46159.145297967661</v>
      </c>
      <c r="F29" s="876">
        <f t="shared" si="2"/>
        <v>0</v>
      </c>
      <c r="G29" s="1143">
        <f t="shared" ca="1" si="1"/>
        <v>1247544.4675126395</v>
      </c>
    </row>
    <row r="30" spans="1:7" s="51" customFormat="1" ht="15" customHeight="1" x14ac:dyDescent="0.25">
      <c r="A30" s="873">
        <f>'Cash Flow Analysis'!B81</f>
        <v>17</v>
      </c>
      <c r="B30" s="1142">
        <f>IF(B29="","",IF('Cash Flow Analysis'!$B$31=0,"N/A",IF(A30=1,1,IF(A29=debt_period,"",B29+1))))</f>
        <v>17</v>
      </c>
      <c r="C30" s="876">
        <f ca="1">IF(OR(A30="",B30="",B30="N/A"),"",IF(B30=1,-'Cash Flow Analysis'!G81,IF(B30="N/A",0,G29)))</f>
        <v>1247544.4675126395</v>
      </c>
      <c r="D30" s="876">
        <f ca="1">IF(debt_period=0,
E30+F30,
IF(OR(A30="",B30="",B30="N/A"),"",IF(B30=1,((debt_interest*(1+debt_interest)^debt_period)/((1+debt_interest)^debt_period-1))*(-'Cash Flow Analysis'!G81),IF(G29=0,"",D29))))</f>
        <v>46159.145297967661</v>
      </c>
      <c r="E30" s="876">
        <f t="shared" ca="1" si="0"/>
        <v>46159.145297967661</v>
      </c>
      <c r="F30" s="876">
        <f t="shared" si="2"/>
        <v>0</v>
      </c>
      <c r="G30" s="1143">
        <f t="shared" ca="1" si="1"/>
        <v>1247544.4675126395</v>
      </c>
    </row>
    <row r="31" spans="1:7" s="51" customFormat="1" ht="15" customHeight="1" x14ac:dyDescent="0.25">
      <c r="A31" s="873">
        <f>'Cash Flow Analysis'!B82</f>
        <v>18</v>
      </c>
      <c r="B31" s="1142">
        <f>IF(B30="","",IF('Cash Flow Analysis'!$B$31=0,"N/A",IF(A31=1,1,IF(A30=debt_period,"",B30+1))))</f>
        <v>18</v>
      </c>
      <c r="C31" s="876">
        <f ca="1">IF(OR(A31="",B31="",B31="N/A"),"",IF(B31=1,-'Cash Flow Analysis'!G82,IF(B31="N/A",0,G30)))</f>
        <v>1247544.4675126395</v>
      </c>
      <c r="D31" s="876">
        <f ca="1">IF(debt_period=0,
E31+F31,
IF(OR(A31="",B31="",B31="N/A"),"",IF(B31=1,((debt_interest*(1+debt_interest)^debt_period)/((1+debt_interest)^debt_period-1))*(-'Cash Flow Analysis'!G82),IF(G30=0,"",D30))))</f>
        <v>46159.145297967661</v>
      </c>
      <c r="E31" s="876">
        <f t="shared" ca="1" si="0"/>
        <v>46159.145297967661</v>
      </c>
      <c r="F31" s="876">
        <f t="shared" si="2"/>
        <v>0</v>
      </c>
      <c r="G31" s="1143">
        <f t="shared" ca="1" si="1"/>
        <v>1247544.4675126395</v>
      </c>
    </row>
    <row r="32" spans="1:7" s="51" customFormat="1" ht="15" customHeight="1" x14ac:dyDescent="0.25">
      <c r="A32" s="873">
        <f>'Cash Flow Analysis'!B83</f>
        <v>19</v>
      </c>
      <c r="B32" s="1142">
        <f>IF(B31="","",IF('Cash Flow Analysis'!$B$31=0,"N/A",IF(A32=1,1,IF(A31=debt_period,"",B31+1))))</f>
        <v>19</v>
      </c>
      <c r="C32" s="876">
        <f ca="1">IF(OR(A32="",B32="",B32="N/A"),"",IF(B32=1,-'Cash Flow Analysis'!G83,IF(B32="N/A",0,G31)))</f>
        <v>1247544.4675126395</v>
      </c>
      <c r="D32" s="876">
        <f ca="1">IF(debt_period=0,
E32+F32,
IF(OR(A32="",B32="",B32="N/A"),"",IF(B32=1,((debt_interest*(1+debt_interest)^debt_period)/((1+debt_interest)^debt_period-1))*(-'Cash Flow Analysis'!G83),IF(G31=0,"",D31))))</f>
        <v>46159.145297967661</v>
      </c>
      <c r="E32" s="876">
        <f t="shared" ca="1" si="0"/>
        <v>46159.145297967661</v>
      </c>
      <c r="F32" s="876">
        <f t="shared" si="2"/>
        <v>0</v>
      </c>
      <c r="G32" s="1143">
        <f t="shared" ca="1" si="1"/>
        <v>1247544.4675126395</v>
      </c>
    </row>
    <row r="33" spans="1:7" s="51" customFormat="1" ht="15" customHeight="1" x14ac:dyDescent="0.25">
      <c r="A33" s="873">
        <f>'Cash Flow Analysis'!B84</f>
        <v>20</v>
      </c>
      <c r="B33" s="1142">
        <f>IF(B32="","",IF('Cash Flow Analysis'!$B$31=0,"N/A",IF(A33=1,1,IF(A32=debt_period,"",B32+1))))</f>
        <v>20</v>
      </c>
      <c r="C33" s="876">
        <f ca="1">IF(OR(A33="",B33="",B33="N/A"),"",IF(B33=1,-'Cash Flow Analysis'!G84,IF(B33="N/A",0,G32)))</f>
        <v>1247544.4675126395</v>
      </c>
      <c r="D33" s="876">
        <f ca="1">IF(debt_period=0,
E33+F33,
IF(OR(A33="",B33="",B33="N/A"),"",IF(B33=1,((debt_interest*(1+debt_interest)^debt_period)/((1+debt_interest)^debt_period-1))*(-'Cash Flow Analysis'!G84),IF(G32=0,"",D32))))</f>
        <v>46159.145297967661</v>
      </c>
      <c r="E33" s="876">
        <f t="shared" ca="1" si="0"/>
        <v>46159.145297967661</v>
      </c>
      <c r="F33" s="876">
        <f t="shared" si="2"/>
        <v>0</v>
      </c>
      <c r="G33" s="1143">
        <f t="shared" ca="1" si="1"/>
        <v>1247544.4675126395</v>
      </c>
    </row>
    <row r="34" spans="1:7" s="51" customFormat="1" ht="15" customHeight="1" x14ac:dyDescent="0.25">
      <c r="A34" s="873">
        <f>'Cash Flow Analysis'!B85</f>
        <v>21</v>
      </c>
      <c r="B34" s="1142">
        <f>IF(B33="","",IF('Cash Flow Analysis'!$B$31=0,"N/A",IF(A34=1,1,IF(A33=debt_period,"",B33+1))))</f>
        <v>21</v>
      </c>
      <c r="C34" s="876">
        <f ca="1">IF(OR(A34="",B34="",B34="N/A"),"",IF(B34=1,-'Cash Flow Analysis'!G85,IF(B34="N/A",0,G33)))</f>
        <v>1247544.4675126395</v>
      </c>
      <c r="D34" s="876">
        <f ca="1">IF(debt_period=0,
E34+F34,
IF(OR(A34="",B34="",B34="N/A"),"",IF(B34=1,((debt_interest*(1+debt_interest)^debt_period)/((1+debt_interest)^debt_period-1))*(-'Cash Flow Analysis'!G85),IF(G33=0,"",D33))))</f>
        <v>1293703.6128106071</v>
      </c>
      <c r="E34" s="876">
        <f t="shared" ca="1" si="0"/>
        <v>46159.145297967661</v>
      </c>
      <c r="F34" s="876">
        <f t="shared" ca="1" si="2"/>
        <v>1247544.4675126395</v>
      </c>
      <c r="G34" s="1143">
        <f t="shared" ca="1" si="1"/>
        <v>0</v>
      </c>
    </row>
    <row r="35" spans="1:7" s="51" customFormat="1" ht="15" customHeight="1" x14ac:dyDescent="0.25">
      <c r="A35" s="873" t="str">
        <f>'Cash Flow Analysis'!B86</f>
        <v/>
      </c>
      <c r="B35" s="1142">
        <f>IF(B34="","",IF('Cash Flow Analysis'!$B$31=0,"N/A",IF(A35=1,1,IF(A34=debt_period,"",B34+1))))</f>
        <v>22</v>
      </c>
      <c r="C35" s="876" t="str">
        <f>IF(OR(A35="",B35="",B35="N/A"),"",IF(B35=1,-'Cash Flow Analysis'!G86,IF(B35="N/A",0,G34)))</f>
        <v/>
      </c>
      <c r="D35" s="876" t="e">
        <f>IF(debt_period=0,
E35+F35,
IF(OR(A35="",B35="",B35="N/A"),"",IF(B35=1,((debt_interest*(1+debt_interest)^debt_period)/((1+debt_interest)^debt_period-1))*(-'Cash Flow Analysis'!G86),IF(G34=0,"",D34))))</f>
        <v>#VALUE!</v>
      </c>
      <c r="E35" s="876" t="str">
        <f t="shared" si="0"/>
        <v/>
      </c>
      <c r="F35" s="876">
        <f t="shared" si="2"/>
        <v>0</v>
      </c>
      <c r="G35" s="1143" t="str">
        <f t="shared" si="1"/>
        <v/>
      </c>
    </row>
    <row r="36" spans="1:7" s="51" customFormat="1" ht="15" customHeight="1" x14ac:dyDescent="0.25">
      <c r="A36" s="873" t="str">
        <f>'Cash Flow Analysis'!B87</f>
        <v/>
      </c>
      <c r="B36" s="1142">
        <f>IF(B35="","",IF('Cash Flow Analysis'!$B$31=0,"N/A",IF(A36=1,1,IF(A35=debt_period,"",B35+1))))</f>
        <v>23</v>
      </c>
      <c r="C36" s="876" t="str">
        <f>IF(OR(A36="",B36="",B36="N/A"),"",IF(B36=1,-'Cash Flow Analysis'!G87,IF(B36="N/A",0,G35)))</f>
        <v/>
      </c>
      <c r="D36" s="876" t="e">
        <f>IF(debt_period=0,
E36+F36,
IF(OR(A36="",B36="",B36="N/A"),"",IF(B36=1,((debt_interest*(1+debt_interest)^debt_period)/((1+debt_interest)^debt_period-1))*(-'Cash Flow Analysis'!G87),IF(G35=0,"",D35))))</f>
        <v>#VALUE!</v>
      </c>
      <c r="E36" s="876" t="str">
        <f t="shared" si="0"/>
        <v/>
      </c>
      <c r="F36" s="876">
        <f t="shared" si="2"/>
        <v>0</v>
      </c>
      <c r="G36" s="1143" t="str">
        <f t="shared" si="1"/>
        <v/>
      </c>
    </row>
    <row r="37" spans="1:7" s="51" customFormat="1" ht="15" customHeight="1" x14ac:dyDescent="0.25">
      <c r="A37" s="873" t="str">
        <f>'Cash Flow Analysis'!B88</f>
        <v/>
      </c>
      <c r="B37" s="1142">
        <f>IF(B36="","",IF('Cash Flow Analysis'!$B$31=0,"N/A",IF(A37=1,1,IF(A36=debt_period,"",B36+1))))</f>
        <v>24</v>
      </c>
      <c r="C37" s="876" t="str">
        <f>IF(OR(A37="",B37="",B37="N/A"),"",IF(B37=1,-'Cash Flow Analysis'!G88,IF(B37="N/A",0,G36)))</f>
        <v/>
      </c>
      <c r="D37" s="876" t="e">
        <f>IF(debt_period=0,
E37+F37,
IF(OR(A37="",B37="",B37="N/A"),"",IF(B37=1,((debt_interest*(1+debt_interest)^debt_period)/((1+debt_interest)^debt_period-1))*(-'Cash Flow Analysis'!G88),IF(G36=0,"",D36))))</f>
        <v>#VALUE!</v>
      </c>
      <c r="E37" s="876" t="str">
        <f t="shared" si="0"/>
        <v/>
      </c>
      <c r="F37" s="876">
        <f t="shared" si="2"/>
        <v>0</v>
      </c>
      <c r="G37" s="1143" t="str">
        <f t="shared" si="1"/>
        <v/>
      </c>
    </row>
    <row r="38" spans="1:7" s="51" customFormat="1" ht="15" customHeight="1" x14ac:dyDescent="0.25">
      <c r="A38" s="873" t="str">
        <f>'Cash Flow Analysis'!B89</f>
        <v/>
      </c>
      <c r="B38" s="1142">
        <f>IF(B37="","",IF('Cash Flow Analysis'!$B$31=0,"N/A",IF(A38=1,1,IF(A37=debt_period,"",B37+1))))</f>
        <v>25</v>
      </c>
      <c r="C38" s="876" t="str">
        <f>IF(OR(A38="",B38="",B38="N/A"),"",IF(B38=1,-'Cash Flow Analysis'!G89,IF(B38="N/A",0,G37)))</f>
        <v/>
      </c>
      <c r="D38" s="876" t="e">
        <f>IF(debt_period=0,
E38+F38,
IF(OR(A38="",B38="",B38="N/A"),"",IF(B38=1,((debt_interest*(1+debt_interest)^debt_period)/((1+debt_interest)^debt_period-1))*(-'Cash Flow Analysis'!G89),IF(G37=0,"",D37))))</f>
        <v>#VALUE!</v>
      </c>
      <c r="E38" s="876" t="str">
        <f t="shared" si="0"/>
        <v/>
      </c>
      <c r="F38" s="876">
        <f t="shared" si="2"/>
        <v>0</v>
      </c>
      <c r="G38" s="1143" t="str">
        <f t="shared" si="1"/>
        <v/>
      </c>
    </row>
    <row r="39" spans="1:7" s="51" customFormat="1" ht="15" customHeight="1" x14ac:dyDescent="0.25">
      <c r="A39" s="873" t="str">
        <f>'Cash Flow Analysis'!B90</f>
        <v/>
      </c>
      <c r="B39" s="1142">
        <f>IF(B38="","",IF('Cash Flow Analysis'!$B$31=0,"N/A",IF(A39=1,1,IF(A38=debt_period,"",B38+1))))</f>
        <v>26</v>
      </c>
      <c r="C39" s="876" t="str">
        <f>IF(OR(A39="",B39="",B39="N/A"),"",IF(B39=1,-'Cash Flow Analysis'!G90,IF(B39="N/A",0,G38)))</f>
        <v/>
      </c>
      <c r="D39" s="876" t="e">
        <f>IF(debt_period=0,
E39+F39,
IF(OR(A39="",B39="",B39="N/A"),"",IF(B39=1,((debt_interest*(1+debt_interest)^debt_period)/((1+debt_interest)^debt_period-1))*(-'Cash Flow Analysis'!G90),IF(G38=0,"",D38))))</f>
        <v>#VALUE!</v>
      </c>
      <c r="E39" s="876" t="str">
        <f t="shared" si="0"/>
        <v/>
      </c>
      <c r="F39" s="876">
        <f t="shared" si="2"/>
        <v>0</v>
      </c>
      <c r="G39" s="1143" t="str">
        <f t="shared" si="1"/>
        <v/>
      </c>
    </row>
    <row r="40" spans="1:7" s="51" customFormat="1" ht="15" customHeight="1" x14ac:dyDescent="0.25">
      <c r="A40" s="873" t="str">
        <f>'Cash Flow Analysis'!B91</f>
        <v/>
      </c>
      <c r="B40" s="1142">
        <f>IF(B39="","",IF('Cash Flow Analysis'!$B$31=0,"N/A",IF(A40=1,1,IF(A39=debt_period,"",B39+1))))</f>
        <v>27</v>
      </c>
      <c r="C40" s="876" t="str">
        <f>IF(OR(A40="",B40="",B40="N/A"),"",IF(B40=1,-'Cash Flow Analysis'!G91,IF(B40="N/A",0,G39)))</f>
        <v/>
      </c>
      <c r="D40" s="876" t="e">
        <f>IF(debt_period=0,
E40+F40,
IF(OR(A40="",B40="",B40="N/A"),"",IF(B40=1,((debt_interest*(1+debt_interest)^debt_period)/((1+debt_interest)^debt_period-1))*(-'Cash Flow Analysis'!G91),IF(G39=0,"",D39))))</f>
        <v>#VALUE!</v>
      </c>
      <c r="E40" s="876" t="str">
        <f t="shared" si="0"/>
        <v/>
      </c>
      <c r="F40" s="876">
        <f t="shared" si="2"/>
        <v>0</v>
      </c>
      <c r="G40" s="1143" t="str">
        <f t="shared" si="1"/>
        <v/>
      </c>
    </row>
    <row r="41" spans="1:7" s="51" customFormat="1" ht="15" customHeight="1" x14ac:dyDescent="0.25">
      <c r="A41" s="873" t="str">
        <f>'Cash Flow Analysis'!B92</f>
        <v/>
      </c>
      <c r="B41" s="1142">
        <f>IF(B40="","",IF('Cash Flow Analysis'!$B$31=0,"N/A",IF(A41=1,1,IF(A40=debt_period,"",B40+1))))</f>
        <v>28</v>
      </c>
      <c r="C41" s="876" t="str">
        <f>IF(OR(A41="",B41="",B41="N/A"),"",IF(B41=1,-'Cash Flow Analysis'!G92,IF(B41="N/A",0,G40)))</f>
        <v/>
      </c>
      <c r="D41" s="876" t="e">
        <f>IF(debt_period=0,
E41+F41,
IF(OR(A41="",B41="",B41="N/A"),"",IF(B41=1,((debt_interest*(1+debt_interest)^debt_period)/((1+debt_interest)^debt_period-1))*(-'Cash Flow Analysis'!G92),IF(G40=0,"",D40))))</f>
        <v>#VALUE!</v>
      </c>
      <c r="E41" s="876" t="str">
        <f t="shared" si="0"/>
        <v/>
      </c>
      <c r="F41" s="876">
        <f t="shared" si="2"/>
        <v>0</v>
      </c>
      <c r="G41" s="1143" t="str">
        <f t="shared" si="1"/>
        <v/>
      </c>
    </row>
    <row r="42" spans="1:7" s="51" customFormat="1" ht="15" customHeight="1" x14ac:dyDescent="0.25">
      <c r="A42" s="873" t="str">
        <f>'Cash Flow Analysis'!B93</f>
        <v/>
      </c>
      <c r="B42" s="1142">
        <f>IF(B41="","",IF('Cash Flow Analysis'!$B$31=0,"N/A",IF(A42=1,1,IF(A41=debt_period,"",B41+1))))</f>
        <v>29</v>
      </c>
      <c r="C42" s="876" t="str">
        <f>IF(OR(A42="",B42="",B42="N/A"),"",IF(B42=1,-'Cash Flow Analysis'!G93,IF(B42="N/A",0,G41)))</f>
        <v/>
      </c>
      <c r="D42" s="876" t="e">
        <f>IF(debt_period=0,
E42+F42,
IF(OR(A42="",B42="",B42="N/A"),"",IF(B42=1,((debt_interest*(1+debt_interest)^debt_period)/((1+debt_interest)^debt_period-1))*(-'Cash Flow Analysis'!G93),IF(G41=0,"",D41))))</f>
        <v>#VALUE!</v>
      </c>
      <c r="E42" s="876" t="str">
        <f t="shared" si="0"/>
        <v/>
      </c>
      <c r="F42" s="876">
        <f t="shared" si="2"/>
        <v>0</v>
      </c>
      <c r="G42" s="1143" t="str">
        <f t="shared" si="1"/>
        <v/>
      </c>
    </row>
    <row r="43" spans="1:7" s="51" customFormat="1" ht="15" customHeight="1" x14ac:dyDescent="0.25">
      <c r="A43" s="873" t="str">
        <f>'Cash Flow Analysis'!B94</f>
        <v/>
      </c>
      <c r="B43" s="1142">
        <f>IF(B42="","",IF('Cash Flow Analysis'!$B$31=0,"N/A",IF(A43=1,1,IF(A42=debt_period,"",B42+1))))</f>
        <v>30</v>
      </c>
      <c r="C43" s="876" t="str">
        <f>IF(OR(A43="",B43="",B43="N/A"),"",IF(B43=1,-'Cash Flow Analysis'!G94,IF(B43="N/A",0,G42)))</f>
        <v/>
      </c>
      <c r="D43" s="876" t="e">
        <f>IF(debt_period=0,
E43+F43,
IF(OR(A43="",B43="",B43="N/A"),"",IF(B43=1,((debt_interest*(1+debt_interest)^debt_period)/((1+debt_interest)^debt_period-1))*(-'Cash Flow Analysis'!G94),IF(G42=0,"",D42))))</f>
        <v>#VALUE!</v>
      </c>
      <c r="E43" s="876" t="str">
        <f t="shared" si="0"/>
        <v/>
      </c>
      <c r="F43" s="876">
        <f t="shared" si="2"/>
        <v>0</v>
      </c>
      <c r="G43" s="1143" t="str">
        <f t="shared" si="1"/>
        <v/>
      </c>
    </row>
    <row r="44" spans="1:7" s="51" customFormat="1" ht="15" customHeight="1" x14ac:dyDescent="0.25">
      <c r="A44" s="873" t="str">
        <f>'Cash Flow Analysis'!B95</f>
        <v/>
      </c>
      <c r="B44" s="1142">
        <f>IF(B43="","",IF('Cash Flow Analysis'!$B$31=0,"N/A",IF(A44=1,1,IF(A43=debt_period,"",B43+1))))</f>
        <v>31</v>
      </c>
      <c r="C44" s="876" t="str">
        <f>IF(OR(A44="",B44="",B44="N/A"),"",IF(B44=1,-'Cash Flow Analysis'!G95,IF(B44="N/A",0,G43)))</f>
        <v/>
      </c>
      <c r="D44" s="876" t="e">
        <f>IF(debt_period=0,
E44+F44,
IF(OR(A44="",B44="",B44="N/A"),"",IF(B44=1,((debt_interest*(1+debt_interest)^debt_period)/((1+debt_interest)^debt_period-1))*(-'Cash Flow Analysis'!G95),IF(G43=0,"",D43))))</f>
        <v>#VALUE!</v>
      </c>
      <c r="E44" s="876" t="str">
        <f t="shared" si="0"/>
        <v/>
      </c>
      <c r="F44" s="876">
        <f t="shared" si="2"/>
        <v>0</v>
      </c>
      <c r="G44" s="1143" t="str">
        <f t="shared" si="1"/>
        <v/>
      </c>
    </row>
    <row r="45" spans="1:7" s="51" customFormat="1" ht="15" customHeight="1" x14ac:dyDescent="0.25">
      <c r="A45" s="873" t="str">
        <f>'Cash Flow Analysis'!B96</f>
        <v/>
      </c>
      <c r="B45" s="1142">
        <f>IF(B44="","",IF('Cash Flow Analysis'!$B$31=0,"N/A",IF(A45=1,1,IF(A44=debt_period,"",B44+1))))</f>
        <v>32</v>
      </c>
      <c r="C45" s="876" t="str">
        <f>IF(OR(A45="",B45="",B45="N/A"),"",IF(B45=1,-'Cash Flow Analysis'!G96,IF(B45="N/A",0,G44)))</f>
        <v/>
      </c>
      <c r="D45" s="876" t="e">
        <f>IF(debt_period=0,
E45+F45,
IF(OR(A45="",B45="",B45="N/A"),"",IF(B45=1,((debt_interest*(1+debt_interest)^debt_period)/((1+debt_interest)^debt_period-1))*(-'Cash Flow Analysis'!G96),IF(G44=0,"",D44))))</f>
        <v>#VALUE!</v>
      </c>
      <c r="E45" s="876" t="str">
        <f t="shared" si="0"/>
        <v/>
      </c>
      <c r="F45" s="876">
        <f t="shared" si="2"/>
        <v>0</v>
      </c>
      <c r="G45" s="1143" t="str">
        <f t="shared" si="1"/>
        <v/>
      </c>
    </row>
    <row r="46" spans="1:7" s="51" customFormat="1" ht="15" customHeight="1" x14ac:dyDescent="0.25">
      <c r="A46" s="873" t="str">
        <f>'Cash Flow Analysis'!B97</f>
        <v/>
      </c>
      <c r="B46" s="1142">
        <f>IF(B45="","",IF('Cash Flow Analysis'!$B$31=0,"N/A",IF(A46=1,1,IF(A45=debt_period,"",B45+1))))</f>
        <v>33</v>
      </c>
      <c r="C46" s="876" t="str">
        <f>IF(OR(A46="",B46="",B46="N/A"),"",IF(B46=1,-'Cash Flow Analysis'!G97,IF(B46="N/A",0,G45)))</f>
        <v/>
      </c>
      <c r="D46" s="876" t="e">
        <f>IF(debt_period=0,
E46+F46,
IF(OR(A46="",B46="",B46="N/A"),"",IF(B46=1,((debt_interest*(1+debt_interest)^debt_period)/((1+debt_interest)^debt_period-1))*(-'Cash Flow Analysis'!G97),IF(G45=0,"",D45))))</f>
        <v>#VALUE!</v>
      </c>
      <c r="E46" s="876" t="str">
        <f t="shared" si="0"/>
        <v/>
      </c>
      <c r="F46" s="876">
        <f t="shared" si="2"/>
        <v>0</v>
      </c>
      <c r="G46" s="1143" t="str">
        <f t="shared" si="1"/>
        <v/>
      </c>
    </row>
    <row r="47" spans="1:7" s="51" customFormat="1" ht="15" customHeight="1" x14ac:dyDescent="0.25">
      <c r="A47" s="873" t="str">
        <f>'Cash Flow Analysis'!B98</f>
        <v/>
      </c>
      <c r="B47" s="1142">
        <f>IF(B46="","",IF('Cash Flow Analysis'!$B$31=0,"N/A",IF(A47=1,1,IF(A46=debt_period,"",B46+1))))</f>
        <v>34</v>
      </c>
      <c r="C47" s="876" t="str">
        <f>IF(OR(A47="",B47="",B47="N/A"),"",IF(B47=1,-'Cash Flow Analysis'!G98,IF(B47="N/A",0,G46)))</f>
        <v/>
      </c>
      <c r="D47" s="876" t="e">
        <f>IF(debt_period=0,
E47+F47,
IF(OR(A47="",B47="",B47="N/A"),"",IF(B47=1,((debt_interest*(1+debt_interest)^debt_period)/((1+debt_interest)^debt_period-1))*(-'Cash Flow Analysis'!G98),IF(G46=0,"",D46))))</f>
        <v>#VALUE!</v>
      </c>
      <c r="E47" s="876" t="str">
        <f t="shared" si="0"/>
        <v/>
      </c>
      <c r="F47" s="876">
        <f t="shared" si="2"/>
        <v>0</v>
      </c>
      <c r="G47" s="1143" t="str">
        <f t="shared" si="1"/>
        <v/>
      </c>
    </row>
    <row r="48" spans="1:7" s="51" customFormat="1" ht="15" customHeight="1" x14ac:dyDescent="0.25">
      <c r="A48" s="873" t="str">
        <f>'Cash Flow Analysis'!B99</f>
        <v/>
      </c>
      <c r="B48" s="1142">
        <f>IF(B47="","",IF('Cash Flow Analysis'!$B$31=0,"N/A",IF(A48=1,1,IF(A47=debt_period,"",B47+1))))</f>
        <v>35</v>
      </c>
      <c r="C48" s="876" t="str">
        <f>IF(OR(A48="",B48="",B48="N/A"),"",IF(B48=1,-'Cash Flow Analysis'!G99,IF(B48="N/A",0,G47)))</f>
        <v/>
      </c>
      <c r="D48" s="876" t="e">
        <f>IF(debt_period=0,
E48+F48,
IF(OR(A48="",B48="",B48="N/A"),"",IF(B48=1,((debt_interest*(1+debt_interest)^debt_period)/((1+debt_interest)^debt_period-1))*(-'Cash Flow Analysis'!G99),IF(G47=0,"",D47))))</f>
        <v>#VALUE!</v>
      </c>
      <c r="E48" s="876" t="str">
        <f t="shared" si="0"/>
        <v/>
      </c>
      <c r="F48" s="876">
        <f t="shared" si="2"/>
        <v>0</v>
      </c>
      <c r="G48" s="1143" t="str">
        <f t="shared" si="1"/>
        <v/>
      </c>
    </row>
    <row r="49" spans="1:7" s="51" customFormat="1" ht="15" customHeight="1" x14ac:dyDescent="0.25">
      <c r="A49" s="873" t="str">
        <f>'Cash Flow Analysis'!B100</f>
        <v/>
      </c>
      <c r="B49" s="1142">
        <f>IF(B48="","",IF('Cash Flow Analysis'!$B$31=0,"N/A",IF(A49=1,1,IF(A48=debt_period,"",B48+1))))</f>
        <v>36</v>
      </c>
      <c r="C49" s="876" t="str">
        <f>IF(OR(A49="",B49="",B49="N/A"),"",IF(B49=1,-'Cash Flow Analysis'!G100,IF(B49="N/A",0,G48)))</f>
        <v/>
      </c>
      <c r="D49" s="876" t="e">
        <f>IF(debt_period=0,
E49+F49,
IF(OR(A49="",B49="",B49="N/A"),"",IF(B49=1,((debt_interest*(1+debt_interest)^debt_period)/((1+debt_interest)^debt_period-1))*(-'Cash Flow Analysis'!G100),IF(G48=0,"",D48))))</f>
        <v>#VALUE!</v>
      </c>
      <c r="E49" s="876" t="str">
        <f t="shared" si="0"/>
        <v/>
      </c>
      <c r="F49" s="876">
        <f t="shared" si="2"/>
        <v>0</v>
      </c>
      <c r="G49" s="1143" t="str">
        <f t="shared" si="1"/>
        <v/>
      </c>
    </row>
    <row r="50" spans="1:7" s="51" customFormat="1" ht="15" customHeight="1" x14ac:dyDescent="0.25">
      <c r="A50" s="873" t="str">
        <f>'Cash Flow Analysis'!B101</f>
        <v/>
      </c>
      <c r="B50" s="1142">
        <f>IF(B49="","",IF('Cash Flow Analysis'!$B$31=0,"N/A",IF(A50=1,1,IF(A49=debt_period,"",B49+1))))</f>
        <v>37</v>
      </c>
      <c r="C50" s="876" t="str">
        <f>IF(OR(A50="",B50="",B50="N/A"),"",IF(B50=1,-'Cash Flow Analysis'!G101,IF(B50="N/A",0,G49)))</f>
        <v/>
      </c>
      <c r="D50" s="876" t="e">
        <f>IF(debt_period=0,
E50+F50,
IF(OR(A50="",B50="",B50="N/A"),"",IF(B50=1,((debt_interest*(1+debt_interest)^debt_period)/((1+debt_interest)^debt_period-1))*(-'Cash Flow Analysis'!G101),IF(G49=0,"",D49))))</f>
        <v>#VALUE!</v>
      </c>
      <c r="E50" s="876" t="str">
        <f t="shared" si="0"/>
        <v/>
      </c>
      <c r="F50" s="876">
        <f t="shared" si="2"/>
        <v>0</v>
      </c>
      <c r="G50" s="1143" t="str">
        <f t="shared" si="1"/>
        <v/>
      </c>
    </row>
    <row r="51" spans="1:7" s="51" customFormat="1" ht="15" customHeight="1" x14ac:dyDescent="0.25">
      <c r="A51" s="873" t="str">
        <f>'Cash Flow Analysis'!B102</f>
        <v/>
      </c>
      <c r="B51" s="1142">
        <f>IF(B50="","",IF('Cash Flow Analysis'!$B$31=0,"N/A",IF(A51=1,1,IF(A50=debt_period,"",B50+1))))</f>
        <v>38</v>
      </c>
      <c r="C51" s="876" t="str">
        <f>IF(OR(A51="",B51="",B51="N/A"),"",IF(B51=1,-'Cash Flow Analysis'!G102,IF(B51="N/A",0,G50)))</f>
        <v/>
      </c>
      <c r="D51" s="876" t="e">
        <f>IF(debt_period=0,
E51+F51,
IF(OR(A51="",B51="",B51="N/A"),"",IF(B51=1,((debt_interest*(1+debt_interest)^debt_period)/((1+debt_interest)^debt_period-1))*(-'Cash Flow Analysis'!G102),IF(G50=0,"",D50))))</f>
        <v>#VALUE!</v>
      </c>
      <c r="E51" s="876" t="str">
        <f t="shared" si="0"/>
        <v/>
      </c>
      <c r="F51" s="876">
        <f t="shared" si="2"/>
        <v>0</v>
      </c>
      <c r="G51" s="1143" t="str">
        <f t="shared" si="1"/>
        <v/>
      </c>
    </row>
    <row r="52" spans="1:7" s="51" customFormat="1" ht="15" customHeight="1" x14ac:dyDescent="0.25">
      <c r="A52" s="873" t="str">
        <f>'Cash Flow Analysis'!B103</f>
        <v/>
      </c>
      <c r="B52" s="1142">
        <f>IF(B51="","",IF('Cash Flow Analysis'!$B$31=0,"N/A",IF(A52=1,1,IF(A51=debt_period,"",B51+1))))</f>
        <v>39</v>
      </c>
      <c r="C52" s="876" t="str">
        <f>IF(OR(A52="",B52="",B52="N/A"),"",IF(B52=1,-'Cash Flow Analysis'!G103,IF(B52="N/A",0,G51)))</f>
        <v/>
      </c>
      <c r="D52" s="876" t="e">
        <f>IF(debt_period=0,
E52+F52,
IF(OR(A52="",B52="",B52="N/A"),"",IF(B52=1,((debt_interest*(1+debt_interest)^debt_period)/((1+debt_interest)^debt_period-1))*(-'Cash Flow Analysis'!G103),IF(G51=0,"",D51))))</f>
        <v>#VALUE!</v>
      </c>
      <c r="E52" s="876" t="str">
        <f t="shared" si="0"/>
        <v/>
      </c>
      <c r="F52" s="876">
        <f t="shared" si="2"/>
        <v>0</v>
      </c>
      <c r="G52" s="1143" t="str">
        <f t="shared" si="1"/>
        <v/>
      </c>
    </row>
    <row r="53" spans="1:7" s="51" customFormat="1" ht="15" customHeight="1" x14ac:dyDescent="0.25">
      <c r="A53" s="873" t="str">
        <f>'Cash Flow Analysis'!B104</f>
        <v/>
      </c>
      <c r="B53" s="1142">
        <f>IF(B52="","",IF('Cash Flow Analysis'!$B$31=0,"N/A",IF(A53=1,1,IF(A52=debt_period,"",B52+1))))</f>
        <v>40</v>
      </c>
      <c r="C53" s="876" t="str">
        <f>IF(OR(A53="",B53="",B53="N/A"),"",IF(B53=1,-'Cash Flow Analysis'!G104,IF(B53="N/A",0,G52)))</f>
        <v/>
      </c>
      <c r="D53" s="876" t="e">
        <f>IF(debt_period=0,
E53+F53,
IF(OR(A53="",B53="",B53="N/A"),"",IF(B53=1,((debt_interest*(1+debt_interest)^debt_period)/((1+debt_interest)^debt_period-1))*(-'Cash Flow Analysis'!G104),IF(G52=0,"",D52))))</f>
        <v>#VALUE!</v>
      </c>
      <c r="E53" s="876" t="str">
        <f t="shared" si="0"/>
        <v/>
      </c>
      <c r="F53" s="876">
        <f t="shared" si="2"/>
        <v>0</v>
      </c>
      <c r="G53" s="1143" t="str">
        <f t="shared" si="1"/>
        <v/>
      </c>
    </row>
    <row r="54" spans="1:7" s="51" customFormat="1" ht="15" customHeight="1" x14ac:dyDescent="0.25">
      <c r="A54" s="873" t="str">
        <f>'Cash Flow Analysis'!B105</f>
        <v/>
      </c>
      <c r="B54" s="1142">
        <f>IF(B53="","",IF('Cash Flow Analysis'!$B$31=0,"N/A",IF(A54=1,1,IF(A53=debt_period,"",B53+1))))</f>
        <v>41</v>
      </c>
      <c r="C54" s="876" t="str">
        <f>IF(OR(A54="",B54="",B54="N/A"),"",IF(B54=1,-'Cash Flow Analysis'!G105,IF(B54="N/A",0,G53)))</f>
        <v/>
      </c>
      <c r="D54" s="876" t="e">
        <f>IF(debt_period=0,
E54+F54,
IF(OR(A54="",B54="",B54="N/A"),"",IF(B54=1,((debt_interest*(1+debt_interest)^debt_period)/((1+debt_interest)^debt_period-1))*(-'Cash Flow Analysis'!G105),IF(G53=0,"",D53))))</f>
        <v>#VALUE!</v>
      </c>
      <c r="E54" s="876" t="str">
        <f t="shared" si="0"/>
        <v/>
      </c>
      <c r="F54" s="876">
        <f t="shared" si="2"/>
        <v>0</v>
      </c>
      <c r="G54" s="1143" t="str">
        <f t="shared" si="1"/>
        <v/>
      </c>
    </row>
    <row r="55" spans="1:7" s="51" customFormat="1" ht="15" customHeight="1" x14ac:dyDescent="0.25">
      <c r="A55" s="873" t="str">
        <f>'Cash Flow Analysis'!B106</f>
        <v/>
      </c>
      <c r="B55" s="1142">
        <f>IF(B54="","",IF('Cash Flow Analysis'!$B$31=0,"N/A",IF(A55=1,1,IF(A54=debt_period,"",B54+1))))</f>
        <v>42</v>
      </c>
      <c r="C55" s="876" t="str">
        <f>IF(OR(A55="",B55="",B55="N/A"),"",IF(B55=1,-'Cash Flow Analysis'!G106,IF(B55="N/A",0,G54)))</f>
        <v/>
      </c>
      <c r="D55" s="876" t="e">
        <f>IF(debt_period=0,
E55+F55,
IF(OR(A55="",B55="",B55="N/A"),"",IF(B55=1,((debt_interest*(1+debt_interest)^debt_period)/((1+debt_interest)^debt_period-1))*(-'Cash Flow Analysis'!G106),IF(G54=0,"",D54))))</f>
        <v>#VALUE!</v>
      </c>
      <c r="E55" s="876" t="str">
        <f t="shared" si="0"/>
        <v/>
      </c>
      <c r="F55" s="876">
        <f t="shared" si="2"/>
        <v>0</v>
      </c>
      <c r="G55" s="1143" t="str">
        <f t="shared" si="1"/>
        <v/>
      </c>
    </row>
    <row r="56" spans="1:7" s="51" customFormat="1" ht="15" customHeight="1" x14ac:dyDescent="0.25">
      <c r="A56" s="873" t="str">
        <f>'Cash Flow Analysis'!B107</f>
        <v/>
      </c>
      <c r="B56" s="1142">
        <f>IF(B55="","",IF('Cash Flow Analysis'!$B$31=0,"N/A",IF(A56=1,1,IF(A55=debt_period,"",B55+1))))</f>
        <v>43</v>
      </c>
      <c r="C56" s="876" t="str">
        <f>IF(OR(A56="",B56="",B56="N/A"),"",IF(B56=1,-'Cash Flow Analysis'!G107,IF(B56="N/A",0,G55)))</f>
        <v/>
      </c>
      <c r="D56" s="876" t="e">
        <f>IF(debt_period=0,
E56+F56,
IF(OR(A56="",B56="",B56="N/A"),"",IF(B56=1,((debt_interest*(1+debt_interest)^debt_period)/((1+debt_interest)^debt_period-1))*(-'Cash Flow Analysis'!G107),IF(G55=0,"",D55))))</f>
        <v>#VALUE!</v>
      </c>
      <c r="E56" s="876" t="str">
        <f t="shared" si="0"/>
        <v/>
      </c>
      <c r="F56" s="876">
        <f t="shared" si="2"/>
        <v>0</v>
      </c>
      <c r="G56" s="1143" t="str">
        <f t="shared" si="1"/>
        <v/>
      </c>
    </row>
    <row r="57" spans="1:7" s="51" customFormat="1" ht="15" customHeight="1" thickBot="1" x14ac:dyDescent="0.3">
      <c r="A57" s="1144" t="str">
        <f>'Cash Flow Analysis'!B108</f>
        <v/>
      </c>
      <c r="B57" s="1145">
        <f>IF(B56="","",IF('Cash Flow Analysis'!$B$31=0,"N/A",IF(A57=1,1,IF(A56=debt_period,"",B56+1))))</f>
        <v>44</v>
      </c>
      <c r="C57" s="1146" t="str">
        <f>IF(OR(A57="",B57="",B57="N/A"),"",IF(B57=1,-'Cash Flow Analysis'!G108,IF(B57="N/A",0,G56)))</f>
        <v/>
      </c>
      <c r="D57" s="1146" t="str">
        <f>IF(F57=0,E57,
IF(OR(A57="",B57="",B57="N/A"),"",IF(B57=1,((debt_interest*(1+debt_interest)^debt_period)/((1+debt_interest)^debt_period-1))*(-'Cash Flow Analysis'!G108),IF(G56=0,"",D56))))</f>
        <v/>
      </c>
      <c r="E57" s="1146" t="str">
        <f t="shared" si="0"/>
        <v/>
      </c>
      <c r="F57" s="1146">
        <f t="shared" si="2"/>
        <v>0</v>
      </c>
      <c r="G57" s="1147" t="str">
        <f t="shared" si="1"/>
        <v/>
      </c>
    </row>
    <row r="58" spans="1:7" ht="13.8"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33203125" defaultRowHeight="13.2" x14ac:dyDescent="0.25"/>
  <cols>
    <col min="1" max="1" width="31.33203125" style="36" customWidth="1"/>
    <col min="2" max="2" width="23.5546875" style="36" customWidth="1"/>
    <col min="3" max="3" width="19" style="36" customWidth="1"/>
    <col min="4" max="4" width="11.33203125" style="36" customWidth="1"/>
    <col min="5" max="5" width="12.6640625" style="36" customWidth="1"/>
    <col min="6" max="6" width="10.6640625" style="36" customWidth="1"/>
    <col min="7" max="7" width="13.33203125" style="36" customWidth="1"/>
    <col min="8" max="8" width="13.6640625" style="36" customWidth="1"/>
    <col min="9" max="9" width="11" style="36" customWidth="1"/>
    <col min="10" max="25" width="17.33203125" style="36" customWidth="1"/>
    <col min="26" max="16384" width="9.33203125" style="36"/>
  </cols>
  <sheetData>
    <row r="1" spans="1:8" ht="30.75" customHeight="1" x14ac:dyDescent="0.3">
      <c r="A1" s="35" t="s">
        <v>46</v>
      </c>
    </row>
    <row r="2" spans="1:8" ht="15" customHeight="1" x14ac:dyDescent="0.25">
      <c r="G2" s="37"/>
    </row>
    <row r="3" spans="1:8" ht="15" customHeight="1" x14ac:dyDescent="0.3">
      <c r="A3" s="40" t="s">
        <v>32</v>
      </c>
      <c r="B3" s="41"/>
      <c r="C3" s="41"/>
      <c r="D3" s="41"/>
      <c r="E3" s="42"/>
      <c r="F3" s="42"/>
      <c r="G3" s="42"/>
      <c r="H3" s="37"/>
    </row>
    <row r="4" spans="1:8" ht="15" customHeight="1" x14ac:dyDescent="0.3">
      <c r="A4" s="40" t="s">
        <v>33</v>
      </c>
      <c r="B4" s="41"/>
      <c r="C4" s="41"/>
      <c r="D4" s="41"/>
      <c r="E4" s="42"/>
      <c r="F4" s="42"/>
      <c r="G4" s="42"/>
      <c r="H4" s="37"/>
    </row>
    <row r="5" spans="1:8" ht="15" customHeight="1" x14ac:dyDescent="0.25">
      <c r="G5" s="37"/>
    </row>
    <row r="6" spans="1:8" ht="15" customHeight="1" x14ac:dyDescent="0.25">
      <c r="A6" s="34"/>
      <c r="B6" s="39" t="s">
        <v>34</v>
      </c>
    </row>
    <row r="7" spans="1:8" ht="15" customHeight="1" x14ac:dyDescent="0.25">
      <c r="A7" s="44"/>
      <c r="B7" s="39" t="s">
        <v>35</v>
      </c>
    </row>
    <row r="8" spans="1:8" ht="15" customHeight="1" x14ac:dyDescent="0.25">
      <c r="A8" s="45"/>
      <c r="B8" s="39" t="s">
        <v>36</v>
      </c>
    </row>
    <row r="9" spans="1:8" ht="15" customHeight="1" x14ac:dyDescent="0.25">
      <c r="A9" s="46"/>
      <c r="B9" s="39" t="s">
        <v>37</v>
      </c>
    </row>
    <row r="10" spans="1:8" ht="15" customHeight="1" x14ac:dyDescent="0.25"/>
    <row r="11" spans="1:8" ht="15" customHeight="1" thickBot="1" x14ac:dyDescent="0.3"/>
    <row r="12" spans="1:8" ht="29.25" customHeight="1" thickTop="1" thickBot="1" x14ac:dyDescent="0.35">
      <c r="B12" s="61" t="s">
        <v>47</v>
      </c>
      <c r="C12" s="62"/>
      <c r="D12" s="62"/>
      <c r="E12" s="62"/>
      <c r="F12" s="62"/>
      <c r="G12" s="62"/>
      <c r="H12" s="63"/>
    </row>
    <row r="13" spans="1:8" ht="15" customHeight="1" thickTop="1" thickBot="1" x14ac:dyDescent="0.3">
      <c r="B13" s="64"/>
      <c r="C13" s="1713" t="s">
        <v>48</v>
      </c>
      <c r="D13" s="1713"/>
      <c r="E13" s="1713"/>
      <c r="F13" s="1713"/>
      <c r="G13" s="1713"/>
      <c r="H13" s="1714"/>
    </row>
    <row r="14" spans="1:8" ht="15" customHeight="1" thickTop="1" thickBot="1" x14ac:dyDescent="0.3">
      <c r="B14" s="67" t="s">
        <v>48</v>
      </c>
      <c r="C14" s="68">
        <v>3</v>
      </c>
      <c r="D14" s="65">
        <v>5</v>
      </c>
      <c r="E14" s="65">
        <v>7</v>
      </c>
      <c r="F14" s="65">
        <v>10</v>
      </c>
      <c r="G14" s="65">
        <v>15</v>
      </c>
      <c r="H14" s="66">
        <v>20</v>
      </c>
    </row>
    <row r="15" spans="1:8" ht="15" customHeight="1" thickTop="1" x14ac:dyDescent="0.25">
      <c r="B15" s="69">
        <v>1</v>
      </c>
      <c r="C15" s="70">
        <v>0.33329999999999999</v>
      </c>
      <c r="D15" s="71">
        <v>0.2</v>
      </c>
      <c r="E15" s="71">
        <v>0.1429</v>
      </c>
      <c r="F15" s="71">
        <v>0.1</v>
      </c>
      <c r="G15" s="71">
        <v>0.05</v>
      </c>
      <c r="H15" s="72">
        <v>3.7499999999999999E-2</v>
      </c>
    </row>
    <row r="16" spans="1:8" ht="15" customHeight="1" x14ac:dyDescent="0.25">
      <c r="B16" s="73">
        <v>2</v>
      </c>
      <c r="C16" s="74">
        <v>0.44450000000000001</v>
      </c>
      <c r="D16" s="75">
        <v>0.32</v>
      </c>
      <c r="E16" s="75">
        <v>0.24490000000000001</v>
      </c>
      <c r="F16" s="75">
        <v>0.18</v>
      </c>
      <c r="G16" s="75">
        <v>9.5000000000000001E-2</v>
      </c>
      <c r="H16" s="76">
        <v>7.2190000000000004E-2</v>
      </c>
    </row>
    <row r="17" spans="2:8" ht="15" customHeight="1" x14ac:dyDescent="0.25">
      <c r="B17" s="73">
        <v>3</v>
      </c>
      <c r="C17" s="74">
        <v>0.14810000000000001</v>
      </c>
      <c r="D17" s="75">
        <v>0.192</v>
      </c>
      <c r="E17" s="75">
        <v>0.1749</v>
      </c>
      <c r="F17" s="75">
        <v>0.14399999999999999</v>
      </c>
      <c r="G17" s="75">
        <v>8.5500000000000007E-2</v>
      </c>
      <c r="H17" s="76">
        <v>6.6769999999999996E-2</v>
      </c>
    </row>
    <row r="18" spans="2:8" ht="15" customHeight="1" x14ac:dyDescent="0.25">
      <c r="B18" s="73">
        <v>4</v>
      </c>
      <c r="C18" s="74">
        <v>7.4099999999999999E-2</v>
      </c>
      <c r="D18" s="75">
        <v>0.1152</v>
      </c>
      <c r="E18" s="75">
        <v>0.1249</v>
      </c>
      <c r="F18" s="75">
        <v>0.1152</v>
      </c>
      <c r="G18" s="75">
        <v>7.6999999999999999E-2</v>
      </c>
      <c r="H18" s="76">
        <v>6.1769999999999999E-2</v>
      </c>
    </row>
    <row r="19" spans="2:8" ht="15" customHeight="1" x14ac:dyDescent="0.25">
      <c r="B19" s="73">
        <v>5</v>
      </c>
      <c r="C19" s="74"/>
      <c r="D19" s="75">
        <v>0.1152</v>
      </c>
      <c r="E19" s="75">
        <v>8.9300000000000004E-2</v>
      </c>
      <c r="F19" s="75">
        <v>9.2200000000000004E-2</v>
      </c>
      <c r="G19" s="75">
        <v>6.93E-2</v>
      </c>
      <c r="H19" s="76">
        <v>5.713E-2</v>
      </c>
    </row>
    <row r="20" spans="2:8" ht="15" customHeight="1" x14ac:dyDescent="0.25">
      <c r="B20" s="73">
        <v>6</v>
      </c>
      <c r="C20" s="74"/>
      <c r="D20" s="75">
        <v>5.7599999999999998E-2</v>
      </c>
      <c r="E20" s="75">
        <v>8.9200000000000002E-2</v>
      </c>
      <c r="F20" s="75">
        <v>7.3700000000000002E-2</v>
      </c>
      <c r="G20" s="75">
        <v>6.2300000000000001E-2</v>
      </c>
      <c r="H20" s="76">
        <v>5.2850000000000001E-2</v>
      </c>
    </row>
    <row r="21" spans="2:8" ht="15" customHeight="1" x14ac:dyDescent="0.25">
      <c r="B21" s="73">
        <v>7</v>
      </c>
      <c r="C21" s="74"/>
      <c r="D21" s="75"/>
      <c r="E21" s="75">
        <v>8.9300000000000004E-2</v>
      </c>
      <c r="F21" s="75">
        <v>6.5500000000000003E-2</v>
      </c>
      <c r="G21" s="75">
        <v>5.8999999999999997E-2</v>
      </c>
      <c r="H21" s="76">
        <v>4.888E-2</v>
      </c>
    </row>
    <row r="22" spans="2:8" ht="15" customHeight="1" x14ac:dyDescent="0.25">
      <c r="B22" s="73">
        <v>8</v>
      </c>
      <c r="C22" s="74"/>
      <c r="D22" s="75"/>
      <c r="E22" s="75">
        <v>4.4600000000000001E-2</v>
      </c>
      <c r="F22" s="75">
        <v>6.5500000000000003E-2</v>
      </c>
      <c r="G22" s="75">
        <v>5.8999999999999997E-2</v>
      </c>
      <c r="H22" s="76">
        <v>4.5220000000000003E-2</v>
      </c>
    </row>
    <row r="23" spans="2:8" ht="15" customHeight="1" x14ac:dyDescent="0.25">
      <c r="B23" s="73">
        <v>9</v>
      </c>
      <c r="C23" s="74"/>
      <c r="D23" s="75"/>
      <c r="E23" s="75"/>
      <c r="F23" s="75">
        <v>6.5600000000000006E-2</v>
      </c>
      <c r="G23" s="75">
        <v>5.91E-2</v>
      </c>
      <c r="H23" s="76">
        <v>4.462E-2</v>
      </c>
    </row>
    <row r="24" spans="2:8" ht="15" customHeight="1" x14ac:dyDescent="0.25">
      <c r="B24" s="73">
        <v>10</v>
      </c>
      <c r="C24" s="74"/>
      <c r="D24" s="75"/>
      <c r="E24" s="75"/>
      <c r="F24" s="75">
        <v>6.5500000000000003E-2</v>
      </c>
      <c r="G24" s="75">
        <v>5.8999999999999997E-2</v>
      </c>
      <c r="H24" s="76">
        <v>4.4609999999999997E-2</v>
      </c>
    </row>
    <row r="25" spans="2:8" ht="15" customHeight="1" x14ac:dyDescent="0.25">
      <c r="B25" s="73">
        <v>11</v>
      </c>
      <c r="C25" s="74"/>
      <c r="D25" s="75"/>
      <c r="E25" s="75"/>
      <c r="F25" s="75">
        <v>3.2800000000000003E-2</v>
      </c>
      <c r="G25" s="75">
        <v>5.91E-2</v>
      </c>
      <c r="H25" s="76">
        <v>4.462E-2</v>
      </c>
    </row>
    <row r="26" spans="2:8" ht="15" customHeight="1" x14ac:dyDescent="0.25">
      <c r="B26" s="73">
        <v>12</v>
      </c>
      <c r="C26" s="74"/>
      <c r="D26" s="75"/>
      <c r="E26" s="75"/>
      <c r="F26" s="75"/>
      <c r="G26" s="75">
        <v>5.8999999999999997E-2</v>
      </c>
      <c r="H26" s="76">
        <v>4.4609999999999997E-2</v>
      </c>
    </row>
    <row r="27" spans="2:8" ht="15" customHeight="1" x14ac:dyDescent="0.25">
      <c r="B27" s="73">
        <v>13</v>
      </c>
      <c r="C27" s="74"/>
      <c r="D27" s="75"/>
      <c r="E27" s="75"/>
      <c r="F27" s="75"/>
      <c r="G27" s="75">
        <v>5.91E-2</v>
      </c>
      <c r="H27" s="76">
        <v>4.462E-2</v>
      </c>
    </row>
    <row r="28" spans="2:8" ht="15" customHeight="1" x14ac:dyDescent="0.25">
      <c r="B28" s="73">
        <v>14</v>
      </c>
      <c r="C28" s="74"/>
      <c r="D28" s="75"/>
      <c r="E28" s="75"/>
      <c r="F28" s="75"/>
      <c r="G28" s="75">
        <v>5.8999999999999997E-2</v>
      </c>
      <c r="H28" s="76">
        <v>4.4609999999999997E-2</v>
      </c>
    </row>
    <row r="29" spans="2:8" ht="15" customHeight="1" x14ac:dyDescent="0.25">
      <c r="B29" s="73">
        <v>15</v>
      </c>
      <c r="C29" s="74"/>
      <c r="D29" s="75"/>
      <c r="E29" s="75"/>
      <c r="F29" s="75"/>
      <c r="G29" s="75">
        <v>5.91E-2</v>
      </c>
      <c r="H29" s="76">
        <v>4.462E-2</v>
      </c>
    </row>
    <row r="30" spans="2:8" ht="15" customHeight="1" x14ac:dyDescent="0.25">
      <c r="B30" s="73">
        <v>16</v>
      </c>
      <c r="C30" s="74"/>
      <c r="D30" s="75"/>
      <c r="E30" s="75"/>
      <c r="F30" s="75"/>
      <c r="G30" s="75">
        <v>2.9499999999999998E-2</v>
      </c>
      <c r="H30" s="76">
        <v>4.4609999999999997E-2</v>
      </c>
    </row>
    <row r="31" spans="2:8" ht="15" customHeight="1" x14ac:dyDescent="0.25">
      <c r="B31" s="73">
        <v>17</v>
      </c>
      <c r="C31" s="74"/>
      <c r="D31" s="75"/>
      <c r="E31" s="75"/>
      <c r="F31" s="75"/>
      <c r="G31" s="75"/>
      <c r="H31" s="76">
        <v>4.462E-2</v>
      </c>
    </row>
    <row r="32" spans="2:8" ht="15" customHeight="1" x14ac:dyDescent="0.25">
      <c r="B32" s="73">
        <v>18</v>
      </c>
      <c r="C32" s="74"/>
      <c r="D32" s="75"/>
      <c r="E32" s="75"/>
      <c r="F32" s="75"/>
      <c r="G32" s="75"/>
      <c r="H32" s="76">
        <v>4.4609999999999997E-2</v>
      </c>
    </row>
    <row r="33" spans="1:24" ht="15" customHeight="1" x14ac:dyDescent="0.25">
      <c r="B33" s="73">
        <v>19</v>
      </c>
      <c r="C33" s="74"/>
      <c r="D33" s="75"/>
      <c r="E33" s="75"/>
      <c r="F33" s="75"/>
      <c r="G33" s="75"/>
      <c r="H33" s="76">
        <v>4.462E-2</v>
      </c>
    </row>
    <row r="34" spans="1:24" ht="15" customHeight="1" x14ac:dyDescent="0.25">
      <c r="B34" s="73">
        <v>20</v>
      </c>
      <c r="C34" s="74"/>
      <c r="D34" s="75"/>
      <c r="E34" s="75"/>
      <c r="F34" s="75"/>
      <c r="G34" s="75"/>
      <c r="H34" s="76">
        <v>4.4609999999999997E-2</v>
      </c>
    </row>
    <row r="35" spans="1:24" ht="15" customHeight="1" thickBot="1" x14ac:dyDescent="0.3">
      <c r="B35" s="77">
        <v>21</v>
      </c>
      <c r="C35" s="78"/>
      <c r="D35" s="79"/>
      <c r="E35" s="79"/>
      <c r="F35" s="79"/>
      <c r="G35" s="79"/>
      <c r="H35" s="80">
        <v>2.231E-2</v>
      </c>
    </row>
    <row r="36" spans="1:24" ht="15" customHeight="1" thickTop="1" x14ac:dyDescent="0.25">
      <c r="B36" s="81" t="s">
        <v>49</v>
      </c>
      <c r="C36" s="82">
        <f t="shared" ref="C36:H36" ca="1" si="0">NPV(real_irr,C15:C35)</f>
        <v>0.861730483722558</v>
      </c>
      <c r="D36" s="83">
        <f t="shared" ca="1" si="0"/>
        <v>0.81132579180653486</v>
      </c>
      <c r="E36" s="83">
        <f t="shared" ca="1" si="0"/>
        <v>0.76611247423420981</v>
      </c>
      <c r="F36" s="83">
        <f t="shared" ca="1" si="0"/>
        <v>0.70592323058796147</v>
      </c>
      <c r="G36" s="83">
        <f t="shared" ca="1" si="0"/>
        <v>0.57966874115937961</v>
      </c>
      <c r="H36" s="84">
        <f t="shared" ca="1" si="0"/>
        <v>0.50624177952518146</v>
      </c>
    </row>
    <row r="37" spans="1:24" ht="15" customHeight="1" thickBot="1" x14ac:dyDescent="0.3">
      <c r="B37" s="77" t="s">
        <v>50</v>
      </c>
      <c r="C37" s="85">
        <f t="shared" ref="C37:H37" ca="1" si="1">NPV(nominal_irr,C15:C35)</f>
        <v>0.83149291060393982</v>
      </c>
      <c r="D37" s="86">
        <f t="shared" ca="1" si="1"/>
        <v>0.77231075823151107</v>
      </c>
      <c r="E37" s="86">
        <f t="shared" ca="1" si="1"/>
        <v>0.72034649543580254</v>
      </c>
      <c r="F37" s="86">
        <f t="shared" ca="1" si="1"/>
        <v>0.65286934217044934</v>
      </c>
      <c r="G37" s="86">
        <f t="shared" ca="1" si="1"/>
        <v>0.51586770297474116</v>
      </c>
      <c r="H37" s="87">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35">
      <c r="A41" s="88" t="s">
        <v>51</v>
      </c>
      <c r="B41" s="89"/>
    </row>
    <row r="42" spans="1:24" ht="15" customHeight="1" thickTop="1" x14ac:dyDescent="0.25">
      <c r="A42" s="90" t="s">
        <v>386</v>
      </c>
      <c r="B42" s="91" t="str">
        <f>depr_type</f>
        <v>MACRS</v>
      </c>
    </row>
    <row r="43" spans="1:24" ht="15" customHeight="1" x14ac:dyDescent="0.25">
      <c r="A43" s="92" t="s">
        <v>52</v>
      </c>
      <c r="B43" s="93">
        <f>depr_length</f>
        <v>7</v>
      </c>
    </row>
    <row r="44" spans="1:24" ht="15" customHeight="1" thickBot="1" x14ac:dyDescent="0.3">
      <c r="A44" s="94" t="s">
        <v>53</v>
      </c>
      <c r="B44" s="95">
        <f ca="1">-('Cash Flow Analysis'!G65+SUM('Cash Flow Analysis'!H65:H113))</f>
        <v>2079240.7791877324</v>
      </c>
    </row>
    <row r="45" spans="1:24" ht="15" customHeight="1" thickTop="1" x14ac:dyDescent="0.25"/>
    <row r="46" spans="1:24" ht="15" customHeight="1" thickBot="1" x14ac:dyDescent="0.3"/>
    <row r="47" spans="1:24" ht="27" customHeight="1" thickTop="1" thickBot="1" x14ac:dyDescent="0.35">
      <c r="A47" s="96" t="s">
        <v>54</v>
      </c>
      <c r="B47" s="62"/>
      <c r="C47" s="62"/>
      <c r="D47" s="62"/>
      <c r="E47" s="62"/>
      <c r="F47" s="62"/>
      <c r="G47" s="62"/>
      <c r="H47" s="62"/>
      <c r="I47" s="62"/>
      <c r="J47" s="62"/>
      <c r="K47" s="62"/>
      <c r="L47" s="62"/>
      <c r="M47" s="62"/>
      <c r="N47" s="62"/>
      <c r="O47" s="62"/>
      <c r="P47" s="62"/>
      <c r="Q47" s="62"/>
      <c r="R47" s="62"/>
      <c r="S47" s="62"/>
      <c r="T47" s="62"/>
      <c r="U47" s="62"/>
      <c r="V47" s="62"/>
      <c r="W47" s="62"/>
      <c r="X47" s="63"/>
    </row>
    <row r="48" spans="1:24" ht="30.75" customHeight="1" thickTop="1" thickBot="1" x14ac:dyDescent="0.3">
      <c r="A48" s="97" t="s">
        <v>55</v>
      </c>
      <c r="B48" s="98" t="s">
        <v>56</v>
      </c>
      <c r="C48" s="99">
        <v>1</v>
      </c>
      <c r="D48" s="100">
        <v>2</v>
      </c>
      <c r="E48" s="100">
        <v>3</v>
      </c>
      <c r="F48" s="100">
        <v>4</v>
      </c>
      <c r="G48" s="100">
        <v>5</v>
      </c>
      <c r="H48" s="100">
        <v>6</v>
      </c>
      <c r="I48" s="100">
        <v>7</v>
      </c>
      <c r="J48" s="100">
        <v>8</v>
      </c>
      <c r="K48" s="100">
        <v>9</v>
      </c>
      <c r="L48" s="100">
        <v>10</v>
      </c>
      <c r="M48" s="100">
        <v>11</v>
      </c>
      <c r="N48" s="100">
        <v>12</v>
      </c>
      <c r="O48" s="100">
        <v>13</v>
      </c>
      <c r="P48" s="100">
        <v>14</v>
      </c>
      <c r="Q48" s="100">
        <v>15</v>
      </c>
      <c r="R48" s="100">
        <v>16</v>
      </c>
      <c r="S48" s="100">
        <v>17</v>
      </c>
      <c r="T48" s="100">
        <v>18</v>
      </c>
      <c r="U48" s="100">
        <v>19</v>
      </c>
      <c r="V48" s="100">
        <v>20</v>
      </c>
      <c r="W48" s="89">
        <v>21</v>
      </c>
      <c r="X48" s="67" t="s">
        <v>57</v>
      </c>
    </row>
    <row r="49" spans="1:24" ht="15" customHeight="1" thickTop="1" x14ac:dyDescent="0.25">
      <c r="A49" s="81">
        <f>IF('Cash Flow Analysis'!C65="","",'Cash Flow Analysis'!C65)</f>
        <v>-1</v>
      </c>
      <c r="B49" s="870">
        <f>IF(A49="","",IF(A49&lt;1,0,IF(A49=1,$B$44-'Cash Flow Analysis'!I65,-'Cash Flow Analysis'!I65)))</f>
        <v>0</v>
      </c>
      <c r="C49" s="101">
        <f>IF(B49="","",IF(AND($B$42="Straight Line",$C$48&lt;=depr_length),B49/depr_length,IF(AND($B$42="MACRS",$C$48&lt;=depr_length+1),B49*INDEX(MACRS_Table,MATCH($C$48,recovery_year,0),MATCH($B$43,recovery_period,0)),"")))</f>
        <v>0</v>
      </c>
      <c r="D49" s="102">
        <f t="shared" ref="D49:W49" si="2">IF($B$49="","",IF(AND($B$42="Straight Line",D48&lt;=depr_length),$B$49/depr_length,IF(AND($B$42="MACRS",D48&lt;=depr_length+1),$B$49*INDEX(MACRS_Table,MATCH(D48,recovery_year,0),MATCH($B$43,recovery_period,0)),"")))</f>
        <v>0</v>
      </c>
      <c r="E49" s="102">
        <f t="shared" si="2"/>
        <v>0</v>
      </c>
      <c r="F49" s="102">
        <f t="shared" si="2"/>
        <v>0</v>
      </c>
      <c r="G49" s="102">
        <f t="shared" si="2"/>
        <v>0</v>
      </c>
      <c r="H49" s="102">
        <f t="shared" si="2"/>
        <v>0</v>
      </c>
      <c r="I49" s="102">
        <f t="shared" si="2"/>
        <v>0</v>
      </c>
      <c r="J49" s="102">
        <f t="shared" si="2"/>
        <v>0</v>
      </c>
      <c r="K49" s="102" t="str">
        <f t="shared" si="2"/>
        <v/>
      </c>
      <c r="L49" s="102" t="str">
        <f t="shared" si="2"/>
        <v/>
      </c>
      <c r="M49" s="102" t="str">
        <f t="shared" si="2"/>
        <v/>
      </c>
      <c r="N49" s="102" t="str">
        <f t="shared" si="2"/>
        <v/>
      </c>
      <c r="O49" s="102" t="str">
        <f t="shared" si="2"/>
        <v/>
      </c>
      <c r="P49" s="102" t="str">
        <f t="shared" si="2"/>
        <v/>
      </c>
      <c r="Q49" s="102" t="str">
        <f t="shared" si="2"/>
        <v/>
      </c>
      <c r="R49" s="102" t="str">
        <f t="shared" si="2"/>
        <v/>
      </c>
      <c r="S49" s="102" t="str">
        <f t="shared" si="2"/>
        <v/>
      </c>
      <c r="T49" s="102" t="str">
        <f t="shared" si="2"/>
        <v/>
      </c>
      <c r="U49" s="102" t="str">
        <f t="shared" si="2"/>
        <v/>
      </c>
      <c r="V49" s="102" t="str">
        <f t="shared" si="2"/>
        <v/>
      </c>
      <c r="W49" s="103" t="str">
        <f t="shared" si="2"/>
        <v/>
      </c>
      <c r="X49" s="104">
        <f t="shared" ref="X49:X92" si="3">SUM(C49:W49)</f>
        <v>0</v>
      </c>
    </row>
    <row r="50" spans="1:24" ht="15" customHeight="1" x14ac:dyDescent="0.25">
      <c r="A50" s="73">
        <f>IF('Cash Flow Analysis'!C66="","",'Cash Flow Analysis'!C66)</f>
        <v>1</v>
      </c>
      <c r="B50" s="871">
        <f ca="1">IF(A50="","",IF(A50&lt;1,0,IF(A50=1,$B$44-'Cash Flow Analysis'!I66,-'Cash Flow Analysis'!I66)))</f>
        <v>2079240.7791877324</v>
      </c>
      <c r="C50" s="106">
        <f t="shared" ref="C50:W50" ca="1" si="4">IF($B$50="","",IF(AND($B$42="Straight Line",C48&lt;=depr_length),$B$50/depr_length,IF(AND($B$42="MACRS",C48&lt;=depr_length+1),$B$50*INDEX(MACRS_Table,MATCH(C48,recovery_year,0),MATCH($B$43,recovery_period,0)),"")))</f>
        <v>297123.50734592695</v>
      </c>
      <c r="D50" s="107">
        <f t="shared" ca="1" si="4"/>
        <v>509206.0668230757</v>
      </c>
      <c r="E50" s="107">
        <f t="shared" ca="1" si="4"/>
        <v>363659.21227993438</v>
      </c>
      <c r="F50" s="107">
        <f t="shared" ca="1" si="4"/>
        <v>259697.17332054776</v>
      </c>
      <c r="G50" s="107">
        <f t="shared" ca="1" si="4"/>
        <v>185676.2015814645</v>
      </c>
      <c r="H50" s="107">
        <f t="shared" ca="1" si="4"/>
        <v>185468.27750354575</v>
      </c>
      <c r="I50" s="107">
        <f t="shared" ca="1" si="4"/>
        <v>185676.2015814645</v>
      </c>
      <c r="J50" s="107">
        <f t="shared" ca="1" si="4"/>
        <v>92734.138751772873</v>
      </c>
      <c r="K50" s="107" t="str">
        <f t="shared" ca="1" si="4"/>
        <v/>
      </c>
      <c r="L50" s="107" t="str">
        <f t="shared" ca="1" si="4"/>
        <v/>
      </c>
      <c r="M50" s="107" t="str">
        <f t="shared" ca="1" si="4"/>
        <v/>
      </c>
      <c r="N50" s="107" t="str">
        <f t="shared" ca="1" si="4"/>
        <v/>
      </c>
      <c r="O50" s="107" t="str">
        <f t="shared" ca="1" si="4"/>
        <v/>
      </c>
      <c r="P50" s="107" t="str">
        <f t="shared" ca="1" si="4"/>
        <v/>
      </c>
      <c r="Q50" s="107" t="str">
        <f t="shared" ca="1" si="4"/>
        <v/>
      </c>
      <c r="R50" s="107" t="str">
        <f t="shared" ca="1" si="4"/>
        <v/>
      </c>
      <c r="S50" s="107" t="str">
        <f t="shared" ca="1" si="4"/>
        <v/>
      </c>
      <c r="T50" s="107" t="str">
        <f t="shared" ca="1" si="4"/>
        <v/>
      </c>
      <c r="U50" s="107" t="str">
        <f t="shared" ca="1" si="4"/>
        <v/>
      </c>
      <c r="V50" s="107" t="str">
        <f t="shared" ca="1" si="4"/>
        <v/>
      </c>
      <c r="W50" s="108" t="str">
        <f t="shared" ca="1" si="4"/>
        <v/>
      </c>
      <c r="X50" s="105">
        <f t="shared" ca="1" si="3"/>
        <v>2079240.7791877326</v>
      </c>
    </row>
    <row r="51" spans="1:24" ht="15" customHeight="1" x14ac:dyDescent="0.25">
      <c r="A51" s="73">
        <f>IF('Cash Flow Analysis'!C67="","",'Cash Flow Analysis'!C67)</f>
        <v>2</v>
      </c>
      <c r="B51" s="871">
        <f ca="1">IF(A51="","",IF(A51&lt;1,0,IF(A51=1,$B$44-'Cash Flow Analysis'!I67,-'Cash Flow Analysis'!I67)))</f>
        <v>0</v>
      </c>
      <c r="C51" s="106">
        <f t="shared" ref="C51:W51" ca="1" si="5">IF($B$51="","",IF(AND($B$42="Straight Line",C48&lt;=depr_length),$B$51/depr_length,IF(AND($B$42="MACRS",C48&lt;=depr_length+1),$B$51*INDEX(MACRS_Table,MATCH(C48,recovery_year,0),MATCH($B$43,recovery_period,0)),"")))</f>
        <v>0</v>
      </c>
      <c r="D51" s="107">
        <f t="shared" ca="1" si="5"/>
        <v>0</v>
      </c>
      <c r="E51" s="107">
        <f t="shared" ca="1" si="5"/>
        <v>0</v>
      </c>
      <c r="F51" s="107">
        <f t="shared" ca="1" si="5"/>
        <v>0</v>
      </c>
      <c r="G51" s="107">
        <f t="shared" ca="1" si="5"/>
        <v>0</v>
      </c>
      <c r="H51" s="107">
        <f t="shared" ca="1" si="5"/>
        <v>0</v>
      </c>
      <c r="I51" s="107">
        <f t="shared" ca="1" si="5"/>
        <v>0</v>
      </c>
      <c r="J51" s="107">
        <f t="shared" ca="1" si="5"/>
        <v>0</v>
      </c>
      <c r="K51" s="107" t="str">
        <f t="shared" ca="1" si="5"/>
        <v/>
      </c>
      <c r="L51" s="107" t="str">
        <f t="shared" ca="1" si="5"/>
        <v/>
      </c>
      <c r="M51" s="107" t="str">
        <f t="shared" ca="1" si="5"/>
        <v/>
      </c>
      <c r="N51" s="107" t="str">
        <f t="shared" ca="1" si="5"/>
        <v/>
      </c>
      <c r="O51" s="107" t="str">
        <f t="shared" ca="1" si="5"/>
        <v/>
      </c>
      <c r="P51" s="107" t="str">
        <f t="shared" ca="1" si="5"/>
        <v/>
      </c>
      <c r="Q51" s="107" t="str">
        <f t="shared" ca="1" si="5"/>
        <v/>
      </c>
      <c r="R51" s="107" t="str">
        <f t="shared" ca="1" si="5"/>
        <v/>
      </c>
      <c r="S51" s="107" t="str">
        <f t="shared" ca="1" si="5"/>
        <v/>
      </c>
      <c r="T51" s="107" t="str">
        <f t="shared" ca="1" si="5"/>
        <v/>
      </c>
      <c r="U51" s="107" t="str">
        <f t="shared" ca="1" si="5"/>
        <v/>
      </c>
      <c r="V51" s="107" t="str">
        <f t="shared" ca="1" si="5"/>
        <v/>
      </c>
      <c r="W51" s="108" t="str">
        <f t="shared" ca="1" si="5"/>
        <v/>
      </c>
      <c r="X51" s="105">
        <f t="shared" ca="1" si="3"/>
        <v>0</v>
      </c>
    </row>
    <row r="52" spans="1:24" ht="15" customHeight="1" x14ac:dyDescent="0.25">
      <c r="A52" s="73">
        <f>IF('Cash Flow Analysis'!C68="","",'Cash Flow Analysis'!C68)</f>
        <v>3</v>
      </c>
      <c r="B52" s="871">
        <f ca="1">IF(A52="","",IF(A52&lt;1,0,IF(A52=1,$B$44-'Cash Flow Analysis'!I68,-'Cash Flow Analysis'!I68)))</f>
        <v>0</v>
      </c>
      <c r="C52" s="106">
        <f t="shared" ref="C52:W52" ca="1" si="6">IF($B$52="","",IF(AND($B$42="Straight Line",C48&lt;=depr_length),$B$52/depr_length,IF(AND($B$42="MACRS",C48&lt;=depr_length+1),$B$52*INDEX(MACRS_Table,MATCH(C48,recovery_year,0),MATCH($B$43,recovery_period,0)),"")))</f>
        <v>0</v>
      </c>
      <c r="D52" s="107">
        <f t="shared" ca="1" si="6"/>
        <v>0</v>
      </c>
      <c r="E52" s="107">
        <f t="shared" ca="1" si="6"/>
        <v>0</v>
      </c>
      <c r="F52" s="107">
        <f t="shared" ca="1" si="6"/>
        <v>0</v>
      </c>
      <c r="G52" s="107">
        <f t="shared" ca="1" si="6"/>
        <v>0</v>
      </c>
      <c r="H52" s="107">
        <f t="shared" ca="1" si="6"/>
        <v>0</v>
      </c>
      <c r="I52" s="107">
        <f t="shared" ca="1" si="6"/>
        <v>0</v>
      </c>
      <c r="J52" s="107">
        <f t="shared" ca="1" si="6"/>
        <v>0</v>
      </c>
      <c r="K52" s="107" t="str">
        <f t="shared" ca="1" si="6"/>
        <v/>
      </c>
      <c r="L52" s="107" t="str">
        <f t="shared" ca="1" si="6"/>
        <v/>
      </c>
      <c r="M52" s="107" t="str">
        <f t="shared" ca="1" si="6"/>
        <v/>
      </c>
      <c r="N52" s="107" t="str">
        <f t="shared" ca="1" si="6"/>
        <v/>
      </c>
      <c r="O52" s="107" t="str">
        <f t="shared" ca="1" si="6"/>
        <v/>
      </c>
      <c r="P52" s="107" t="str">
        <f t="shared" ca="1" si="6"/>
        <v/>
      </c>
      <c r="Q52" s="107" t="str">
        <f t="shared" ca="1" si="6"/>
        <v/>
      </c>
      <c r="R52" s="107" t="str">
        <f t="shared" ca="1" si="6"/>
        <v/>
      </c>
      <c r="S52" s="107" t="str">
        <f t="shared" ca="1" si="6"/>
        <v/>
      </c>
      <c r="T52" s="107" t="str">
        <f t="shared" ca="1" si="6"/>
        <v/>
      </c>
      <c r="U52" s="107" t="str">
        <f t="shared" ca="1" si="6"/>
        <v/>
      </c>
      <c r="V52" s="107" t="str">
        <f t="shared" ca="1" si="6"/>
        <v/>
      </c>
      <c r="W52" s="108" t="str">
        <f t="shared" ca="1" si="6"/>
        <v/>
      </c>
      <c r="X52" s="105">
        <f t="shared" ca="1" si="3"/>
        <v>0</v>
      </c>
    </row>
    <row r="53" spans="1:24" ht="15" customHeight="1" x14ac:dyDescent="0.25">
      <c r="A53" s="73">
        <f>IF('Cash Flow Analysis'!C69="","",'Cash Flow Analysis'!C69)</f>
        <v>4</v>
      </c>
      <c r="B53" s="871">
        <f ca="1">IF(A53="","",IF(A53&lt;1,0,IF(A53=1,$B$44-'Cash Flow Analysis'!I69,-'Cash Flow Analysis'!I69)))</f>
        <v>0</v>
      </c>
      <c r="C53" s="106">
        <f t="shared" ref="C53:W53" ca="1" si="7">IF($B$53="","",IF(AND($B$42="Straight Line",C48&lt;=depr_length),$B$53/depr_length,IF(AND($B$42="MACRS",C48&lt;=depr_length+1),$B$53*INDEX(MACRS_Table,MATCH(C48,recovery_year,0),MATCH($B$43,recovery_period,0)),"")))</f>
        <v>0</v>
      </c>
      <c r="D53" s="107">
        <f t="shared" ca="1" si="7"/>
        <v>0</v>
      </c>
      <c r="E53" s="107">
        <f t="shared" ca="1" si="7"/>
        <v>0</v>
      </c>
      <c r="F53" s="107">
        <f t="shared" ca="1" si="7"/>
        <v>0</v>
      </c>
      <c r="G53" s="107">
        <f t="shared" ca="1" si="7"/>
        <v>0</v>
      </c>
      <c r="H53" s="107">
        <f t="shared" ca="1" si="7"/>
        <v>0</v>
      </c>
      <c r="I53" s="107">
        <f t="shared" ca="1" si="7"/>
        <v>0</v>
      </c>
      <c r="J53" s="107">
        <f t="shared" ca="1" si="7"/>
        <v>0</v>
      </c>
      <c r="K53" s="107" t="str">
        <f t="shared" ca="1" si="7"/>
        <v/>
      </c>
      <c r="L53" s="107" t="str">
        <f t="shared" ca="1" si="7"/>
        <v/>
      </c>
      <c r="M53" s="107" t="str">
        <f t="shared" ca="1" si="7"/>
        <v/>
      </c>
      <c r="N53" s="107" t="str">
        <f t="shared" ca="1" si="7"/>
        <v/>
      </c>
      <c r="O53" s="107" t="str">
        <f t="shared" ca="1" si="7"/>
        <v/>
      </c>
      <c r="P53" s="107" t="str">
        <f t="shared" ca="1" si="7"/>
        <v/>
      </c>
      <c r="Q53" s="107" t="str">
        <f t="shared" ca="1" si="7"/>
        <v/>
      </c>
      <c r="R53" s="107" t="str">
        <f t="shared" ca="1" si="7"/>
        <v/>
      </c>
      <c r="S53" s="107" t="str">
        <f t="shared" ca="1" si="7"/>
        <v/>
      </c>
      <c r="T53" s="107" t="str">
        <f t="shared" ca="1" si="7"/>
        <v/>
      </c>
      <c r="U53" s="107" t="str">
        <f t="shared" ca="1" si="7"/>
        <v/>
      </c>
      <c r="V53" s="107" t="str">
        <f t="shared" ca="1" si="7"/>
        <v/>
      </c>
      <c r="W53" s="108" t="str">
        <f t="shared" ca="1" si="7"/>
        <v/>
      </c>
      <c r="X53" s="105">
        <f t="shared" ca="1" si="3"/>
        <v>0</v>
      </c>
    </row>
    <row r="54" spans="1:24" ht="15" customHeight="1" x14ac:dyDescent="0.25">
      <c r="A54" s="73">
        <f>IF('Cash Flow Analysis'!C70="","",'Cash Flow Analysis'!C70)</f>
        <v>5</v>
      </c>
      <c r="B54" s="871">
        <f ca="1">IF(A54="","",IF(A54&lt;1,0,IF(A54=1,$B$44-'Cash Flow Analysis'!I70,-'Cash Flow Analysis'!I70)))</f>
        <v>0</v>
      </c>
      <c r="C54" s="106">
        <f t="shared" ref="C54:W54" ca="1" si="8">IF($B$54="","",IF(AND($B$42="Straight Line",C48&lt;=depr_length),$B$54/depr_length,IF(AND($B$42="MACRS",C48&lt;=depr_length+1),$B$54*INDEX(MACRS_Table,MATCH(C48,recovery_year,0),MATCH($B$43,recovery_period,0)),"")))</f>
        <v>0</v>
      </c>
      <c r="D54" s="107">
        <f t="shared" ca="1" si="8"/>
        <v>0</v>
      </c>
      <c r="E54" s="107">
        <f t="shared" ca="1" si="8"/>
        <v>0</v>
      </c>
      <c r="F54" s="107">
        <f t="shared" ca="1" si="8"/>
        <v>0</v>
      </c>
      <c r="G54" s="107">
        <f t="shared" ca="1" si="8"/>
        <v>0</v>
      </c>
      <c r="H54" s="107">
        <f t="shared" ca="1" si="8"/>
        <v>0</v>
      </c>
      <c r="I54" s="107">
        <f t="shared" ca="1" si="8"/>
        <v>0</v>
      </c>
      <c r="J54" s="107">
        <f t="shared" ca="1" si="8"/>
        <v>0</v>
      </c>
      <c r="K54" s="107" t="str">
        <f t="shared" ca="1" si="8"/>
        <v/>
      </c>
      <c r="L54" s="107" t="str">
        <f t="shared" ca="1" si="8"/>
        <v/>
      </c>
      <c r="M54" s="107" t="str">
        <f t="shared" ca="1" si="8"/>
        <v/>
      </c>
      <c r="N54" s="107" t="str">
        <f t="shared" ca="1" si="8"/>
        <v/>
      </c>
      <c r="O54" s="107" t="str">
        <f t="shared" ca="1" si="8"/>
        <v/>
      </c>
      <c r="P54" s="107" t="str">
        <f t="shared" ca="1" si="8"/>
        <v/>
      </c>
      <c r="Q54" s="107" t="str">
        <f t="shared" ca="1" si="8"/>
        <v/>
      </c>
      <c r="R54" s="107" t="str">
        <f t="shared" ca="1" si="8"/>
        <v/>
      </c>
      <c r="S54" s="107" t="str">
        <f t="shared" ca="1" si="8"/>
        <v/>
      </c>
      <c r="T54" s="107" t="str">
        <f t="shared" ca="1" si="8"/>
        <v/>
      </c>
      <c r="U54" s="107" t="str">
        <f t="shared" ca="1" si="8"/>
        <v/>
      </c>
      <c r="V54" s="107" t="str">
        <f t="shared" ca="1" si="8"/>
        <v/>
      </c>
      <c r="W54" s="108" t="str">
        <f t="shared" ca="1" si="8"/>
        <v/>
      </c>
      <c r="X54" s="105">
        <f t="shared" ca="1" si="3"/>
        <v>0</v>
      </c>
    </row>
    <row r="55" spans="1:24" ht="15" customHeight="1" x14ac:dyDescent="0.25">
      <c r="A55" s="73">
        <f>IF('Cash Flow Analysis'!C71="","",'Cash Flow Analysis'!C71)</f>
        <v>6</v>
      </c>
      <c r="B55" s="871">
        <f ca="1">IF(A55="","",IF(A55&lt;1,0,IF(A55=1,$B$44-'Cash Flow Analysis'!I71,-'Cash Flow Analysis'!I71)))</f>
        <v>240852.40037830276</v>
      </c>
      <c r="C55" s="106">
        <f t="shared" ref="C55:W55" ca="1" si="9">IF($B$55="","",IF(AND($B$42="Straight Line",C48&lt;=depr_length),$B$55/depr_length,IF(AND($B$42="MACRS",C48&lt;=depr_length+1),$B$55*INDEX(MACRS_Table,MATCH(C48,recovery_year,0),MATCH($B$43,recovery_period,0)),"")))</f>
        <v>34417.808014059461</v>
      </c>
      <c r="D55" s="107">
        <f t="shared" ca="1" si="9"/>
        <v>58984.75285264635</v>
      </c>
      <c r="E55" s="107">
        <f t="shared" ca="1" si="9"/>
        <v>42125.084826165155</v>
      </c>
      <c r="F55" s="107">
        <f t="shared" ca="1" si="9"/>
        <v>30082.464807250013</v>
      </c>
      <c r="G55" s="107">
        <f t="shared" ca="1" si="9"/>
        <v>21508.119353782437</v>
      </c>
      <c r="H55" s="107">
        <f t="shared" ca="1" si="9"/>
        <v>21484.034113744605</v>
      </c>
      <c r="I55" s="107">
        <f t="shared" ca="1" si="9"/>
        <v>21508.119353782437</v>
      </c>
      <c r="J55" s="107">
        <f t="shared" ca="1" si="9"/>
        <v>10742.017056872302</v>
      </c>
      <c r="K55" s="107" t="str">
        <f t="shared" ca="1" si="9"/>
        <v/>
      </c>
      <c r="L55" s="107" t="str">
        <f t="shared" ca="1" si="9"/>
        <v/>
      </c>
      <c r="M55" s="107" t="str">
        <f t="shared" ca="1" si="9"/>
        <v/>
      </c>
      <c r="N55" s="107" t="str">
        <f t="shared" ca="1" si="9"/>
        <v/>
      </c>
      <c r="O55" s="107" t="str">
        <f t="shared" ca="1" si="9"/>
        <v/>
      </c>
      <c r="P55" s="107" t="str">
        <f t="shared" ca="1" si="9"/>
        <v/>
      </c>
      <c r="Q55" s="107" t="str">
        <f t="shared" ca="1" si="9"/>
        <v/>
      </c>
      <c r="R55" s="107" t="str">
        <f t="shared" ca="1" si="9"/>
        <v/>
      </c>
      <c r="S55" s="107" t="str">
        <f t="shared" ca="1" si="9"/>
        <v/>
      </c>
      <c r="T55" s="107" t="str">
        <f t="shared" ca="1" si="9"/>
        <v/>
      </c>
      <c r="U55" s="107" t="str">
        <f t="shared" ca="1" si="9"/>
        <v/>
      </c>
      <c r="V55" s="107" t="str">
        <f t="shared" ca="1" si="9"/>
        <v/>
      </c>
      <c r="W55" s="108" t="str">
        <f t="shared" ca="1" si="9"/>
        <v/>
      </c>
      <c r="X55" s="105">
        <f t="shared" ca="1" si="3"/>
        <v>240852.40037830276</v>
      </c>
    </row>
    <row r="56" spans="1:24" ht="15" customHeight="1" x14ac:dyDescent="0.25">
      <c r="A56" s="73">
        <f>IF('Cash Flow Analysis'!C72="","",'Cash Flow Analysis'!C72)</f>
        <v>7</v>
      </c>
      <c r="B56" s="871">
        <f ca="1">IF(A56="","",IF(A56&lt;1,0,IF(A56=1,$B$44-'Cash Flow Analysis'!I72,-'Cash Flow Analysis'!I72)))</f>
        <v>0</v>
      </c>
      <c r="C56" s="106">
        <f t="shared" ref="C56:W56" ca="1" si="10">IF($B$56="","",IF(AND($B$42="Straight Line",C48&lt;=depr_length),$B$56/depr_length,IF(AND($B$42="MACRS",C48&lt;=depr_length+1),$B$56*INDEX(MACRS_Table,MATCH(C48,recovery_year,0),MATCH($B$43,recovery_period,0)),"")))</f>
        <v>0</v>
      </c>
      <c r="D56" s="107">
        <f t="shared" ca="1" si="10"/>
        <v>0</v>
      </c>
      <c r="E56" s="107">
        <f t="shared" ca="1" si="10"/>
        <v>0</v>
      </c>
      <c r="F56" s="107">
        <f t="shared" ca="1" si="10"/>
        <v>0</v>
      </c>
      <c r="G56" s="107">
        <f t="shared" ca="1" si="10"/>
        <v>0</v>
      </c>
      <c r="H56" s="107">
        <f t="shared" ca="1" si="10"/>
        <v>0</v>
      </c>
      <c r="I56" s="107">
        <f t="shared" ca="1" si="10"/>
        <v>0</v>
      </c>
      <c r="J56" s="107">
        <f t="shared" ca="1" si="10"/>
        <v>0</v>
      </c>
      <c r="K56" s="107" t="str">
        <f t="shared" ca="1" si="10"/>
        <v/>
      </c>
      <c r="L56" s="107" t="str">
        <f t="shared" ca="1" si="10"/>
        <v/>
      </c>
      <c r="M56" s="107" t="str">
        <f t="shared" ca="1" si="10"/>
        <v/>
      </c>
      <c r="N56" s="107" t="str">
        <f t="shared" ca="1" si="10"/>
        <v/>
      </c>
      <c r="O56" s="107" t="str">
        <f t="shared" ca="1" si="10"/>
        <v/>
      </c>
      <c r="P56" s="107" t="str">
        <f t="shared" ca="1" si="10"/>
        <v/>
      </c>
      <c r="Q56" s="107" t="str">
        <f t="shared" ca="1" si="10"/>
        <v/>
      </c>
      <c r="R56" s="107" t="str">
        <f t="shared" ca="1" si="10"/>
        <v/>
      </c>
      <c r="S56" s="107" t="str">
        <f t="shared" ca="1" si="10"/>
        <v/>
      </c>
      <c r="T56" s="107" t="str">
        <f t="shared" ca="1" si="10"/>
        <v/>
      </c>
      <c r="U56" s="107" t="str">
        <f t="shared" ca="1" si="10"/>
        <v/>
      </c>
      <c r="V56" s="107" t="str">
        <f t="shared" ca="1" si="10"/>
        <v/>
      </c>
      <c r="W56" s="108" t="str">
        <f t="shared" ca="1" si="10"/>
        <v/>
      </c>
      <c r="X56" s="105">
        <f t="shared" ca="1" si="3"/>
        <v>0</v>
      </c>
    </row>
    <row r="57" spans="1:24" ht="15" customHeight="1" x14ac:dyDescent="0.25">
      <c r="A57" s="73">
        <f>IF('Cash Flow Analysis'!C73="","",'Cash Flow Analysis'!C73)</f>
        <v>8</v>
      </c>
      <c r="B57" s="871">
        <f ca="1">IF(A57="","",IF(A57&lt;1,0,IF(A57=1,$B$44-'Cash Flow Analysis'!I73,-'Cash Flow Analysis'!I73)))</f>
        <v>0</v>
      </c>
      <c r="C57" s="106">
        <f t="shared" ref="C57:W57" ca="1" si="11">IF($B$57="","",IF(AND($B$42="Straight Line",C48&lt;=depr_length),$B$57/depr_length,IF(AND($B$42="MACRS",C48&lt;=depr_length+1),$B$57*INDEX(MACRS_Table,MATCH(C48,recovery_year,0),MATCH($B$43,recovery_period,0)),"")))</f>
        <v>0</v>
      </c>
      <c r="D57" s="107">
        <f t="shared" ca="1" si="11"/>
        <v>0</v>
      </c>
      <c r="E57" s="107">
        <f t="shared" ca="1" si="11"/>
        <v>0</v>
      </c>
      <c r="F57" s="107">
        <f t="shared" ca="1" si="11"/>
        <v>0</v>
      </c>
      <c r="G57" s="107">
        <f t="shared" ca="1" si="11"/>
        <v>0</v>
      </c>
      <c r="H57" s="107">
        <f t="shared" ca="1" si="11"/>
        <v>0</v>
      </c>
      <c r="I57" s="107">
        <f t="shared" ca="1" si="11"/>
        <v>0</v>
      </c>
      <c r="J57" s="107">
        <f t="shared" ca="1" si="11"/>
        <v>0</v>
      </c>
      <c r="K57" s="107" t="str">
        <f t="shared" ca="1" si="11"/>
        <v/>
      </c>
      <c r="L57" s="107" t="str">
        <f t="shared" ca="1" si="11"/>
        <v/>
      </c>
      <c r="M57" s="107" t="str">
        <f t="shared" ca="1" si="11"/>
        <v/>
      </c>
      <c r="N57" s="107" t="str">
        <f t="shared" ca="1" si="11"/>
        <v/>
      </c>
      <c r="O57" s="107" t="str">
        <f t="shared" ca="1" si="11"/>
        <v/>
      </c>
      <c r="P57" s="107" t="str">
        <f t="shared" ca="1" si="11"/>
        <v/>
      </c>
      <c r="Q57" s="107" t="str">
        <f t="shared" ca="1" si="11"/>
        <v/>
      </c>
      <c r="R57" s="107" t="str">
        <f t="shared" ca="1" si="11"/>
        <v/>
      </c>
      <c r="S57" s="107" t="str">
        <f t="shared" ca="1" si="11"/>
        <v/>
      </c>
      <c r="T57" s="107" t="str">
        <f t="shared" ca="1" si="11"/>
        <v/>
      </c>
      <c r="U57" s="107" t="str">
        <f t="shared" ca="1" si="11"/>
        <v/>
      </c>
      <c r="V57" s="107" t="str">
        <f t="shared" ca="1" si="11"/>
        <v/>
      </c>
      <c r="W57" s="108" t="str">
        <f t="shared" ca="1" si="11"/>
        <v/>
      </c>
      <c r="X57" s="105">
        <f t="shared" ca="1" si="3"/>
        <v>0</v>
      </c>
    </row>
    <row r="58" spans="1:24" ht="15" customHeight="1" x14ac:dyDescent="0.25">
      <c r="A58" s="73">
        <f>IF('Cash Flow Analysis'!C74="","",'Cash Flow Analysis'!C74)</f>
        <v>9</v>
      </c>
      <c r="B58" s="871">
        <f ca="1">IF(A58="","",IF(A58&lt;1,0,IF(A58=1,$B$44-'Cash Flow Analysis'!I74,-'Cash Flow Analysis'!I74)))</f>
        <v>0</v>
      </c>
      <c r="C58" s="106">
        <f t="shared" ref="C58:W58" ca="1" si="12">IF($B$58="","",IF(AND($B$42="Straight Line",C48&lt;=depr_length),$B$58/depr_length,IF(AND($B$42="MACRS",C48&lt;=depr_length+1),$B$58*INDEX(MACRS_Table,MATCH(C48,recovery_year,0),MATCH($B$43,recovery_period,0)),"")))</f>
        <v>0</v>
      </c>
      <c r="D58" s="107">
        <f t="shared" ca="1" si="12"/>
        <v>0</v>
      </c>
      <c r="E58" s="107">
        <f t="shared" ca="1" si="12"/>
        <v>0</v>
      </c>
      <c r="F58" s="107">
        <f t="shared" ca="1" si="12"/>
        <v>0</v>
      </c>
      <c r="G58" s="107">
        <f t="shared" ca="1" si="12"/>
        <v>0</v>
      </c>
      <c r="H58" s="107">
        <f t="shared" ca="1" si="12"/>
        <v>0</v>
      </c>
      <c r="I58" s="107">
        <f t="shared" ca="1" si="12"/>
        <v>0</v>
      </c>
      <c r="J58" s="107">
        <f t="shared" ca="1" si="12"/>
        <v>0</v>
      </c>
      <c r="K58" s="107" t="str">
        <f t="shared" ca="1" si="12"/>
        <v/>
      </c>
      <c r="L58" s="107" t="str">
        <f t="shared" ca="1" si="12"/>
        <v/>
      </c>
      <c r="M58" s="107" t="str">
        <f t="shared" ca="1" si="12"/>
        <v/>
      </c>
      <c r="N58" s="107" t="str">
        <f t="shared" ca="1" si="12"/>
        <v/>
      </c>
      <c r="O58" s="107" t="str">
        <f t="shared" ca="1" si="12"/>
        <v/>
      </c>
      <c r="P58" s="107" t="str">
        <f t="shared" ca="1" si="12"/>
        <v/>
      </c>
      <c r="Q58" s="107" t="str">
        <f t="shared" ca="1" si="12"/>
        <v/>
      </c>
      <c r="R58" s="107" t="str">
        <f t="shared" ca="1" si="12"/>
        <v/>
      </c>
      <c r="S58" s="107" t="str">
        <f t="shared" ca="1" si="12"/>
        <v/>
      </c>
      <c r="T58" s="107" t="str">
        <f t="shared" ca="1" si="12"/>
        <v/>
      </c>
      <c r="U58" s="107" t="str">
        <f t="shared" ca="1" si="12"/>
        <v/>
      </c>
      <c r="V58" s="107" t="str">
        <f t="shared" ca="1" si="12"/>
        <v/>
      </c>
      <c r="W58" s="108" t="str">
        <f t="shared" ca="1" si="12"/>
        <v/>
      </c>
      <c r="X58" s="105">
        <f t="shared" ca="1" si="3"/>
        <v>0</v>
      </c>
    </row>
    <row r="59" spans="1:24" ht="15" customHeight="1" x14ac:dyDescent="0.25">
      <c r="A59" s="73">
        <f>IF('Cash Flow Analysis'!C75="","",'Cash Flow Analysis'!C75)</f>
        <v>10</v>
      </c>
      <c r="B59" s="871">
        <f ca="1">IF(A59="","",IF(A59&lt;1,0,IF(A59=1,$B$44-'Cash Flow Analysis'!I75,-'Cash Flow Analysis'!I75)))</f>
        <v>0</v>
      </c>
      <c r="C59" s="106">
        <f t="shared" ref="C59:W59" ca="1" si="13">IF($B$59="","",IF(AND($B$42="Straight Line",C48&lt;=depr_length),$B$59/depr_length,IF(AND($B$42="MACRS",C48&lt;=depr_length+1),$B$59*INDEX(MACRS_Table,MATCH(C48,recovery_year,0),MATCH($B$43,recovery_period,0)),"")))</f>
        <v>0</v>
      </c>
      <c r="D59" s="107">
        <f t="shared" ca="1" si="13"/>
        <v>0</v>
      </c>
      <c r="E59" s="107">
        <f t="shared" ca="1" si="13"/>
        <v>0</v>
      </c>
      <c r="F59" s="107">
        <f t="shared" ca="1" si="13"/>
        <v>0</v>
      </c>
      <c r="G59" s="107">
        <f t="shared" ca="1" si="13"/>
        <v>0</v>
      </c>
      <c r="H59" s="107">
        <f t="shared" ca="1" si="13"/>
        <v>0</v>
      </c>
      <c r="I59" s="107">
        <f t="shared" ca="1" si="13"/>
        <v>0</v>
      </c>
      <c r="J59" s="107">
        <f t="shared" ca="1" si="13"/>
        <v>0</v>
      </c>
      <c r="K59" s="107" t="str">
        <f t="shared" ca="1" si="13"/>
        <v/>
      </c>
      <c r="L59" s="107" t="str">
        <f t="shared" ca="1" si="13"/>
        <v/>
      </c>
      <c r="M59" s="107" t="str">
        <f t="shared" ca="1" si="13"/>
        <v/>
      </c>
      <c r="N59" s="107" t="str">
        <f t="shared" ca="1" si="13"/>
        <v/>
      </c>
      <c r="O59" s="107" t="str">
        <f t="shared" ca="1" si="13"/>
        <v/>
      </c>
      <c r="P59" s="107" t="str">
        <f t="shared" ca="1" si="13"/>
        <v/>
      </c>
      <c r="Q59" s="107" t="str">
        <f t="shared" ca="1" si="13"/>
        <v/>
      </c>
      <c r="R59" s="107" t="str">
        <f t="shared" ca="1" si="13"/>
        <v/>
      </c>
      <c r="S59" s="107" t="str">
        <f t="shared" ca="1" si="13"/>
        <v/>
      </c>
      <c r="T59" s="107" t="str">
        <f t="shared" ca="1" si="13"/>
        <v/>
      </c>
      <c r="U59" s="107" t="str">
        <f t="shared" ca="1" si="13"/>
        <v/>
      </c>
      <c r="V59" s="107" t="str">
        <f t="shared" ca="1" si="13"/>
        <v/>
      </c>
      <c r="W59" s="108" t="str">
        <f t="shared" ca="1" si="13"/>
        <v/>
      </c>
      <c r="X59" s="105">
        <f t="shared" ca="1" si="3"/>
        <v>0</v>
      </c>
    </row>
    <row r="60" spans="1:24" ht="15" customHeight="1" x14ac:dyDescent="0.25">
      <c r="A60" s="73">
        <f>IF('Cash Flow Analysis'!C76="","",'Cash Flow Analysis'!C76)</f>
        <v>11</v>
      </c>
      <c r="B60" s="871">
        <f ca="1">IF(A60="","",IF(A60&lt;1,0,IF(A60=1,$B$44-'Cash Flow Analysis'!I76,-'Cash Flow Analysis'!I76)))</f>
        <v>0</v>
      </c>
      <c r="C60" s="106">
        <f t="shared" ref="C60:W60" ca="1" si="14">IF($B$60="","",IF(AND($B$42="Straight Line",C48&lt;=depr_length),$B$60/depr_length,IF(AND($B$42="MACRS",C48&lt;=depr_length+1),$B$60*INDEX(MACRS_Table,MATCH(C48,recovery_year,0),MATCH($B$43,recovery_period,0)),"")))</f>
        <v>0</v>
      </c>
      <c r="D60" s="107">
        <f t="shared" ca="1" si="14"/>
        <v>0</v>
      </c>
      <c r="E60" s="107">
        <f t="shared" ca="1" si="14"/>
        <v>0</v>
      </c>
      <c r="F60" s="107">
        <f t="shared" ca="1" si="14"/>
        <v>0</v>
      </c>
      <c r="G60" s="107">
        <f t="shared" ca="1" si="14"/>
        <v>0</v>
      </c>
      <c r="H60" s="107">
        <f t="shared" ca="1" si="14"/>
        <v>0</v>
      </c>
      <c r="I60" s="107">
        <f t="shared" ca="1" si="14"/>
        <v>0</v>
      </c>
      <c r="J60" s="107">
        <f t="shared" ca="1" si="14"/>
        <v>0</v>
      </c>
      <c r="K60" s="107" t="str">
        <f t="shared" ca="1" si="14"/>
        <v/>
      </c>
      <c r="L60" s="107" t="str">
        <f t="shared" ca="1" si="14"/>
        <v/>
      </c>
      <c r="M60" s="107" t="str">
        <f t="shared" ca="1" si="14"/>
        <v/>
      </c>
      <c r="N60" s="107" t="str">
        <f t="shared" ca="1" si="14"/>
        <v/>
      </c>
      <c r="O60" s="107" t="str">
        <f t="shared" ca="1" si="14"/>
        <v/>
      </c>
      <c r="P60" s="107" t="str">
        <f t="shared" ca="1" si="14"/>
        <v/>
      </c>
      <c r="Q60" s="107" t="str">
        <f t="shared" ca="1" si="14"/>
        <v/>
      </c>
      <c r="R60" s="107" t="str">
        <f t="shared" ca="1" si="14"/>
        <v/>
      </c>
      <c r="S60" s="107" t="str">
        <f t="shared" ca="1" si="14"/>
        <v/>
      </c>
      <c r="T60" s="107" t="str">
        <f t="shared" ca="1" si="14"/>
        <v/>
      </c>
      <c r="U60" s="107" t="str">
        <f t="shared" ca="1" si="14"/>
        <v/>
      </c>
      <c r="V60" s="107" t="str">
        <f t="shared" ca="1" si="14"/>
        <v/>
      </c>
      <c r="W60" s="108" t="str">
        <f t="shared" ca="1" si="14"/>
        <v/>
      </c>
      <c r="X60" s="105">
        <f t="shared" ca="1" si="3"/>
        <v>0</v>
      </c>
    </row>
    <row r="61" spans="1:24" ht="15" customHeight="1" x14ac:dyDescent="0.25">
      <c r="A61" s="73">
        <f>IF('Cash Flow Analysis'!C77="","",'Cash Flow Analysis'!C77)</f>
        <v>12</v>
      </c>
      <c r="B61" s="871">
        <f ca="1">IF(A61="","",IF(A61&lt;1,0,IF(A61=1,$B$44-'Cash Flow Analysis'!I77,-'Cash Flow Analysis'!I77)))</f>
        <v>0</v>
      </c>
      <c r="C61" s="106">
        <f t="shared" ref="C61:W61" ca="1" si="15">IF($B$61="","",IF(AND($B$42="Straight Line",C48&lt;=depr_length),$B$61/depr_length,IF(AND($B$42="MACRS",C48&lt;=depr_length+1),$B$61*INDEX(MACRS_Table,MATCH(C48,recovery_year,0),MATCH($B$43,recovery_period,0)),"")))</f>
        <v>0</v>
      </c>
      <c r="D61" s="107">
        <f t="shared" ca="1" si="15"/>
        <v>0</v>
      </c>
      <c r="E61" s="107">
        <f t="shared" ca="1" si="15"/>
        <v>0</v>
      </c>
      <c r="F61" s="107">
        <f t="shared" ca="1" si="15"/>
        <v>0</v>
      </c>
      <c r="G61" s="107">
        <f t="shared" ca="1" si="15"/>
        <v>0</v>
      </c>
      <c r="H61" s="107">
        <f t="shared" ca="1" si="15"/>
        <v>0</v>
      </c>
      <c r="I61" s="107">
        <f t="shared" ca="1" si="15"/>
        <v>0</v>
      </c>
      <c r="J61" s="107">
        <f t="shared" ca="1" si="15"/>
        <v>0</v>
      </c>
      <c r="K61" s="107" t="str">
        <f t="shared" ca="1" si="15"/>
        <v/>
      </c>
      <c r="L61" s="107" t="str">
        <f t="shared" ca="1" si="15"/>
        <v/>
      </c>
      <c r="M61" s="107" t="str">
        <f t="shared" ca="1" si="15"/>
        <v/>
      </c>
      <c r="N61" s="107" t="str">
        <f t="shared" ca="1" si="15"/>
        <v/>
      </c>
      <c r="O61" s="107" t="str">
        <f t="shared" ca="1" si="15"/>
        <v/>
      </c>
      <c r="P61" s="107" t="str">
        <f t="shared" ca="1" si="15"/>
        <v/>
      </c>
      <c r="Q61" s="107" t="str">
        <f t="shared" ca="1" si="15"/>
        <v/>
      </c>
      <c r="R61" s="107" t="str">
        <f t="shared" ca="1" si="15"/>
        <v/>
      </c>
      <c r="S61" s="107" t="str">
        <f t="shared" ca="1" si="15"/>
        <v/>
      </c>
      <c r="T61" s="107" t="str">
        <f t="shared" ca="1" si="15"/>
        <v/>
      </c>
      <c r="U61" s="107" t="str">
        <f t="shared" ca="1" si="15"/>
        <v/>
      </c>
      <c r="V61" s="107" t="str">
        <f t="shared" ca="1" si="15"/>
        <v/>
      </c>
      <c r="W61" s="108" t="str">
        <f t="shared" ca="1" si="15"/>
        <v/>
      </c>
      <c r="X61" s="105">
        <f t="shared" ca="1" si="3"/>
        <v>0</v>
      </c>
    </row>
    <row r="62" spans="1:24" ht="15" customHeight="1" x14ac:dyDescent="0.25">
      <c r="A62" s="73">
        <f>IF('Cash Flow Analysis'!C78="","",'Cash Flow Analysis'!C78)</f>
        <v>13</v>
      </c>
      <c r="B62" s="871">
        <f ca="1">IF(A62="","",IF(A62&lt;1,0,IF(A62=1,$B$44-'Cash Flow Analysis'!I78,-'Cash Flow Analysis'!I78)))</f>
        <v>274770.60309517535</v>
      </c>
      <c r="C62" s="106">
        <f t="shared" ref="C62:W62" ca="1" si="16">IF($B$62="","",IF(AND($B$42="Straight Line",C48&lt;=depr_length),$B$62/depr_length,IF(AND($B$42="MACRS",C48&lt;=depr_length+1),$B$62*INDEX(MACRS_Table,MATCH(C48,recovery_year,0),MATCH($B$43,recovery_period,0)),"")))</f>
        <v>39264.719182300556</v>
      </c>
      <c r="D62" s="107">
        <f t="shared" ca="1" si="16"/>
        <v>67291.320698008451</v>
      </c>
      <c r="E62" s="107">
        <f t="shared" ca="1" si="16"/>
        <v>48057.378481346168</v>
      </c>
      <c r="F62" s="107">
        <f t="shared" ca="1" si="16"/>
        <v>34318.848326587402</v>
      </c>
      <c r="G62" s="107">
        <f t="shared" ca="1" si="16"/>
        <v>24537.014856399161</v>
      </c>
      <c r="H62" s="107">
        <f t="shared" ca="1" si="16"/>
        <v>24509.53779608964</v>
      </c>
      <c r="I62" s="107">
        <f t="shared" ca="1" si="16"/>
        <v>24537.014856399161</v>
      </c>
      <c r="J62" s="107">
        <f t="shared" ca="1" si="16"/>
        <v>12254.76889804482</v>
      </c>
      <c r="K62" s="107" t="str">
        <f t="shared" ca="1" si="16"/>
        <v/>
      </c>
      <c r="L62" s="107" t="str">
        <f t="shared" ca="1" si="16"/>
        <v/>
      </c>
      <c r="M62" s="107" t="str">
        <f t="shared" ca="1" si="16"/>
        <v/>
      </c>
      <c r="N62" s="107" t="str">
        <f t="shared" ca="1" si="16"/>
        <v/>
      </c>
      <c r="O62" s="107" t="str">
        <f t="shared" ca="1" si="16"/>
        <v/>
      </c>
      <c r="P62" s="107" t="str">
        <f t="shared" ca="1" si="16"/>
        <v/>
      </c>
      <c r="Q62" s="107" t="str">
        <f t="shared" ca="1" si="16"/>
        <v/>
      </c>
      <c r="R62" s="107" t="str">
        <f t="shared" ca="1" si="16"/>
        <v/>
      </c>
      <c r="S62" s="107" t="str">
        <f t="shared" ca="1" si="16"/>
        <v/>
      </c>
      <c r="T62" s="107" t="str">
        <f t="shared" ca="1" si="16"/>
        <v/>
      </c>
      <c r="U62" s="107" t="str">
        <f t="shared" ca="1" si="16"/>
        <v/>
      </c>
      <c r="V62" s="107" t="str">
        <f t="shared" ca="1" si="16"/>
        <v/>
      </c>
      <c r="W62" s="108" t="str">
        <f t="shared" ca="1" si="16"/>
        <v/>
      </c>
      <c r="X62" s="105">
        <f t="shared" ca="1" si="3"/>
        <v>274770.60309517535</v>
      </c>
    </row>
    <row r="63" spans="1:24" ht="15" customHeight="1" x14ac:dyDescent="0.25">
      <c r="A63" s="73">
        <f>IF('Cash Flow Analysis'!C79="","",'Cash Flow Analysis'!C79)</f>
        <v>14</v>
      </c>
      <c r="B63" s="871">
        <f ca="1">IF(A63="","",IF(A63&lt;1,0,IF(A63=1,$B$44-'Cash Flow Analysis'!I79,-'Cash Flow Analysis'!I79)))</f>
        <v>0</v>
      </c>
      <c r="C63" s="106">
        <f t="shared" ref="C63:W63" ca="1" si="17">IF($B$63="","",IF(AND($B$42="Straight Line",C48&lt;=depr_length),$B$63/depr_length,IF(AND($B$42="MACRS",C48&lt;=depr_length+1),$B$63*INDEX(MACRS_Table,MATCH(C48,recovery_year,0),MATCH($B$43,recovery_period,0)),"")))</f>
        <v>0</v>
      </c>
      <c r="D63" s="107">
        <f t="shared" ca="1" si="17"/>
        <v>0</v>
      </c>
      <c r="E63" s="107">
        <f t="shared" ca="1" si="17"/>
        <v>0</v>
      </c>
      <c r="F63" s="107">
        <f t="shared" ca="1" si="17"/>
        <v>0</v>
      </c>
      <c r="G63" s="107">
        <f t="shared" ca="1" si="17"/>
        <v>0</v>
      </c>
      <c r="H63" s="107">
        <f t="shared" ca="1" si="17"/>
        <v>0</v>
      </c>
      <c r="I63" s="107">
        <f t="shared" ca="1" si="17"/>
        <v>0</v>
      </c>
      <c r="J63" s="107">
        <f t="shared" ca="1" si="17"/>
        <v>0</v>
      </c>
      <c r="K63" s="107" t="str">
        <f t="shared" ca="1" si="17"/>
        <v/>
      </c>
      <c r="L63" s="107" t="str">
        <f t="shared" ca="1" si="17"/>
        <v/>
      </c>
      <c r="M63" s="107" t="str">
        <f t="shared" ca="1" si="17"/>
        <v/>
      </c>
      <c r="N63" s="107" t="str">
        <f t="shared" ca="1" si="17"/>
        <v/>
      </c>
      <c r="O63" s="107" t="str">
        <f t="shared" ca="1" si="17"/>
        <v/>
      </c>
      <c r="P63" s="107" t="str">
        <f t="shared" ca="1" si="17"/>
        <v/>
      </c>
      <c r="Q63" s="107" t="str">
        <f t="shared" ca="1" si="17"/>
        <v/>
      </c>
      <c r="R63" s="107" t="str">
        <f t="shared" ca="1" si="17"/>
        <v/>
      </c>
      <c r="S63" s="107" t="str">
        <f t="shared" ca="1" si="17"/>
        <v/>
      </c>
      <c r="T63" s="107" t="str">
        <f t="shared" ca="1" si="17"/>
        <v/>
      </c>
      <c r="U63" s="107" t="str">
        <f t="shared" ca="1" si="17"/>
        <v/>
      </c>
      <c r="V63" s="107" t="str">
        <f t="shared" ca="1" si="17"/>
        <v/>
      </c>
      <c r="W63" s="108" t="str">
        <f t="shared" ca="1" si="17"/>
        <v/>
      </c>
      <c r="X63" s="105">
        <f t="shared" ca="1" si="3"/>
        <v>0</v>
      </c>
    </row>
    <row r="64" spans="1:24" ht="15" customHeight="1" x14ac:dyDescent="0.25">
      <c r="A64" s="73">
        <f>IF('Cash Flow Analysis'!C80="","",'Cash Flow Analysis'!C80)</f>
        <v>15</v>
      </c>
      <c r="B64" s="871">
        <f ca="1">IF(A64="","",IF(A64&lt;1,0,IF(A64=1,$B$44-'Cash Flow Analysis'!I80,-'Cash Flow Analysis'!I80)))</f>
        <v>0</v>
      </c>
      <c r="C64" s="106">
        <f t="shared" ref="C64:W64" ca="1" si="18">IF($B$64="","",IF(AND($B$42="Straight Line",C48&lt;=depr_length),$B$64/depr_length,IF(AND($B$42="MACRS",C48&lt;=depr_length+1),$B$64*INDEX(MACRS_Table,MATCH(C48,recovery_year,0),MATCH($B$43,recovery_period,0)),"")))</f>
        <v>0</v>
      </c>
      <c r="D64" s="107">
        <f t="shared" ca="1" si="18"/>
        <v>0</v>
      </c>
      <c r="E64" s="107">
        <f t="shared" ca="1" si="18"/>
        <v>0</v>
      </c>
      <c r="F64" s="107">
        <f t="shared" ca="1" si="18"/>
        <v>0</v>
      </c>
      <c r="G64" s="107">
        <f t="shared" ca="1" si="18"/>
        <v>0</v>
      </c>
      <c r="H64" s="107">
        <f t="shared" ca="1" si="18"/>
        <v>0</v>
      </c>
      <c r="I64" s="107">
        <f t="shared" ca="1" si="18"/>
        <v>0</v>
      </c>
      <c r="J64" s="107">
        <f t="shared" ca="1" si="18"/>
        <v>0</v>
      </c>
      <c r="K64" s="107" t="str">
        <f t="shared" ca="1" si="18"/>
        <v/>
      </c>
      <c r="L64" s="107" t="str">
        <f t="shared" ca="1" si="18"/>
        <v/>
      </c>
      <c r="M64" s="107" t="str">
        <f t="shared" ca="1" si="18"/>
        <v/>
      </c>
      <c r="N64" s="107" t="str">
        <f t="shared" ca="1" si="18"/>
        <v/>
      </c>
      <c r="O64" s="107" t="str">
        <f t="shared" ca="1" si="18"/>
        <v/>
      </c>
      <c r="P64" s="107" t="str">
        <f t="shared" ca="1" si="18"/>
        <v/>
      </c>
      <c r="Q64" s="107" t="str">
        <f t="shared" ca="1" si="18"/>
        <v/>
      </c>
      <c r="R64" s="107" t="str">
        <f t="shared" ca="1" si="18"/>
        <v/>
      </c>
      <c r="S64" s="107" t="str">
        <f t="shared" ca="1" si="18"/>
        <v/>
      </c>
      <c r="T64" s="107" t="str">
        <f t="shared" ca="1" si="18"/>
        <v/>
      </c>
      <c r="U64" s="107" t="str">
        <f t="shared" ca="1" si="18"/>
        <v/>
      </c>
      <c r="V64" s="107" t="str">
        <f t="shared" ca="1" si="18"/>
        <v/>
      </c>
      <c r="W64" s="108" t="str">
        <f t="shared" ca="1" si="18"/>
        <v/>
      </c>
      <c r="X64" s="105">
        <f t="shared" ca="1" si="3"/>
        <v>0</v>
      </c>
    </row>
    <row r="65" spans="1:24" ht="15" customHeight="1" x14ac:dyDescent="0.25">
      <c r="A65" s="73">
        <f>IF('Cash Flow Analysis'!C81="","",'Cash Flow Analysis'!C81)</f>
        <v>16</v>
      </c>
      <c r="B65" s="871">
        <f ca="1">IF(A65="","",IF(A65&lt;1,0,IF(A65=1,$B$44-'Cash Flow Analysis'!I81,-'Cash Flow Analysis'!I81)))</f>
        <v>0</v>
      </c>
      <c r="C65" s="106">
        <f t="shared" ref="C65:W65" ca="1" si="19">IF($B$65="","",IF(AND($B$42="Straight Line",C48&lt;=depr_length),$B$65/depr_length,IF(AND($B$42="MACRS",C48&lt;=depr_length+1),$B$65*INDEX(MACRS_Table,MATCH(C48,recovery_year,0),MATCH($B$43,recovery_period,0)),"")))</f>
        <v>0</v>
      </c>
      <c r="D65" s="107">
        <f t="shared" ca="1" si="19"/>
        <v>0</v>
      </c>
      <c r="E65" s="107">
        <f t="shared" ca="1" si="19"/>
        <v>0</v>
      </c>
      <c r="F65" s="107">
        <f t="shared" ca="1" si="19"/>
        <v>0</v>
      </c>
      <c r="G65" s="107">
        <f t="shared" ca="1" si="19"/>
        <v>0</v>
      </c>
      <c r="H65" s="107">
        <f t="shared" ca="1" si="19"/>
        <v>0</v>
      </c>
      <c r="I65" s="107">
        <f t="shared" ca="1" si="19"/>
        <v>0</v>
      </c>
      <c r="J65" s="107">
        <f t="shared" ca="1" si="19"/>
        <v>0</v>
      </c>
      <c r="K65" s="107" t="str">
        <f t="shared" ca="1" si="19"/>
        <v/>
      </c>
      <c r="L65" s="107" t="str">
        <f t="shared" ca="1" si="19"/>
        <v/>
      </c>
      <c r="M65" s="107" t="str">
        <f t="shared" ca="1" si="19"/>
        <v/>
      </c>
      <c r="N65" s="107" t="str">
        <f t="shared" ca="1" si="19"/>
        <v/>
      </c>
      <c r="O65" s="107" t="str">
        <f t="shared" ca="1" si="19"/>
        <v/>
      </c>
      <c r="P65" s="107" t="str">
        <f t="shared" ca="1" si="19"/>
        <v/>
      </c>
      <c r="Q65" s="107" t="str">
        <f t="shared" ca="1" si="19"/>
        <v/>
      </c>
      <c r="R65" s="107" t="str">
        <f t="shared" ca="1" si="19"/>
        <v/>
      </c>
      <c r="S65" s="107" t="str">
        <f t="shared" ca="1" si="19"/>
        <v/>
      </c>
      <c r="T65" s="107" t="str">
        <f t="shared" ca="1" si="19"/>
        <v/>
      </c>
      <c r="U65" s="107" t="str">
        <f t="shared" ca="1" si="19"/>
        <v/>
      </c>
      <c r="V65" s="107" t="str">
        <f t="shared" ca="1" si="19"/>
        <v/>
      </c>
      <c r="W65" s="108" t="str">
        <f t="shared" ca="1" si="19"/>
        <v/>
      </c>
      <c r="X65" s="105">
        <f t="shared" ca="1" si="3"/>
        <v>0</v>
      </c>
    </row>
    <row r="66" spans="1:24" ht="15" customHeight="1" x14ac:dyDescent="0.25">
      <c r="A66" s="73">
        <f>IF('Cash Flow Analysis'!C82="","",'Cash Flow Analysis'!C82)</f>
        <v>17</v>
      </c>
      <c r="B66" s="871">
        <f ca="1">IF(A66="","",IF(A66&lt;1,0,IF(A66=1,$B$44-'Cash Flow Analysis'!I82,-'Cash Flow Analysis'!I82)))</f>
        <v>0</v>
      </c>
      <c r="C66" s="106">
        <f t="shared" ref="C66:W66" ca="1" si="20">IF($B$66="","",IF(AND($B$42="Straight Line",C48&lt;=depr_length),$B$66/depr_length,IF(AND($B$42="MACRS",C48&lt;=depr_length+1),$B$66*INDEX(MACRS_Table,MATCH(C48,recovery_year,0),MATCH($B$43,recovery_period,0)),"")))</f>
        <v>0</v>
      </c>
      <c r="D66" s="107">
        <f t="shared" ca="1" si="20"/>
        <v>0</v>
      </c>
      <c r="E66" s="107">
        <f t="shared" ca="1" si="20"/>
        <v>0</v>
      </c>
      <c r="F66" s="107">
        <f t="shared" ca="1" si="20"/>
        <v>0</v>
      </c>
      <c r="G66" s="107">
        <f t="shared" ca="1" si="20"/>
        <v>0</v>
      </c>
      <c r="H66" s="107">
        <f t="shared" ca="1" si="20"/>
        <v>0</v>
      </c>
      <c r="I66" s="107">
        <f t="shared" ca="1" si="20"/>
        <v>0</v>
      </c>
      <c r="J66" s="107">
        <f t="shared" ca="1" si="20"/>
        <v>0</v>
      </c>
      <c r="K66" s="107" t="str">
        <f t="shared" ca="1" si="20"/>
        <v/>
      </c>
      <c r="L66" s="107" t="str">
        <f t="shared" ca="1" si="20"/>
        <v/>
      </c>
      <c r="M66" s="107" t="str">
        <f t="shared" ca="1" si="20"/>
        <v/>
      </c>
      <c r="N66" s="107" t="str">
        <f t="shared" ca="1" si="20"/>
        <v/>
      </c>
      <c r="O66" s="107" t="str">
        <f t="shared" ca="1" si="20"/>
        <v/>
      </c>
      <c r="P66" s="107" t="str">
        <f t="shared" ca="1" si="20"/>
        <v/>
      </c>
      <c r="Q66" s="107" t="str">
        <f t="shared" ca="1" si="20"/>
        <v/>
      </c>
      <c r="R66" s="107" t="str">
        <f t="shared" ca="1" si="20"/>
        <v/>
      </c>
      <c r="S66" s="107" t="str">
        <f t="shared" ca="1" si="20"/>
        <v/>
      </c>
      <c r="T66" s="107" t="str">
        <f t="shared" ca="1" si="20"/>
        <v/>
      </c>
      <c r="U66" s="107" t="str">
        <f t="shared" ca="1" si="20"/>
        <v/>
      </c>
      <c r="V66" s="107" t="str">
        <f t="shared" ca="1" si="20"/>
        <v/>
      </c>
      <c r="W66" s="108" t="str">
        <f t="shared" ca="1" si="20"/>
        <v/>
      </c>
      <c r="X66" s="105">
        <f t="shared" ca="1" si="3"/>
        <v>0</v>
      </c>
    </row>
    <row r="67" spans="1:24" ht="15" customHeight="1" x14ac:dyDescent="0.25">
      <c r="A67" s="73">
        <f>IF('Cash Flow Analysis'!C83="","",'Cash Flow Analysis'!C83)</f>
        <v>18</v>
      </c>
      <c r="B67" s="871">
        <f ca="1">IF(A67="","",IF(A67&lt;1,0,IF(A67=1,$B$44-'Cash Flow Analysis'!I83,-'Cash Flow Analysis'!I83)))</f>
        <v>0</v>
      </c>
      <c r="C67" s="106">
        <f t="shared" ref="C67:W67" ca="1" si="21">IF($B$67="","",IF(AND($B$42="Straight Line",C48&lt;=depr_length),$B$67/depr_length,IF(AND($B$42="MACRS",C48&lt;=depr_length+1),$B$67*INDEX(MACRS_Table,MATCH(C48,recovery_year,0),MATCH($B$43,recovery_period,0)),"")))</f>
        <v>0</v>
      </c>
      <c r="D67" s="107">
        <f t="shared" ca="1" si="21"/>
        <v>0</v>
      </c>
      <c r="E67" s="107">
        <f t="shared" ca="1" si="21"/>
        <v>0</v>
      </c>
      <c r="F67" s="107">
        <f t="shared" ca="1" si="21"/>
        <v>0</v>
      </c>
      <c r="G67" s="107">
        <f t="shared" ca="1" si="21"/>
        <v>0</v>
      </c>
      <c r="H67" s="107">
        <f t="shared" ca="1" si="21"/>
        <v>0</v>
      </c>
      <c r="I67" s="107">
        <f t="shared" ca="1" si="21"/>
        <v>0</v>
      </c>
      <c r="J67" s="107">
        <f t="shared" ca="1" si="21"/>
        <v>0</v>
      </c>
      <c r="K67" s="107" t="str">
        <f t="shared" ca="1" si="21"/>
        <v/>
      </c>
      <c r="L67" s="107" t="str">
        <f t="shared" ca="1" si="21"/>
        <v/>
      </c>
      <c r="M67" s="107" t="str">
        <f t="shared" ca="1" si="21"/>
        <v/>
      </c>
      <c r="N67" s="107" t="str">
        <f t="shared" ca="1" si="21"/>
        <v/>
      </c>
      <c r="O67" s="107" t="str">
        <f t="shared" ca="1" si="21"/>
        <v/>
      </c>
      <c r="P67" s="107" t="str">
        <f t="shared" ca="1" si="21"/>
        <v/>
      </c>
      <c r="Q67" s="107" t="str">
        <f t="shared" ca="1" si="21"/>
        <v/>
      </c>
      <c r="R67" s="107" t="str">
        <f t="shared" ca="1" si="21"/>
        <v/>
      </c>
      <c r="S67" s="107" t="str">
        <f t="shared" ca="1" si="21"/>
        <v/>
      </c>
      <c r="T67" s="107" t="str">
        <f t="shared" ca="1" si="21"/>
        <v/>
      </c>
      <c r="U67" s="107" t="str">
        <f t="shared" ca="1" si="21"/>
        <v/>
      </c>
      <c r="V67" s="107" t="str">
        <f t="shared" ca="1" si="21"/>
        <v/>
      </c>
      <c r="W67" s="108" t="str">
        <f t="shared" ca="1" si="21"/>
        <v/>
      </c>
      <c r="X67" s="105">
        <f t="shared" ca="1" si="3"/>
        <v>0</v>
      </c>
    </row>
    <row r="68" spans="1:24" ht="15" customHeight="1" x14ac:dyDescent="0.25">
      <c r="A68" s="73">
        <f>IF('Cash Flow Analysis'!C84="","",'Cash Flow Analysis'!C84)</f>
        <v>19</v>
      </c>
      <c r="B68" s="871">
        <f ca="1">IF(A68="","",IF(A68&lt;1,0,IF(A68=1,$B$44-'Cash Flow Analysis'!I84,-'Cash Flow Analysis'!I84)))</f>
        <v>0</v>
      </c>
      <c r="C68" s="106">
        <f t="shared" ref="C68:W68" ca="1" si="22">IF($B$68="","",IF(AND($B$42="Straight Line",C48&lt;=depr_length),$B$68/depr_length,IF(AND($B$42="MACRS",C48&lt;=depr_length+1),$B$68*INDEX(MACRS_Table,MATCH(C48,recovery_year,0),MATCH($B$43,recovery_period,0)),"")))</f>
        <v>0</v>
      </c>
      <c r="D68" s="107">
        <f t="shared" ca="1" si="22"/>
        <v>0</v>
      </c>
      <c r="E68" s="107">
        <f t="shared" ca="1" si="22"/>
        <v>0</v>
      </c>
      <c r="F68" s="107">
        <f t="shared" ca="1" si="22"/>
        <v>0</v>
      </c>
      <c r="G68" s="107">
        <f t="shared" ca="1" si="22"/>
        <v>0</v>
      </c>
      <c r="H68" s="107">
        <f t="shared" ca="1" si="22"/>
        <v>0</v>
      </c>
      <c r="I68" s="107">
        <f t="shared" ca="1" si="22"/>
        <v>0</v>
      </c>
      <c r="J68" s="107">
        <f t="shared" ca="1" si="22"/>
        <v>0</v>
      </c>
      <c r="K68" s="107" t="str">
        <f t="shared" ca="1" si="22"/>
        <v/>
      </c>
      <c r="L68" s="107" t="str">
        <f t="shared" ca="1" si="22"/>
        <v/>
      </c>
      <c r="M68" s="107" t="str">
        <f t="shared" ca="1" si="22"/>
        <v/>
      </c>
      <c r="N68" s="107" t="str">
        <f t="shared" ca="1" si="22"/>
        <v/>
      </c>
      <c r="O68" s="107" t="str">
        <f t="shared" ca="1" si="22"/>
        <v/>
      </c>
      <c r="P68" s="107" t="str">
        <f t="shared" ca="1" si="22"/>
        <v/>
      </c>
      <c r="Q68" s="107" t="str">
        <f t="shared" ca="1" si="22"/>
        <v/>
      </c>
      <c r="R68" s="107" t="str">
        <f t="shared" ca="1" si="22"/>
        <v/>
      </c>
      <c r="S68" s="107" t="str">
        <f t="shared" ca="1" si="22"/>
        <v/>
      </c>
      <c r="T68" s="107" t="str">
        <f t="shared" ca="1" si="22"/>
        <v/>
      </c>
      <c r="U68" s="107" t="str">
        <f t="shared" ca="1" si="22"/>
        <v/>
      </c>
      <c r="V68" s="107" t="str">
        <f t="shared" ca="1" si="22"/>
        <v/>
      </c>
      <c r="W68" s="108" t="str">
        <f t="shared" ca="1" si="22"/>
        <v/>
      </c>
      <c r="X68" s="105">
        <f t="shared" ca="1" si="3"/>
        <v>0</v>
      </c>
    </row>
    <row r="69" spans="1:24" ht="15" customHeight="1" x14ac:dyDescent="0.25">
      <c r="A69" s="73">
        <f>IF('Cash Flow Analysis'!C85="","",'Cash Flow Analysis'!C85)</f>
        <v>20</v>
      </c>
      <c r="B69" s="871">
        <f ca="1">IF(A69="","",IF(A69&lt;1,0,IF(A69=1,$B$44-'Cash Flow Analysis'!I85,-'Cash Flow Analysis'!I85)))</f>
        <v>0</v>
      </c>
      <c r="C69" s="106">
        <f t="shared" ref="C69:W69" ca="1" si="23">IF($B$69="","",IF(AND($B$42="Straight Line",C48&lt;=depr_length),$B$69/depr_length,IF(AND($B$42="MACRS",C48&lt;=depr_length+1),$B$69*INDEX(MACRS_Table,MATCH(C48,recovery_year,0),MATCH($B$43,recovery_period,0)),"")))</f>
        <v>0</v>
      </c>
      <c r="D69" s="107">
        <f t="shared" ca="1" si="23"/>
        <v>0</v>
      </c>
      <c r="E69" s="107">
        <f t="shared" ca="1" si="23"/>
        <v>0</v>
      </c>
      <c r="F69" s="107">
        <f t="shared" ca="1" si="23"/>
        <v>0</v>
      </c>
      <c r="G69" s="107">
        <f t="shared" ca="1" si="23"/>
        <v>0</v>
      </c>
      <c r="H69" s="107">
        <f t="shared" ca="1" si="23"/>
        <v>0</v>
      </c>
      <c r="I69" s="107">
        <f t="shared" ca="1" si="23"/>
        <v>0</v>
      </c>
      <c r="J69" s="107">
        <f t="shared" ca="1" si="23"/>
        <v>0</v>
      </c>
      <c r="K69" s="107" t="str">
        <f t="shared" ca="1" si="23"/>
        <v/>
      </c>
      <c r="L69" s="107" t="str">
        <f t="shared" ca="1" si="23"/>
        <v/>
      </c>
      <c r="M69" s="107" t="str">
        <f t="shared" ca="1" si="23"/>
        <v/>
      </c>
      <c r="N69" s="107" t="str">
        <f t="shared" ca="1" si="23"/>
        <v/>
      </c>
      <c r="O69" s="107" t="str">
        <f t="shared" ca="1" si="23"/>
        <v/>
      </c>
      <c r="P69" s="107" t="str">
        <f t="shared" ca="1" si="23"/>
        <v/>
      </c>
      <c r="Q69" s="107" t="str">
        <f t="shared" ca="1" si="23"/>
        <v/>
      </c>
      <c r="R69" s="107" t="str">
        <f t="shared" ca="1" si="23"/>
        <v/>
      </c>
      <c r="S69" s="107" t="str">
        <f t="shared" ca="1" si="23"/>
        <v/>
      </c>
      <c r="T69" s="107" t="str">
        <f t="shared" ca="1" si="23"/>
        <v/>
      </c>
      <c r="U69" s="107" t="str">
        <f t="shared" ca="1" si="23"/>
        <v/>
      </c>
      <c r="V69" s="107" t="str">
        <f t="shared" ca="1" si="23"/>
        <v/>
      </c>
      <c r="W69" s="108" t="str">
        <f t="shared" ca="1" si="23"/>
        <v/>
      </c>
      <c r="X69" s="105">
        <f t="shared" ca="1" si="3"/>
        <v>0</v>
      </c>
    </row>
    <row r="70" spans="1:24" ht="15" customHeight="1" x14ac:dyDescent="0.25">
      <c r="A70" s="73" t="str">
        <f>IF('Cash Flow Analysis'!C86="","",'Cash Flow Analysis'!C86)</f>
        <v/>
      </c>
      <c r="B70" s="871" t="str">
        <f>IF(A70="","",IF(A70&lt;1,0,IF(A70=1,$B$44-'Cash Flow Analysis'!I86,-'Cash Flow Analysis'!I86)))</f>
        <v/>
      </c>
      <c r="C70" s="106" t="str">
        <f t="shared" ref="C70:W70" si="24">IF($B$70="","",IF(AND($B$42="Straight Line",C48&lt;=depr_length),$B$70/depr_length,IF(AND($B$42="MACRS",C48&lt;=depr_length+1),$B$70*INDEX(MACRS_Table,MATCH(C48,recovery_year,0),MATCH($B$43,recovery_period,0)),"")))</f>
        <v/>
      </c>
      <c r="D70" s="107" t="str">
        <f t="shared" si="24"/>
        <v/>
      </c>
      <c r="E70" s="107" t="str">
        <f t="shared" si="24"/>
        <v/>
      </c>
      <c r="F70" s="107" t="str">
        <f t="shared" si="24"/>
        <v/>
      </c>
      <c r="G70" s="107" t="str">
        <f t="shared" si="24"/>
        <v/>
      </c>
      <c r="H70" s="107" t="str">
        <f t="shared" si="24"/>
        <v/>
      </c>
      <c r="I70" s="107" t="str">
        <f t="shared" si="24"/>
        <v/>
      </c>
      <c r="J70" s="107" t="str">
        <f t="shared" si="24"/>
        <v/>
      </c>
      <c r="K70" s="107" t="str">
        <f t="shared" si="24"/>
        <v/>
      </c>
      <c r="L70" s="107" t="str">
        <f t="shared" si="24"/>
        <v/>
      </c>
      <c r="M70" s="107" t="str">
        <f t="shared" si="24"/>
        <v/>
      </c>
      <c r="N70" s="107" t="str">
        <f t="shared" si="24"/>
        <v/>
      </c>
      <c r="O70" s="107" t="str">
        <f t="shared" si="24"/>
        <v/>
      </c>
      <c r="P70" s="107" t="str">
        <f t="shared" si="24"/>
        <v/>
      </c>
      <c r="Q70" s="107" t="str">
        <f t="shared" si="24"/>
        <v/>
      </c>
      <c r="R70" s="107" t="str">
        <f t="shared" si="24"/>
        <v/>
      </c>
      <c r="S70" s="107" t="str">
        <f t="shared" si="24"/>
        <v/>
      </c>
      <c r="T70" s="107" t="str">
        <f t="shared" si="24"/>
        <v/>
      </c>
      <c r="U70" s="107" t="str">
        <f t="shared" si="24"/>
        <v/>
      </c>
      <c r="V70" s="107" t="str">
        <f t="shared" si="24"/>
        <v/>
      </c>
      <c r="W70" s="108" t="str">
        <f t="shared" si="24"/>
        <v/>
      </c>
      <c r="X70" s="105">
        <f t="shared" si="3"/>
        <v>0</v>
      </c>
    </row>
    <row r="71" spans="1:24" ht="15" customHeight="1" x14ac:dyDescent="0.25">
      <c r="A71" s="73" t="str">
        <f>IF('Cash Flow Analysis'!C87="","",'Cash Flow Analysis'!C87)</f>
        <v/>
      </c>
      <c r="B71" s="871" t="str">
        <f>IF(A71="","",IF(A71&lt;1,0,IF(A71=1,$B$44-'Cash Flow Analysis'!I87,-'Cash Flow Analysis'!I87)))</f>
        <v/>
      </c>
      <c r="C71" s="106" t="str">
        <f t="shared" ref="C71:W71" si="25">IF($B$71="","",IF(AND($B$42="Straight Line",C48&lt;=depr_length),$B$71/depr_length,IF(AND($B$42="MACRS",C48&lt;=depr_length+1),$B$71*INDEX(MACRS_Table,MATCH(C48,recovery_year,0),MATCH($B$43,recovery_period,0)),"")))</f>
        <v/>
      </c>
      <c r="D71" s="107" t="str">
        <f t="shared" si="25"/>
        <v/>
      </c>
      <c r="E71" s="107" t="str">
        <f t="shared" si="25"/>
        <v/>
      </c>
      <c r="F71" s="107" t="str">
        <f t="shared" si="25"/>
        <v/>
      </c>
      <c r="G71" s="107" t="str">
        <f t="shared" si="25"/>
        <v/>
      </c>
      <c r="H71" s="107" t="str">
        <f t="shared" si="25"/>
        <v/>
      </c>
      <c r="I71" s="107" t="str">
        <f t="shared" si="25"/>
        <v/>
      </c>
      <c r="J71" s="107" t="str">
        <f t="shared" si="25"/>
        <v/>
      </c>
      <c r="K71" s="107" t="str">
        <f t="shared" si="25"/>
        <v/>
      </c>
      <c r="L71" s="107" t="str">
        <f t="shared" si="25"/>
        <v/>
      </c>
      <c r="M71" s="107" t="str">
        <f t="shared" si="25"/>
        <v/>
      </c>
      <c r="N71" s="107" t="str">
        <f t="shared" si="25"/>
        <v/>
      </c>
      <c r="O71" s="107" t="str">
        <f t="shared" si="25"/>
        <v/>
      </c>
      <c r="P71" s="107" t="str">
        <f t="shared" si="25"/>
        <v/>
      </c>
      <c r="Q71" s="107" t="str">
        <f t="shared" si="25"/>
        <v/>
      </c>
      <c r="R71" s="107" t="str">
        <f t="shared" si="25"/>
        <v/>
      </c>
      <c r="S71" s="107" t="str">
        <f t="shared" si="25"/>
        <v/>
      </c>
      <c r="T71" s="107" t="str">
        <f t="shared" si="25"/>
        <v/>
      </c>
      <c r="U71" s="107" t="str">
        <f t="shared" si="25"/>
        <v/>
      </c>
      <c r="V71" s="107" t="str">
        <f t="shared" si="25"/>
        <v/>
      </c>
      <c r="W71" s="108" t="str">
        <f t="shared" si="25"/>
        <v/>
      </c>
      <c r="X71" s="105">
        <f t="shared" si="3"/>
        <v>0</v>
      </c>
    </row>
    <row r="72" spans="1:24" ht="15" customHeight="1" x14ac:dyDescent="0.25">
      <c r="A72" s="73" t="str">
        <f>IF('Cash Flow Analysis'!C88="","",'Cash Flow Analysis'!C88)</f>
        <v/>
      </c>
      <c r="B72" s="871" t="str">
        <f>IF(A72="","",IF(A72&lt;1,0,IF(A72=1,$B$44-'Cash Flow Analysis'!I88,-'Cash Flow Analysis'!I88)))</f>
        <v/>
      </c>
      <c r="C72" s="106" t="str">
        <f t="shared" ref="C72:W72" si="26">IF($B$72="","",IF(AND($B$42="Straight Line",C48&lt;=depr_length),$B$72/depr_length,IF(AND($B$42="MACRS",C48&lt;=depr_length+1),$B$72*INDEX(MACRS_Table,MATCH(C48,recovery_year,0),MATCH($B$43,recovery_period,0)),"")))</f>
        <v/>
      </c>
      <c r="D72" s="107" t="str">
        <f t="shared" si="26"/>
        <v/>
      </c>
      <c r="E72" s="107" t="str">
        <f t="shared" si="26"/>
        <v/>
      </c>
      <c r="F72" s="107" t="str">
        <f t="shared" si="26"/>
        <v/>
      </c>
      <c r="G72" s="107" t="str">
        <f t="shared" si="26"/>
        <v/>
      </c>
      <c r="H72" s="107" t="str">
        <f t="shared" si="26"/>
        <v/>
      </c>
      <c r="I72" s="107" t="str">
        <f t="shared" si="26"/>
        <v/>
      </c>
      <c r="J72" s="107" t="str">
        <f t="shared" si="26"/>
        <v/>
      </c>
      <c r="K72" s="107" t="str">
        <f t="shared" si="26"/>
        <v/>
      </c>
      <c r="L72" s="107" t="str">
        <f t="shared" si="26"/>
        <v/>
      </c>
      <c r="M72" s="107" t="str">
        <f t="shared" si="26"/>
        <v/>
      </c>
      <c r="N72" s="107" t="str">
        <f t="shared" si="26"/>
        <v/>
      </c>
      <c r="O72" s="107" t="str">
        <f t="shared" si="26"/>
        <v/>
      </c>
      <c r="P72" s="107" t="str">
        <f t="shared" si="26"/>
        <v/>
      </c>
      <c r="Q72" s="107" t="str">
        <f t="shared" si="26"/>
        <v/>
      </c>
      <c r="R72" s="107" t="str">
        <f t="shared" si="26"/>
        <v/>
      </c>
      <c r="S72" s="107" t="str">
        <f t="shared" si="26"/>
        <v/>
      </c>
      <c r="T72" s="107" t="str">
        <f t="shared" si="26"/>
        <v/>
      </c>
      <c r="U72" s="107" t="str">
        <f t="shared" si="26"/>
        <v/>
      </c>
      <c r="V72" s="107" t="str">
        <f t="shared" si="26"/>
        <v/>
      </c>
      <c r="W72" s="108" t="str">
        <f t="shared" si="26"/>
        <v/>
      </c>
      <c r="X72" s="105">
        <f t="shared" si="3"/>
        <v>0</v>
      </c>
    </row>
    <row r="73" spans="1:24" ht="15" customHeight="1" x14ac:dyDescent="0.25">
      <c r="A73" s="73" t="str">
        <f>IF('Cash Flow Analysis'!C89="","",'Cash Flow Analysis'!C89)</f>
        <v/>
      </c>
      <c r="B73" s="871" t="str">
        <f>IF(A73="","",IF(A73&lt;1,0,IF(A73=1,$B$44-'Cash Flow Analysis'!I89,-'Cash Flow Analysis'!I89)))</f>
        <v/>
      </c>
      <c r="C73" s="106" t="str">
        <f t="shared" ref="C73:W73" si="27">IF($B$73="","",IF(AND($B$42="Straight Line",C48&lt;=depr_length),$B$73/depr_length,IF(AND($B$42="MACRS",C48&lt;=depr_length+1),$B$73*INDEX(MACRS_Table,MATCH(C48,recovery_year,0),MATCH($B$43,recovery_period,0)),"")))</f>
        <v/>
      </c>
      <c r="D73" s="107" t="str">
        <f t="shared" si="27"/>
        <v/>
      </c>
      <c r="E73" s="107" t="str">
        <f t="shared" si="27"/>
        <v/>
      </c>
      <c r="F73" s="107" t="str">
        <f t="shared" si="27"/>
        <v/>
      </c>
      <c r="G73" s="107" t="str">
        <f t="shared" si="27"/>
        <v/>
      </c>
      <c r="H73" s="107" t="str">
        <f t="shared" si="27"/>
        <v/>
      </c>
      <c r="I73" s="107" t="str">
        <f t="shared" si="27"/>
        <v/>
      </c>
      <c r="J73" s="107" t="str">
        <f t="shared" si="27"/>
        <v/>
      </c>
      <c r="K73" s="107" t="str">
        <f t="shared" si="27"/>
        <v/>
      </c>
      <c r="L73" s="107" t="str">
        <f t="shared" si="27"/>
        <v/>
      </c>
      <c r="M73" s="107" t="str">
        <f t="shared" si="27"/>
        <v/>
      </c>
      <c r="N73" s="107" t="str">
        <f t="shared" si="27"/>
        <v/>
      </c>
      <c r="O73" s="107" t="str">
        <f t="shared" si="27"/>
        <v/>
      </c>
      <c r="P73" s="107" t="str">
        <f t="shared" si="27"/>
        <v/>
      </c>
      <c r="Q73" s="107" t="str">
        <f t="shared" si="27"/>
        <v/>
      </c>
      <c r="R73" s="107" t="str">
        <f t="shared" si="27"/>
        <v/>
      </c>
      <c r="S73" s="107" t="str">
        <f t="shared" si="27"/>
        <v/>
      </c>
      <c r="T73" s="107" t="str">
        <f t="shared" si="27"/>
        <v/>
      </c>
      <c r="U73" s="107" t="str">
        <f t="shared" si="27"/>
        <v/>
      </c>
      <c r="V73" s="107" t="str">
        <f t="shared" si="27"/>
        <v/>
      </c>
      <c r="W73" s="108" t="str">
        <f t="shared" si="27"/>
        <v/>
      </c>
      <c r="X73" s="105">
        <f t="shared" si="3"/>
        <v>0</v>
      </c>
    </row>
    <row r="74" spans="1:24" ht="15" customHeight="1" x14ac:dyDescent="0.25">
      <c r="A74" s="73" t="str">
        <f>IF('Cash Flow Analysis'!C90="","",'Cash Flow Analysis'!C90)</f>
        <v/>
      </c>
      <c r="B74" s="871" t="str">
        <f>IF(A74="","",IF(A74&lt;1,0,IF(A74=1,$B$44-'Cash Flow Analysis'!I90,-'Cash Flow Analysis'!I90)))</f>
        <v/>
      </c>
      <c r="C74" s="106" t="str">
        <f t="shared" ref="C74:W74" si="28">IF($B$74="","",IF(AND($B$42="Straight Line",C48&lt;=depr_length),$B$74/depr_length,IF(AND($B$42="MACRS",C48&lt;=depr_length+1),$B$74*INDEX(MACRS_Table,MATCH(C48,recovery_year,0),MATCH($B$43,recovery_period,0)),"")))</f>
        <v/>
      </c>
      <c r="D74" s="107" t="str">
        <f t="shared" si="28"/>
        <v/>
      </c>
      <c r="E74" s="107" t="str">
        <f t="shared" si="28"/>
        <v/>
      </c>
      <c r="F74" s="107" t="str">
        <f t="shared" si="28"/>
        <v/>
      </c>
      <c r="G74" s="107" t="str">
        <f t="shared" si="28"/>
        <v/>
      </c>
      <c r="H74" s="107" t="str">
        <f t="shared" si="28"/>
        <v/>
      </c>
      <c r="I74" s="107" t="str">
        <f t="shared" si="28"/>
        <v/>
      </c>
      <c r="J74" s="107" t="str">
        <f t="shared" si="28"/>
        <v/>
      </c>
      <c r="K74" s="107" t="str">
        <f t="shared" si="28"/>
        <v/>
      </c>
      <c r="L74" s="107" t="str">
        <f t="shared" si="28"/>
        <v/>
      </c>
      <c r="M74" s="107" t="str">
        <f t="shared" si="28"/>
        <v/>
      </c>
      <c r="N74" s="107" t="str">
        <f t="shared" si="28"/>
        <v/>
      </c>
      <c r="O74" s="107" t="str">
        <f t="shared" si="28"/>
        <v/>
      </c>
      <c r="P74" s="107" t="str">
        <f t="shared" si="28"/>
        <v/>
      </c>
      <c r="Q74" s="107" t="str">
        <f t="shared" si="28"/>
        <v/>
      </c>
      <c r="R74" s="107" t="str">
        <f t="shared" si="28"/>
        <v/>
      </c>
      <c r="S74" s="107" t="str">
        <f t="shared" si="28"/>
        <v/>
      </c>
      <c r="T74" s="107" t="str">
        <f t="shared" si="28"/>
        <v/>
      </c>
      <c r="U74" s="107" t="str">
        <f t="shared" si="28"/>
        <v/>
      </c>
      <c r="V74" s="107" t="str">
        <f t="shared" si="28"/>
        <v/>
      </c>
      <c r="W74" s="108" t="str">
        <f t="shared" si="28"/>
        <v/>
      </c>
      <c r="X74" s="105">
        <f t="shared" si="3"/>
        <v>0</v>
      </c>
    </row>
    <row r="75" spans="1:24" ht="15" customHeight="1" x14ac:dyDescent="0.25">
      <c r="A75" s="73" t="str">
        <f>IF('Cash Flow Analysis'!C91="","",'Cash Flow Analysis'!C91)</f>
        <v/>
      </c>
      <c r="B75" s="871" t="str">
        <f>IF(A75="","",IF(A75&lt;1,0,IF(A75=1,$B$44-'Cash Flow Analysis'!I91,-'Cash Flow Analysis'!I91)))</f>
        <v/>
      </c>
      <c r="C75" s="106" t="str">
        <f t="shared" ref="C75:W75" si="29">IF($B$75="","",IF(AND($B$42="Straight Line",C48&lt;=depr_length),$B$75/depr_length,IF(AND($B$42="MACRS",C48&lt;=depr_length+1),$B$75*INDEX(MACRS_Table,MATCH(C48,recovery_year,0),MATCH($B$43,recovery_period,0)),"")))</f>
        <v/>
      </c>
      <c r="D75" s="107" t="str">
        <f t="shared" si="29"/>
        <v/>
      </c>
      <c r="E75" s="107" t="str">
        <f t="shared" si="29"/>
        <v/>
      </c>
      <c r="F75" s="107" t="str">
        <f t="shared" si="29"/>
        <v/>
      </c>
      <c r="G75" s="107" t="str">
        <f t="shared" si="29"/>
        <v/>
      </c>
      <c r="H75" s="107" t="str">
        <f t="shared" si="29"/>
        <v/>
      </c>
      <c r="I75" s="107" t="str">
        <f t="shared" si="29"/>
        <v/>
      </c>
      <c r="J75" s="107" t="str">
        <f t="shared" si="29"/>
        <v/>
      </c>
      <c r="K75" s="107" t="str">
        <f t="shared" si="29"/>
        <v/>
      </c>
      <c r="L75" s="107" t="str">
        <f t="shared" si="29"/>
        <v/>
      </c>
      <c r="M75" s="107" t="str">
        <f t="shared" si="29"/>
        <v/>
      </c>
      <c r="N75" s="107" t="str">
        <f t="shared" si="29"/>
        <v/>
      </c>
      <c r="O75" s="107" t="str">
        <f t="shared" si="29"/>
        <v/>
      </c>
      <c r="P75" s="107" t="str">
        <f t="shared" si="29"/>
        <v/>
      </c>
      <c r="Q75" s="107" t="str">
        <f t="shared" si="29"/>
        <v/>
      </c>
      <c r="R75" s="107" t="str">
        <f t="shared" si="29"/>
        <v/>
      </c>
      <c r="S75" s="107" t="str">
        <f t="shared" si="29"/>
        <v/>
      </c>
      <c r="T75" s="107" t="str">
        <f t="shared" si="29"/>
        <v/>
      </c>
      <c r="U75" s="107" t="str">
        <f t="shared" si="29"/>
        <v/>
      </c>
      <c r="V75" s="107" t="str">
        <f t="shared" si="29"/>
        <v/>
      </c>
      <c r="W75" s="108" t="str">
        <f t="shared" si="29"/>
        <v/>
      </c>
      <c r="X75" s="105">
        <f t="shared" si="3"/>
        <v>0</v>
      </c>
    </row>
    <row r="76" spans="1:24" ht="15" customHeight="1" x14ac:dyDescent="0.25">
      <c r="A76" s="73" t="str">
        <f>IF('Cash Flow Analysis'!C92="","",'Cash Flow Analysis'!C92)</f>
        <v/>
      </c>
      <c r="B76" s="871" t="str">
        <f>IF(A76="","",IF(A76&lt;1,0,IF(A76=1,$B$44-'Cash Flow Analysis'!I92,-'Cash Flow Analysis'!I92)))</f>
        <v/>
      </c>
      <c r="C76" s="106" t="str">
        <f t="shared" ref="C76:W76" si="30">IF($B$76="","",IF(AND($B$42="Straight Line",C48&lt;=depr_length),$B$76/depr_length,IF(AND($B$42="MACRS",C48&lt;=depr_length+1),$B$76*INDEX(MACRS_Table,MATCH(C48,recovery_year,0),MATCH($B$43,recovery_period,0)),"")))</f>
        <v/>
      </c>
      <c r="D76" s="107" t="str">
        <f t="shared" si="30"/>
        <v/>
      </c>
      <c r="E76" s="107" t="str">
        <f t="shared" si="30"/>
        <v/>
      </c>
      <c r="F76" s="107" t="str">
        <f t="shared" si="30"/>
        <v/>
      </c>
      <c r="G76" s="107" t="str">
        <f t="shared" si="30"/>
        <v/>
      </c>
      <c r="H76" s="107" t="str">
        <f t="shared" si="30"/>
        <v/>
      </c>
      <c r="I76" s="107" t="str">
        <f t="shared" si="30"/>
        <v/>
      </c>
      <c r="J76" s="107" t="str">
        <f t="shared" si="30"/>
        <v/>
      </c>
      <c r="K76" s="107" t="str">
        <f t="shared" si="30"/>
        <v/>
      </c>
      <c r="L76" s="107" t="str">
        <f t="shared" si="30"/>
        <v/>
      </c>
      <c r="M76" s="107" t="str">
        <f t="shared" si="30"/>
        <v/>
      </c>
      <c r="N76" s="107" t="str">
        <f t="shared" si="30"/>
        <v/>
      </c>
      <c r="O76" s="107" t="str">
        <f t="shared" si="30"/>
        <v/>
      </c>
      <c r="P76" s="107" t="str">
        <f t="shared" si="30"/>
        <v/>
      </c>
      <c r="Q76" s="107" t="str">
        <f t="shared" si="30"/>
        <v/>
      </c>
      <c r="R76" s="107" t="str">
        <f t="shared" si="30"/>
        <v/>
      </c>
      <c r="S76" s="107" t="str">
        <f t="shared" si="30"/>
        <v/>
      </c>
      <c r="T76" s="107" t="str">
        <f t="shared" si="30"/>
        <v/>
      </c>
      <c r="U76" s="107" t="str">
        <f t="shared" si="30"/>
        <v/>
      </c>
      <c r="V76" s="107" t="str">
        <f t="shared" si="30"/>
        <v/>
      </c>
      <c r="W76" s="108" t="str">
        <f t="shared" si="30"/>
        <v/>
      </c>
      <c r="X76" s="105">
        <f t="shared" si="3"/>
        <v>0</v>
      </c>
    </row>
    <row r="77" spans="1:24" ht="15" customHeight="1" x14ac:dyDescent="0.25">
      <c r="A77" s="73" t="str">
        <f>IF('Cash Flow Analysis'!C93="","",'Cash Flow Analysis'!C93)</f>
        <v/>
      </c>
      <c r="B77" s="871" t="str">
        <f>IF(A77="","",IF(A77&lt;1,0,IF(A77=1,$B$44-'Cash Flow Analysis'!I93,-'Cash Flow Analysis'!I93)))</f>
        <v/>
      </c>
      <c r="C77" s="106" t="str">
        <f t="shared" ref="C77:W77" si="31">IF($B$77="","",IF(AND($B$42="Straight Line",C48&lt;=depr_length),$B$77/depr_length,IF(AND($B$42="MACRS",C48&lt;=depr_length+1),$B$77*INDEX(MACRS_Table,MATCH(C48,recovery_year,0),MATCH($B$43,recovery_period,0)),"")))</f>
        <v/>
      </c>
      <c r="D77" s="107" t="str">
        <f t="shared" si="31"/>
        <v/>
      </c>
      <c r="E77" s="107" t="str">
        <f t="shared" si="31"/>
        <v/>
      </c>
      <c r="F77" s="107" t="str">
        <f t="shared" si="31"/>
        <v/>
      </c>
      <c r="G77" s="107" t="str">
        <f t="shared" si="31"/>
        <v/>
      </c>
      <c r="H77" s="107" t="str">
        <f t="shared" si="31"/>
        <v/>
      </c>
      <c r="I77" s="107" t="str">
        <f t="shared" si="31"/>
        <v/>
      </c>
      <c r="J77" s="107" t="str">
        <f t="shared" si="31"/>
        <v/>
      </c>
      <c r="K77" s="107" t="str">
        <f t="shared" si="31"/>
        <v/>
      </c>
      <c r="L77" s="107" t="str">
        <f t="shared" si="31"/>
        <v/>
      </c>
      <c r="M77" s="107" t="str">
        <f t="shared" si="31"/>
        <v/>
      </c>
      <c r="N77" s="107" t="str">
        <f t="shared" si="31"/>
        <v/>
      </c>
      <c r="O77" s="107" t="str">
        <f t="shared" si="31"/>
        <v/>
      </c>
      <c r="P77" s="107" t="str">
        <f t="shared" si="31"/>
        <v/>
      </c>
      <c r="Q77" s="107" t="str">
        <f t="shared" si="31"/>
        <v/>
      </c>
      <c r="R77" s="107" t="str">
        <f t="shared" si="31"/>
        <v/>
      </c>
      <c r="S77" s="107" t="str">
        <f t="shared" si="31"/>
        <v/>
      </c>
      <c r="T77" s="107" t="str">
        <f t="shared" si="31"/>
        <v/>
      </c>
      <c r="U77" s="107" t="str">
        <f t="shared" si="31"/>
        <v/>
      </c>
      <c r="V77" s="107" t="str">
        <f t="shared" si="31"/>
        <v/>
      </c>
      <c r="W77" s="108" t="str">
        <f t="shared" si="31"/>
        <v/>
      </c>
      <c r="X77" s="105">
        <f t="shared" si="3"/>
        <v>0</v>
      </c>
    </row>
    <row r="78" spans="1:24" ht="15" customHeight="1" x14ac:dyDescent="0.25">
      <c r="A78" s="73" t="str">
        <f>IF('Cash Flow Analysis'!C94="","",'Cash Flow Analysis'!C94)</f>
        <v/>
      </c>
      <c r="B78" s="871" t="str">
        <f>IF(A78="","",IF(A78&lt;1,0,IF(A78=1,$B$44-'Cash Flow Analysis'!I94,-'Cash Flow Analysis'!I94)))</f>
        <v/>
      </c>
      <c r="C78" s="106" t="str">
        <f t="shared" ref="C78:W78" si="32">IF($B$78="","",IF(AND($B$42="Straight Line",C48&lt;=depr_length),$B$78/depr_length,IF(AND($B$42="MACRS",C48&lt;=depr_length+1),$B$78*INDEX(MACRS_Table,MATCH(C48,recovery_year,0),MATCH($B$43,recovery_period,0)),"")))</f>
        <v/>
      </c>
      <c r="D78" s="107" t="str">
        <f t="shared" si="32"/>
        <v/>
      </c>
      <c r="E78" s="107" t="str">
        <f t="shared" si="32"/>
        <v/>
      </c>
      <c r="F78" s="107" t="str">
        <f t="shared" si="32"/>
        <v/>
      </c>
      <c r="G78" s="107" t="str">
        <f t="shared" si="32"/>
        <v/>
      </c>
      <c r="H78" s="107" t="str">
        <f t="shared" si="32"/>
        <v/>
      </c>
      <c r="I78" s="107" t="str">
        <f t="shared" si="32"/>
        <v/>
      </c>
      <c r="J78" s="107" t="str">
        <f t="shared" si="32"/>
        <v/>
      </c>
      <c r="K78" s="107" t="str">
        <f t="shared" si="32"/>
        <v/>
      </c>
      <c r="L78" s="107" t="str">
        <f t="shared" si="32"/>
        <v/>
      </c>
      <c r="M78" s="107" t="str">
        <f t="shared" si="32"/>
        <v/>
      </c>
      <c r="N78" s="107" t="str">
        <f t="shared" si="32"/>
        <v/>
      </c>
      <c r="O78" s="107" t="str">
        <f t="shared" si="32"/>
        <v/>
      </c>
      <c r="P78" s="107" t="str">
        <f t="shared" si="32"/>
        <v/>
      </c>
      <c r="Q78" s="107" t="str">
        <f t="shared" si="32"/>
        <v/>
      </c>
      <c r="R78" s="107" t="str">
        <f t="shared" si="32"/>
        <v/>
      </c>
      <c r="S78" s="107" t="str">
        <f t="shared" si="32"/>
        <v/>
      </c>
      <c r="T78" s="107" t="str">
        <f t="shared" si="32"/>
        <v/>
      </c>
      <c r="U78" s="107" t="str">
        <f t="shared" si="32"/>
        <v/>
      </c>
      <c r="V78" s="107" t="str">
        <f t="shared" si="32"/>
        <v/>
      </c>
      <c r="W78" s="108" t="str">
        <f t="shared" si="32"/>
        <v/>
      </c>
      <c r="X78" s="105">
        <f t="shared" si="3"/>
        <v>0</v>
      </c>
    </row>
    <row r="79" spans="1:24" ht="15" customHeight="1" x14ac:dyDescent="0.25">
      <c r="A79" s="73" t="str">
        <f>IF('Cash Flow Analysis'!C95="","",'Cash Flow Analysis'!C95)</f>
        <v/>
      </c>
      <c r="B79" s="871" t="str">
        <f>IF(A79="","",IF(A79&lt;1,0,IF(A79=1,$B$44-'Cash Flow Analysis'!I95,-'Cash Flow Analysis'!I95)))</f>
        <v/>
      </c>
      <c r="C79" s="106" t="str">
        <f t="shared" ref="C79:W79" si="33">IF($B$79="","",IF(AND($B$42="Straight Line",C48&lt;=depr_length),$B$79/depr_length,IF(AND($B$42="MACRS",C48&lt;=depr_length+1),$B$79*INDEX(MACRS_Table,MATCH(C48,recovery_year,0),MATCH($B$43,recovery_period,0)),"")))</f>
        <v/>
      </c>
      <c r="D79" s="107" t="str">
        <f t="shared" si="33"/>
        <v/>
      </c>
      <c r="E79" s="107" t="str">
        <f t="shared" si="33"/>
        <v/>
      </c>
      <c r="F79" s="107" t="str">
        <f t="shared" si="33"/>
        <v/>
      </c>
      <c r="G79" s="107" t="str">
        <f t="shared" si="33"/>
        <v/>
      </c>
      <c r="H79" s="107" t="str">
        <f t="shared" si="33"/>
        <v/>
      </c>
      <c r="I79" s="107" t="str">
        <f t="shared" si="33"/>
        <v/>
      </c>
      <c r="J79" s="107" t="str">
        <f t="shared" si="33"/>
        <v/>
      </c>
      <c r="K79" s="107" t="str">
        <f t="shared" si="33"/>
        <v/>
      </c>
      <c r="L79" s="107" t="str">
        <f t="shared" si="33"/>
        <v/>
      </c>
      <c r="M79" s="107" t="str">
        <f t="shared" si="33"/>
        <v/>
      </c>
      <c r="N79" s="107" t="str">
        <f t="shared" si="33"/>
        <v/>
      </c>
      <c r="O79" s="107" t="str">
        <f t="shared" si="33"/>
        <v/>
      </c>
      <c r="P79" s="107" t="str">
        <f t="shared" si="33"/>
        <v/>
      </c>
      <c r="Q79" s="107" t="str">
        <f t="shared" si="33"/>
        <v/>
      </c>
      <c r="R79" s="107" t="str">
        <f t="shared" si="33"/>
        <v/>
      </c>
      <c r="S79" s="107" t="str">
        <f t="shared" si="33"/>
        <v/>
      </c>
      <c r="T79" s="107" t="str">
        <f t="shared" si="33"/>
        <v/>
      </c>
      <c r="U79" s="107" t="str">
        <f t="shared" si="33"/>
        <v/>
      </c>
      <c r="V79" s="107" t="str">
        <f t="shared" si="33"/>
        <v/>
      </c>
      <c r="W79" s="108" t="str">
        <f t="shared" si="33"/>
        <v/>
      </c>
      <c r="X79" s="105">
        <f t="shared" si="3"/>
        <v>0</v>
      </c>
    </row>
    <row r="80" spans="1:24" ht="15" customHeight="1" x14ac:dyDescent="0.25">
      <c r="A80" s="73" t="str">
        <f>IF('Cash Flow Analysis'!C96="","",'Cash Flow Analysis'!C96)</f>
        <v/>
      </c>
      <c r="B80" s="871" t="str">
        <f>IF(A80="","",IF(A80&lt;1,0,IF(A80=1,$B$44-'Cash Flow Analysis'!I96,-'Cash Flow Analysis'!I96)))</f>
        <v/>
      </c>
      <c r="C80" s="106" t="str">
        <f t="shared" ref="C80:W80" si="34">IF($B$80="","",IF(AND($B$42="Straight Line",C48&lt;=depr_length),$B$80/depr_length,IF(AND($B$42="MACRS",C48&lt;=depr_length+1),$B$80*INDEX(MACRS_Table,MATCH(C48,recovery_year,0),MATCH($B$43,recovery_period,0)),"")))</f>
        <v/>
      </c>
      <c r="D80" s="107" t="str">
        <f t="shared" si="34"/>
        <v/>
      </c>
      <c r="E80" s="107" t="str">
        <f t="shared" si="34"/>
        <v/>
      </c>
      <c r="F80" s="107" t="str">
        <f t="shared" si="34"/>
        <v/>
      </c>
      <c r="G80" s="107" t="str">
        <f t="shared" si="34"/>
        <v/>
      </c>
      <c r="H80" s="107" t="str">
        <f t="shared" si="34"/>
        <v/>
      </c>
      <c r="I80" s="107" t="str">
        <f t="shared" si="34"/>
        <v/>
      </c>
      <c r="J80" s="107" t="str">
        <f t="shared" si="34"/>
        <v/>
      </c>
      <c r="K80" s="107" t="str">
        <f t="shared" si="34"/>
        <v/>
      </c>
      <c r="L80" s="107" t="str">
        <f t="shared" si="34"/>
        <v/>
      </c>
      <c r="M80" s="107" t="str">
        <f t="shared" si="34"/>
        <v/>
      </c>
      <c r="N80" s="107" t="str">
        <f t="shared" si="34"/>
        <v/>
      </c>
      <c r="O80" s="107" t="str">
        <f t="shared" si="34"/>
        <v/>
      </c>
      <c r="P80" s="107" t="str">
        <f t="shared" si="34"/>
        <v/>
      </c>
      <c r="Q80" s="107" t="str">
        <f t="shared" si="34"/>
        <v/>
      </c>
      <c r="R80" s="107" t="str">
        <f t="shared" si="34"/>
        <v/>
      </c>
      <c r="S80" s="107" t="str">
        <f t="shared" si="34"/>
        <v/>
      </c>
      <c r="T80" s="107" t="str">
        <f t="shared" si="34"/>
        <v/>
      </c>
      <c r="U80" s="107" t="str">
        <f t="shared" si="34"/>
        <v/>
      </c>
      <c r="V80" s="107" t="str">
        <f t="shared" si="34"/>
        <v/>
      </c>
      <c r="W80" s="108" t="str">
        <f t="shared" si="34"/>
        <v/>
      </c>
      <c r="X80" s="105">
        <f t="shared" si="3"/>
        <v>0</v>
      </c>
    </row>
    <row r="81" spans="1:24" ht="15" customHeight="1" x14ac:dyDescent="0.25">
      <c r="A81" s="73" t="str">
        <f>IF('Cash Flow Analysis'!C97="","",'Cash Flow Analysis'!C97)</f>
        <v/>
      </c>
      <c r="B81" s="871" t="str">
        <f>IF(A81="","",IF(A81&lt;1,0,IF(A81=1,$B$44-'Cash Flow Analysis'!I97,-'Cash Flow Analysis'!I97)))</f>
        <v/>
      </c>
      <c r="C81" s="106" t="str">
        <f t="shared" ref="C81:W81" si="35">IF($B$81="","",IF(AND($B$42="Straight Line",C48&lt;=depr_length),$B$81/depr_length,IF(AND($B$42="MACRS",C48&lt;=depr_length+1),$B$81*INDEX(MACRS_Table,MATCH(C48,recovery_year,0),MATCH($B$43,recovery_period,0)),"")))</f>
        <v/>
      </c>
      <c r="D81" s="107" t="str">
        <f t="shared" si="35"/>
        <v/>
      </c>
      <c r="E81" s="107" t="str">
        <f t="shared" si="35"/>
        <v/>
      </c>
      <c r="F81" s="107" t="str">
        <f t="shared" si="35"/>
        <v/>
      </c>
      <c r="G81" s="107" t="str">
        <f t="shared" si="35"/>
        <v/>
      </c>
      <c r="H81" s="107" t="str">
        <f t="shared" si="35"/>
        <v/>
      </c>
      <c r="I81" s="107" t="str">
        <f t="shared" si="35"/>
        <v/>
      </c>
      <c r="J81" s="107" t="str">
        <f t="shared" si="35"/>
        <v/>
      </c>
      <c r="K81" s="107" t="str">
        <f t="shared" si="35"/>
        <v/>
      </c>
      <c r="L81" s="107" t="str">
        <f t="shared" si="35"/>
        <v/>
      </c>
      <c r="M81" s="107" t="str">
        <f t="shared" si="35"/>
        <v/>
      </c>
      <c r="N81" s="107" t="str">
        <f t="shared" si="35"/>
        <v/>
      </c>
      <c r="O81" s="107" t="str">
        <f t="shared" si="35"/>
        <v/>
      </c>
      <c r="P81" s="107" t="str">
        <f t="shared" si="35"/>
        <v/>
      </c>
      <c r="Q81" s="107" t="str">
        <f t="shared" si="35"/>
        <v/>
      </c>
      <c r="R81" s="107" t="str">
        <f t="shared" si="35"/>
        <v/>
      </c>
      <c r="S81" s="107" t="str">
        <f t="shared" si="35"/>
        <v/>
      </c>
      <c r="T81" s="107" t="str">
        <f t="shared" si="35"/>
        <v/>
      </c>
      <c r="U81" s="107" t="str">
        <f t="shared" si="35"/>
        <v/>
      </c>
      <c r="V81" s="107" t="str">
        <f t="shared" si="35"/>
        <v/>
      </c>
      <c r="W81" s="108" t="str">
        <f t="shared" si="35"/>
        <v/>
      </c>
      <c r="X81" s="105">
        <f t="shared" si="3"/>
        <v>0</v>
      </c>
    </row>
    <row r="82" spans="1:24" ht="15" customHeight="1" x14ac:dyDescent="0.25">
      <c r="A82" s="73" t="str">
        <f>IF('Cash Flow Analysis'!C98="","",'Cash Flow Analysis'!C98)</f>
        <v/>
      </c>
      <c r="B82" s="871" t="str">
        <f>IF(A82="","",IF(A82&lt;1,0,IF(A82=1,$B$44-'Cash Flow Analysis'!I98,-'Cash Flow Analysis'!I98)))</f>
        <v/>
      </c>
      <c r="C82" s="106" t="str">
        <f t="shared" ref="C82:W82" si="36">IF($B$82="","",IF(AND($B$42="Straight Line",C48&lt;=depr_length),$B$82/depr_length,IF(AND($B$42="MACRS",C48&lt;=depr_length+1),$B$82*INDEX(MACRS_Table,MATCH(C48,recovery_year,0),MATCH($B$43,recovery_period,0)),"")))</f>
        <v/>
      </c>
      <c r="D82" s="107" t="str">
        <f t="shared" si="36"/>
        <v/>
      </c>
      <c r="E82" s="107" t="str">
        <f t="shared" si="36"/>
        <v/>
      </c>
      <c r="F82" s="107" t="str">
        <f t="shared" si="36"/>
        <v/>
      </c>
      <c r="G82" s="107" t="str">
        <f t="shared" si="36"/>
        <v/>
      </c>
      <c r="H82" s="107" t="str">
        <f t="shared" si="36"/>
        <v/>
      </c>
      <c r="I82" s="107" t="str">
        <f t="shared" si="36"/>
        <v/>
      </c>
      <c r="J82" s="107" t="str">
        <f t="shared" si="36"/>
        <v/>
      </c>
      <c r="K82" s="107" t="str">
        <f t="shared" si="36"/>
        <v/>
      </c>
      <c r="L82" s="107" t="str">
        <f t="shared" si="36"/>
        <v/>
      </c>
      <c r="M82" s="107" t="str">
        <f t="shared" si="36"/>
        <v/>
      </c>
      <c r="N82" s="107" t="str">
        <f t="shared" si="36"/>
        <v/>
      </c>
      <c r="O82" s="107" t="str">
        <f t="shared" si="36"/>
        <v/>
      </c>
      <c r="P82" s="107" t="str">
        <f t="shared" si="36"/>
        <v/>
      </c>
      <c r="Q82" s="107" t="str">
        <f t="shared" si="36"/>
        <v/>
      </c>
      <c r="R82" s="107" t="str">
        <f t="shared" si="36"/>
        <v/>
      </c>
      <c r="S82" s="107" t="str">
        <f t="shared" si="36"/>
        <v/>
      </c>
      <c r="T82" s="107" t="str">
        <f t="shared" si="36"/>
        <v/>
      </c>
      <c r="U82" s="107" t="str">
        <f t="shared" si="36"/>
        <v/>
      </c>
      <c r="V82" s="107" t="str">
        <f t="shared" si="36"/>
        <v/>
      </c>
      <c r="W82" s="108" t="str">
        <f t="shared" si="36"/>
        <v/>
      </c>
      <c r="X82" s="105">
        <f t="shared" si="3"/>
        <v>0</v>
      </c>
    </row>
    <row r="83" spans="1:24" ht="15" customHeight="1" x14ac:dyDescent="0.25">
      <c r="A83" s="73" t="str">
        <f>IF('Cash Flow Analysis'!C99="","",'Cash Flow Analysis'!C99)</f>
        <v/>
      </c>
      <c r="B83" s="871" t="str">
        <f>IF(A83="","",IF(A83&lt;1,0,IF(A83=1,$B$44-'Cash Flow Analysis'!I99,-'Cash Flow Analysis'!I99)))</f>
        <v/>
      </c>
      <c r="C83" s="106" t="str">
        <f t="shared" ref="C83:W83" si="37">IF($B$83="","",IF(AND($B$42="Straight Line",C48&lt;=depr_length),$B$83/depr_length,IF(AND($B$42="MACRS",C48&lt;=depr_length+1),$B$83*INDEX(MACRS_Table,MATCH(C48,recovery_year,0),MATCH($B$43,recovery_period,0)),"")))</f>
        <v/>
      </c>
      <c r="D83" s="107" t="str">
        <f t="shared" si="37"/>
        <v/>
      </c>
      <c r="E83" s="107" t="str">
        <f t="shared" si="37"/>
        <v/>
      </c>
      <c r="F83" s="107" t="str">
        <f t="shared" si="37"/>
        <v/>
      </c>
      <c r="G83" s="107" t="str">
        <f t="shared" si="37"/>
        <v/>
      </c>
      <c r="H83" s="107" t="str">
        <f t="shared" si="37"/>
        <v/>
      </c>
      <c r="I83" s="107" t="str">
        <f t="shared" si="37"/>
        <v/>
      </c>
      <c r="J83" s="107" t="str">
        <f t="shared" si="37"/>
        <v/>
      </c>
      <c r="K83" s="107" t="str">
        <f t="shared" si="37"/>
        <v/>
      </c>
      <c r="L83" s="107" t="str">
        <f t="shared" si="37"/>
        <v/>
      </c>
      <c r="M83" s="107" t="str">
        <f t="shared" si="37"/>
        <v/>
      </c>
      <c r="N83" s="107" t="str">
        <f t="shared" si="37"/>
        <v/>
      </c>
      <c r="O83" s="107" t="str">
        <f t="shared" si="37"/>
        <v/>
      </c>
      <c r="P83" s="107" t="str">
        <f t="shared" si="37"/>
        <v/>
      </c>
      <c r="Q83" s="107" t="str">
        <f t="shared" si="37"/>
        <v/>
      </c>
      <c r="R83" s="107" t="str">
        <f t="shared" si="37"/>
        <v/>
      </c>
      <c r="S83" s="107" t="str">
        <f t="shared" si="37"/>
        <v/>
      </c>
      <c r="T83" s="107" t="str">
        <f t="shared" si="37"/>
        <v/>
      </c>
      <c r="U83" s="107" t="str">
        <f t="shared" si="37"/>
        <v/>
      </c>
      <c r="V83" s="107" t="str">
        <f t="shared" si="37"/>
        <v/>
      </c>
      <c r="W83" s="108" t="str">
        <f t="shared" si="37"/>
        <v/>
      </c>
      <c r="X83" s="105">
        <f t="shared" si="3"/>
        <v>0</v>
      </c>
    </row>
    <row r="84" spans="1:24" ht="15" customHeight="1" x14ac:dyDescent="0.25">
      <c r="A84" s="73" t="str">
        <f>IF('Cash Flow Analysis'!C100="","",'Cash Flow Analysis'!C100)</f>
        <v/>
      </c>
      <c r="B84" s="871" t="str">
        <f>IF(A84="","",IF(A84&lt;1,0,IF(A84=1,$B$44-'Cash Flow Analysis'!I100,-'Cash Flow Analysis'!I100)))</f>
        <v/>
      </c>
      <c r="C84" s="106" t="str">
        <f t="shared" ref="C84:W84" si="38">IF($B$84="","",IF(AND($B$42="Straight Line",C48&lt;=depr_length),$B$84/depr_length,IF(AND($B$42="MACRS",C48&lt;=depr_length+1),$B$84*INDEX(MACRS_Table,MATCH(C48,recovery_year,0),MATCH($B$43,recovery_period,0)),"")))</f>
        <v/>
      </c>
      <c r="D84" s="107" t="str">
        <f t="shared" si="38"/>
        <v/>
      </c>
      <c r="E84" s="107" t="str">
        <f t="shared" si="38"/>
        <v/>
      </c>
      <c r="F84" s="107" t="str">
        <f t="shared" si="38"/>
        <v/>
      </c>
      <c r="G84" s="107" t="str">
        <f t="shared" si="38"/>
        <v/>
      </c>
      <c r="H84" s="107" t="str">
        <f t="shared" si="38"/>
        <v/>
      </c>
      <c r="I84" s="107" t="str">
        <f t="shared" si="38"/>
        <v/>
      </c>
      <c r="J84" s="107" t="str">
        <f t="shared" si="38"/>
        <v/>
      </c>
      <c r="K84" s="107" t="str">
        <f t="shared" si="38"/>
        <v/>
      </c>
      <c r="L84" s="107" t="str">
        <f t="shared" si="38"/>
        <v/>
      </c>
      <c r="M84" s="107" t="str">
        <f t="shared" si="38"/>
        <v/>
      </c>
      <c r="N84" s="107" t="str">
        <f t="shared" si="38"/>
        <v/>
      </c>
      <c r="O84" s="107" t="str">
        <f t="shared" si="38"/>
        <v/>
      </c>
      <c r="P84" s="107" t="str">
        <f t="shared" si="38"/>
        <v/>
      </c>
      <c r="Q84" s="107" t="str">
        <f t="shared" si="38"/>
        <v/>
      </c>
      <c r="R84" s="107" t="str">
        <f t="shared" si="38"/>
        <v/>
      </c>
      <c r="S84" s="107" t="str">
        <f t="shared" si="38"/>
        <v/>
      </c>
      <c r="T84" s="107" t="str">
        <f t="shared" si="38"/>
        <v/>
      </c>
      <c r="U84" s="107" t="str">
        <f t="shared" si="38"/>
        <v/>
      </c>
      <c r="V84" s="107" t="str">
        <f t="shared" si="38"/>
        <v/>
      </c>
      <c r="W84" s="108" t="str">
        <f t="shared" si="38"/>
        <v/>
      </c>
      <c r="X84" s="105">
        <f t="shared" si="3"/>
        <v>0</v>
      </c>
    </row>
    <row r="85" spans="1:24" ht="15" customHeight="1" x14ac:dyDescent="0.25">
      <c r="A85" s="73" t="str">
        <f>IF('Cash Flow Analysis'!C101="","",'Cash Flow Analysis'!C101)</f>
        <v/>
      </c>
      <c r="B85" s="871" t="str">
        <f>IF(A85="","",IF(A85&lt;1,0,IF(A85=1,$B$44-'Cash Flow Analysis'!I101,-'Cash Flow Analysis'!I101)))</f>
        <v/>
      </c>
      <c r="C85" s="106" t="str">
        <f t="shared" ref="C85:W85" si="39">IF($B$85="","",IF(AND($B$42="Straight Line",C48&lt;=depr_length),$B$85/depr_length,IF(AND($B$42="MACRS",C48&lt;=depr_length+1),$B$85*INDEX(MACRS_Table,MATCH(C48,recovery_year,0),MATCH($B$43,recovery_period,0)),"")))</f>
        <v/>
      </c>
      <c r="D85" s="107" t="str">
        <f t="shared" si="39"/>
        <v/>
      </c>
      <c r="E85" s="107" t="str">
        <f t="shared" si="39"/>
        <v/>
      </c>
      <c r="F85" s="107" t="str">
        <f t="shared" si="39"/>
        <v/>
      </c>
      <c r="G85" s="107" t="str">
        <f t="shared" si="39"/>
        <v/>
      </c>
      <c r="H85" s="107" t="str">
        <f t="shared" si="39"/>
        <v/>
      </c>
      <c r="I85" s="107" t="str">
        <f t="shared" si="39"/>
        <v/>
      </c>
      <c r="J85" s="107" t="str">
        <f t="shared" si="39"/>
        <v/>
      </c>
      <c r="K85" s="107" t="str">
        <f t="shared" si="39"/>
        <v/>
      </c>
      <c r="L85" s="107" t="str">
        <f t="shared" si="39"/>
        <v/>
      </c>
      <c r="M85" s="107" t="str">
        <f t="shared" si="39"/>
        <v/>
      </c>
      <c r="N85" s="107" t="str">
        <f t="shared" si="39"/>
        <v/>
      </c>
      <c r="O85" s="107" t="str">
        <f t="shared" si="39"/>
        <v/>
      </c>
      <c r="P85" s="107" t="str">
        <f t="shared" si="39"/>
        <v/>
      </c>
      <c r="Q85" s="107" t="str">
        <f t="shared" si="39"/>
        <v/>
      </c>
      <c r="R85" s="107" t="str">
        <f t="shared" si="39"/>
        <v/>
      </c>
      <c r="S85" s="107" t="str">
        <f t="shared" si="39"/>
        <v/>
      </c>
      <c r="T85" s="107" t="str">
        <f t="shared" si="39"/>
        <v/>
      </c>
      <c r="U85" s="107" t="str">
        <f t="shared" si="39"/>
        <v/>
      </c>
      <c r="V85" s="107" t="str">
        <f t="shared" si="39"/>
        <v/>
      </c>
      <c r="W85" s="108" t="str">
        <f t="shared" si="39"/>
        <v/>
      </c>
      <c r="X85" s="105">
        <f t="shared" si="3"/>
        <v>0</v>
      </c>
    </row>
    <row r="86" spans="1:24" ht="15" customHeight="1" x14ac:dyDescent="0.25">
      <c r="A86" s="73" t="str">
        <f>IF('Cash Flow Analysis'!C102="","",'Cash Flow Analysis'!C102)</f>
        <v/>
      </c>
      <c r="B86" s="871" t="str">
        <f>IF(A86="","",IF(A86&lt;1,0,IF(A86=1,$B$44-'Cash Flow Analysis'!I102,-'Cash Flow Analysis'!I102)))</f>
        <v/>
      </c>
      <c r="C86" s="106" t="str">
        <f t="shared" ref="C86:W86" si="40">IF($B$86="","",IF(AND($B$42="Straight Line",C48&lt;=depr_length),$B$86/depr_length,IF(AND($B$42="MACRS",C48&lt;=depr_length+1),$B$86*INDEX(MACRS_Table,MATCH(C48,recovery_year,0),MATCH($B$43,recovery_period,0)),"")))</f>
        <v/>
      </c>
      <c r="D86" s="107" t="str">
        <f t="shared" si="40"/>
        <v/>
      </c>
      <c r="E86" s="107" t="str">
        <f t="shared" si="40"/>
        <v/>
      </c>
      <c r="F86" s="107" t="str">
        <f t="shared" si="40"/>
        <v/>
      </c>
      <c r="G86" s="107" t="str">
        <f t="shared" si="40"/>
        <v/>
      </c>
      <c r="H86" s="107" t="str">
        <f t="shared" si="40"/>
        <v/>
      </c>
      <c r="I86" s="107" t="str">
        <f t="shared" si="40"/>
        <v/>
      </c>
      <c r="J86" s="107" t="str">
        <f t="shared" si="40"/>
        <v/>
      </c>
      <c r="K86" s="107" t="str">
        <f t="shared" si="40"/>
        <v/>
      </c>
      <c r="L86" s="107" t="str">
        <f t="shared" si="40"/>
        <v/>
      </c>
      <c r="M86" s="107" t="str">
        <f t="shared" si="40"/>
        <v/>
      </c>
      <c r="N86" s="107" t="str">
        <f t="shared" si="40"/>
        <v/>
      </c>
      <c r="O86" s="107" t="str">
        <f t="shared" si="40"/>
        <v/>
      </c>
      <c r="P86" s="107" t="str">
        <f t="shared" si="40"/>
        <v/>
      </c>
      <c r="Q86" s="107" t="str">
        <f t="shared" si="40"/>
        <v/>
      </c>
      <c r="R86" s="107" t="str">
        <f t="shared" si="40"/>
        <v/>
      </c>
      <c r="S86" s="107" t="str">
        <f t="shared" si="40"/>
        <v/>
      </c>
      <c r="T86" s="107" t="str">
        <f t="shared" si="40"/>
        <v/>
      </c>
      <c r="U86" s="107" t="str">
        <f t="shared" si="40"/>
        <v/>
      </c>
      <c r="V86" s="107" t="str">
        <f t="shared" si="40"/>
        <v/>
      </c>
      <c r="W86" s="108" t="str">
        <f t="shared" si="40"/>
        <v/>
      </c>
      <c r="X86" s="105">
        <f t="shared" si="3"/>
        <v>0</v>
      </c>
    </row>
    <row r="87" spans="1:24" ht="15" customHeight="1" x14ac:dyDescent="0.25">
      <c r="A87" s="73" t="str">
        <f>IF('Cash Flow Analysis'!C103="","",'Cash Flow Analysis'!C103)</f>
        <v/>
      </c>
      <c r="B87" s="871" t="str">
        <f>IF(A87="","",IF(A87&lt;1,0,IF(A87=1,$B$44-'Cash Flow Analysis'!I103,-'Cash Flow Analysis'!I103)))</f>
        <v/>
      </c>
      <c r="C87" s="106" t="str">
        <f t="shared" ref="C87:W87" si="41">IF($B$87="","",IF(AND($B$42="Straight Line",C48&lt;=depr_length),$B$87/depr_length,IF(AND($B$42="MACRS",C48&lt;=depr_length+1),$B$87*INDEX(MACRS_Table,MATCH(C48,recovery_year,0),MATCH($B$43,recovery_period,0)),"")))</f>
        <v/>
      </c>
      <c r="D87" s="107" t="str">
        <f t="shared" si="41"/>
        <v/>
      </c>
      <c r="E87" s="107" t="str">
        <f t="shared" si="41"/>
        <v/>
      </c>
      <c r="F87" s="107" t="str">
        <f t="shared" si="41"/>
        <v/>
      </c>
      <c r="G87" s="107" t="str">
        <f t="shared" si="41"/>
        <v/>
      </c>
      <c r="H87" s="107" t="str">
        <f t="shared" si="41"/>
        <v/>
      </c>
      <c r="I87" s="107" t="str">
        <f t="shared" si="41"/>
        <v/>
      </c>
      <c r="J87" s="107" t="str">
        <f t="shared" si="41"/>
        <v/>
      </c>
      <c r="K87" s="107" t="str">
        <f t="shared" si="41"/>
        <v/>
      </c>
      <c r="L87" s="107" t="str">
        <f t="shared" si="41"/>
        <v/>
      </c>
      <c r="M87" s="107" t="str">
        <f t="shared" si="41"/>
        <v/>
      </c>
      <c r="N87" s="107" t="str">
        <f t="shared" si="41"/>
        <v/>
      </c>
      <c r="O87" s="107" t="str">
        <f t="shared" si="41"/>
        <v/>
      </c>
      <c r="P87" s="107" t="str">
        <f t="shared" si="41"/>
        <v/>
      </c>
      <c r="Q87" s="107" t="str">
        <f t="shared" si="41"/>
        <v/>
      </c>
      <c r="R87" s="107" t="str">
        <f t="shared" si="41"/>
        <v/>
      </c>
      <c r="S87" s="107" t="str">
        <f t="shared" si="41"/>
        <v/>
      </c>
      <c r="T87" s="107" t="str">
        <f t="shared" si="41"/>
        <v/>
      </c>
      <c r="U87" s="107" t="str">
        <f t="shared" si="41"/>
        <v/>
      </c>
      <c r="V87" s="107" t="str">
        <f t="shared" si="41"/>
        <v/>
      </c>
      <c r="W87" s="108" t="str">
        <f t="shared" si="41"/>
        <v/>
      </c>
      <c r="X87" s="105">
        <f t="shared" si="3"/>
        <v>0</v>
      </c>
    </row>
    <row r="88" spans="1:24" ht="15" customHeight="1" x14ac:dyDescent="0.25">
      <c r="A88" s="73" t="str">
        <f>IF('Cash Flow Analysis'!C104="","",'Cash Flow Analysis'!C104)</f>
        <v/>
      </c>
      <c r="B88" s="871" t="str">
        <f>IF(A88="","",IF(A88&lt;1,0,IF(A88=1,$B$44-'Cash Flow Analysis'!I104,-'Cash Flow Analysis'!I104)))</f>
        <v/>
      </c>
      <c r="C88" s="106" t="str">
        <f t="shared" ref="C88:W88" si="42">IF($B$88="","",IF(AND($B$42="Straight Line",C48&lt;=depr_length),$B$88/depr_length,IF(AND($B$42="MACRS",C48&lt;=depr_length+1),$B$88*INDEX(MACRS_Table,MATCH(C48,recovery_year,0),MATCH($B$43,recovery_period,0)),"")))</f>
        <v/>
      </c>
      <c r="D88" s="107" t="str">
        <f t="shared" si="42"/>
        <v/>
      </c>
      <c r="E88" s="107" t="str">
        <f t="shared" si="42"/>
        <v/>
      </c>
      <c r="F88" s="107" t="str">
        <f t="shared" si="42"/>
        <v/>
      </c>
      <c r="G88" s="107" t="str">
        <f t="shared" si="42"/>
        <v/>
      </c>
      <c r="H88" s="107" t="str">
        <f t="shared" si="42"/>
        <v/>
      </c>
      <c r="I88" s="107" t="str">
        <f t="shared" si="42"/>
        <v/>
      </c>
      <c r="J88" s="107" t="str">
        <f t="shared" si="42"/>
        <v/>
      </c>
      <c r="K88" s="107" t="str">
        <f t="shared" si="42"/>
        <v/>
      </c>
      <c r="L88" s="107" t="str">
        <f t="shared" si="42"/>
        <v/>
      </c>
      <c r="M88" s="107" t="str">
        <f t="shared" si="42"/>
        <v/>
      </c>
      <c r="N88" s="107" t="str">
        <f t="shared" si="42"/>
        <v/>
      </c>
      <c r="O88" s="107" t="str">
        <f t="shared" si="42"/>
        <v/>
      </c>
      <c r="P88" s="107" t="str">
        <f t="shared" si="42"/>
        <v/>
      </c>
      <c r="Q88" s="107" t="str">
        <f t="shared" si="42"/>
        <v/>
      </c>
      <c r="R88" s="107" t="str">
        <f t="shared" si="42"/>
        <v/>
      </c>
      <c r="S88" s="107" t="str">
        <f t="shared" si="42"/>
        <v/>
      </c>
      <c r="T88" s="107" t="str">
        <f t="shared" si="42"/>
        <v/>
      </c>
      <c r="U88" s="107" t="str">
        <f t="shared" si="42"/>
        <v/>
      </c>
      <c r="V88" s="107" t="str">
        <f t="shared" si="42"/>
        <v/>
      </c>
      <c r="W88" s="108" t="str">
        <f t="shared" si="42"/>
        <v/>
      </c>
      <c r="X88" s="105">
        <f t="shared" si="3"/>
        <v>0</v>
      </c>
    </row>
    <row r="89" spans="1:24" ht="15" customHeight="1" x14ac:dyDescent="0.25">
      <c r="A89" s="73" t="str">
        <f>IF('Cash Flow Analysis'!C105="","",'Cash Flow Analysis'!C105)</f>
        <v/>
      </c>
      <c r="B89" s="871" t="str">
        <f>IF(A89="","",IF(A89&lt;1,0,IF(A89=1,$B$44-'Cash Flow Analysis'!I105,-'Cash Flow Analysis'!I105)))</f>
        <v/>
      </c>
      <c r="C89" s="106" t="str">
        <f t="shared" ref="C89:W89" si="43">IF($B$89="","",IF(AND($B$42="Straight Line",C48&lt;=depr_length),$B$89/depr_length,IF(AND($B$42="MACRS",C48&lt;=depr_length+1),$B$89*INDEX(MACRS_Table,MATCH(C48,recovery_year,0),MATCH($B$43,recovery_period,0)),"")))</f>
        <v/>
      </c>
      <c r="D89" s="107" t="str">
        <f t="shared" si="43"/>
        <v/>
      </c>
      <c r="E89" s="107" t="str">
        <f t="shared" si="43"/>
        <v/>
      </c>
      <c r="F89" s="107" t="str">
        <f t="shared" si="43"/>
        <v/>
      </c>
      <c r="G89" s="107" t="str">
        <f t="shared" si="43"/>
        <v/>
      </c>
      <c r="H89" s="107" t="str">
        <f t="shared" si="43"/>
        <v/>
      </c>
      <c r="I89" s="107" t="str">
        <f t="shared" si="43"/>
        <v/>
      </c>
      <c r="J89" s="107" t="str">
        <f t="shared" si="43"/>
        <v/>
      </c>
      <c r="K89" s="107" t="str">
        <f t="shared" si="43"/>
        <v/>
      </c>
      <c r="L89" s="107" t="str">
        <f t="shared" si="43"/>
        <v/>
      </c>
      <c r="M89" s="107" t="str">
        <f t="shared" si="43"/>
        <v/>
      </c>
      <c r="N89" s="107" t="str">
        <f t="shared" si="43"/>
        <v/>
      </c>
      <c r="O89" s="107" t="str">
        <f t="shared" si="43"/>
        <v/>
      </c>
      <c r="P89" s="107" t="str">
        <f t="shared" si="43"/>
        <v/>
      </c>
      <c r="Q89" s="107" t="str">
        <f t="shared" si="43"/>
        <v/>
      </c>
      <c r="R89" s="107" t="str">
        <f t="shared" si="43"/>
        <v/>
      </c>
      <c r="S89" s="107" t="str">
        <f t="shared" si="43"/>
        <v/>
      </c>
      <c r="T89" s="107" t="str">
        <f t="shared" si="43"/>
        <v/>
      </c>
      <c r="U89" s="107" t="str">
        <f t="shared" si="43"/>
        <v/>
      </c>
      <c r="V89" s="107" t="str">
        <f t="shared" si="43"/>
        <v/>
      </c>
      <c r="W89" s="108" t="str">
        <f t="shared" si="43"/>
        <v/>
      </c>
      <c r="X89" s="105">
        <f t="shared" si="3"/>
        <v>0</v>
      </c>
    </row>
    <row r="90" spans="1:24" ht="15" customHeight="1" x14ac:dyDescent="0.25">
      <c r="A90" s="73" t="str">
        <f>IF('Cash Flow Analysis'!C106="","",'Cash Flow Analysis'!C106)</f>
        <v/>
      </c>
      <c r="B90" s="871" t="str">
        <f>IF(A90="","",IF(A90&lt;1,0,IF(A90=1,$B$44-'Cash Flow Analysis'!I106,-'Cash Flow Analysis'!I106)))</f>
        <v/>
      </c>
      <c r="C90" s="106" t="str">
        <f t="shared" ref="C90:W90" si="44">IF($B$90="","",IF(AND($B$42="Straight Line",C48&lt;=depr_length),$B$90/depr_length,IF(AND($B$42="MACRS",C48&lt;=depr_length+1),$B$90*INDEX(MACRS_Table,MATCH(C48,recovery_year,0),MATCH($B$43,recovery_period,0)),"")))</f>
        <v/>
      </c>
      <c r="D90" s="107" t="str">
        <f t="shared" si="44"/>
        <v/>
      </c>
      <c r="E90" s="107" t="str">
        <f t="shared" si="44"/>
        <v/>
      </c>
      <c r="F90" s="107" t="str">
        <f t="shared" si="44"/>
        <v/>
      </c>
      <c r="G90" s="107" t="str">
        <f t="shared" si="44"/>
        <v/>
      </c>
      <c r="H90" s="107" t="str">
        <f t="shared" si="44"/>
        <v/>
      </c>
      <c r="I90" s="107" t="str">
        <f t="shared" si="44"/>
        <v/>
      </c>
      <c r="J90" s="107" t="str">
        <f t="shared" si="44"/>
        <v/>
      </c>
      <c r="K90" s="107" t="str">
        <f t="shared" si="44"/>
        <v/>
      </c>
      <c r="L90" s="107" t="str">
        <f t="shared" si="44"/>
        <v/>
      </c>
      <c r="M90" s="107" t="str">
        <f t="shared" si="44"/>
        <v/>
      </c>
      <c r="N90" s="107" t="str">
        <f t="shared" si="44"/>
        <v/>
      </c>
      <c r="O90" s="107" t="str">
        <f t="shared" si="44"/>
        <v/>
      </c>
      <c r="P90" s="107" t="str">
        <f t="shared" si="44"/>
        <v/>
      </c>
      <c r="Q90" s="107" t="str">
        <f t="shared" si="44"/>
        <v/>
      </c>
      <c r="R90" s="107" t="str">
        <f t="shared" si="44"/>
        <v/>
      </c>
      <c r="S90" s="107" t="str">
        <f t="shared" si="44"/>
        <v/>
      </c>
      <c r="T90" s="107" t="str">
        <f t="shared" si="44"/>
        <v/>
      </c>
      <c r="U90" s="107" t="str">
        <f t="shared" si="44"/>
        <v/>
      </c>
      <c r="V90" s="107" t="str">
        <f t="shared" si="44"/>
        <v/>
      </c>
      <c r="W90" s="108" t="str">
        <f t="shared" si="44"/>
        <v/>
      </c>
      <c r="X90" s="105">
        <f t="shared" si="3"/>
        <v>0</v>
      </c>
    </row>
    <row r="91" spans="1:24" ht="15" customHeight="1" x14ac:dyDescent="0.25">
      <c r="A91" s="73" t="str">
        <f>IF('Cash Flow Analysis'!C107="","",'Cash Flow Analysis'!C107)</f>
        <v/>
      </c>
      <c r="B91" s="871" t="str">
        <f>IF(A91="","",IF(A91&lt;1,0,IF(A91=1,$B$44-'Cash Flow Analysis'!I107,-'Cash Flow Analysis'!I107)))</f>
        <v/>
      </c>
      <c r="C91" s="106" t="str">
        <f t="shared" ref="C91:W91" si="45">IF($B$91="","",IF(AND($B$42="Straight Line",C48&lt;=depr_length),$B$91/depr_length,IF(AND($B$42="MACRS",C48&lt;=depr_length+1),$B$91*INDEX(MACRS_Table,MATCH(C48,recovery_year,0),MATCH($B$43,recovery_period,0)),"")))</f>
        <v/>
      </c>
      <c r="D91" s="107" t="str">
        <f t="shared" si="45"/>
        <v/>
      </c>
      <c r="E91" s="107" t="str">
        <f t="shared" si="45"/>
        <v/>
      </c>
      <c r="F91" s="107" t="str">
        <f t="shared" si="45"/>
        <v/>
      </c>
      <c r="G91" s="107" t="str">
        <f t="shared" si="45"/>
        <v/>
      </c>
      <c r="H91" s="107" t="str">
        <f t="shared" si="45"/>
        <v/>
      </c>
      <c r="I91" s="107" t="str">
        <f t="shared" si="45"/>
        <v/>
      </c>
      <c r="J91" s="107" t="str">
        <f t="shared" si="45"/>
        <v/>
      </c>
      <c r="K91" s="107" t="str">
        <f t="shared" si="45"/>
        <v/>
      </c>
      <c r="L91" s="107" t="str">
        <f t="shared" si="45"/>
        <v/>
      </c>
      <c r="M91" s="107" t="str">
        <f t="shared" si="45"/>
        <v/>
      </c>
      <c r="N91" s="107" t="str">
        <f t="shared" si="45"/>
        <v/>
      </c>
      <c r="O91" s="107" t="str">
        <f t="shared" si="45"/>
        <v/>
      </c>
      <c r="P91" s="107" t="str">
        <f t="shared" si="45"/>
        <v/>
      </c>
      <c r="Q91" s="107" t="str">
        <f t="shared" si="45"/>
        <v/>
      </c>
      <c r="R91" s="107" t="str">
        <f t="shared" si="45"/>
        <v/>
      </c>
      <c r="S91" s="107" t="str">
        <f t="shared" si="45"/>
        <v/>
      </c>
      <c r="T91" s="107" t="str">
        <f t="shared" si="45"/>
        <v/>
      </c>
      <c r="U91" s="107" t="str">
        <f t="shared" si="45"/>
        <v/>
      </c>
      <c r="V91" s="107" t="str">
        <f t="shared" si="45"/>
        <v/>
      </c>
      <c r="W91" s="108" t="str">
        <f t="shared" si="45"/>
        <v/>
      </c>
      <c r="X91" s="105">
        <f t="shared" si="3"/>
        <v>0</v>
      </c>
    </row>
    <row r="92" spans="1:24" ht="15" customHeight="1" thickBot="1" x14ac:dyDescent="0.3">
      <c r="A92" s="77" t="str">
        <f>IF('Cash Flow Analysis'!C108="","",'Cash Flow Analysis'!C108)</f>
        <v/>
      </c>
      <c r="B92" s="871" t="str">
        <f>IF(A92="","",IF(A92&lt;1,0,IF(A92=1,$B$44-'Cash Flow Analysis'!I108,-'Cash Flow Analysis'!I108)))</f>
        <v/>
      </c>
      <c r="C92" s="109" t="str">
        <f t="shared" ref="C92:W92" si="46">IF($B$92="","",IF(AND($B$42="Straight Line",C48&lt;=depr_length),$B$92/depr_length,IF(AND($B$42="MACRS",C48&lt;=depr_length+1),$B$92*INDEX(MACRS_Table,MATCH(C48,recovery_year,0),MATCH($B$43,recovery_period,0)),"")))</f>
        <v/>
      </c>
      <c r="D92" s="110" t="str">
        <f t="shared" si="46"/>
        <v/>
      </c>
      <c r="E92" s="110" t="str">
        <f t="shared" si="46"/>
        <v/>
      </c>
      <c r="F92" s="110" t="str">
        <f t="shared" si="46"/>
        <v/>
      </c>
      <c r="G92" s="110" t="str">
        <f t="shared" si="46"/>
        <v/>
      </c>
      <c r="H92" s="110" t="str">
        <f t="shared" si="46"/>
        <v/>
      </c>
      <c r="I92" s="110" t="str">
        <f t="shared" si="46"/>
        <v/>
      </c>
      <c r="J92" s="110" t="str">
        <f t="shared" si="46"/>
        <v/>
      </c>
      <c r="K92" s="110" t="str">
        <f t="shared" si="46"/>
        <v/>
      </c>
      <c r="L92" s="110" t="str">
        <f t="shared" si="46"/>
        <v/>
      </c>
      <c r="M92" s="110" t="str">
        <f t="shared" si="46"/>
        <v/>
      </c>
      <c r="N92" s="110" t="str">
        <f t="shared" si="46"/>
        <v/>
      </c>
      <c r="O92" s="110" t="str">
        <f t="shared" si="46"/>
        <v/>
      </c>
      <c r="P92" s="110" t="str">
        <f t="shared" si="46"/>
        <v/>
      </c>
      <c r="Q92" s="110" t="str">
        <f t="shared" si="46"/>
        <v/>
      </c>
      <c r="R92" s="110" t="str">
        <f t="shared" si="46"/>
        <v/>
      </c>
      <c r="S92" s="110" t="str">
        <f t="shared" si="46"/>
        <v/>
      </c>
      <c r="T92" s="110" t="str">
        <f t="shared" si="46"/>
        <v/>
      </c>
      <c r="U92" s="110" t="str">
        <f t="shared" si="46"/>
        <v/>
      </c>
      <c r="V92" s="110" t="str">
        <f t="shared" si="46"/>
        <v/>
      </c>
      <c r="W92" s="95" t="str">
        <f t="shared" si="46"/>
        <v/>
      </c>
      <c r="X92" s="111">
        <f t="shared" si="3"/>
        <v>0</v>
      </c>
    </row>
    <row r="93" spans="1:24" s="37" customFormat="1" ht="15" customHeight="1" thickTop="1" x14ac:dyDescent="0.25">
      <c r="A93" s="43"/>
      <c r="B93" s="112"/>
      <c r="C93" s="112"/>
      <c r="D93" s="112"/>
      <c r="E93" s="112"/>
      <c r="F93" s="112"/>
      <c r="G93" s="112"/>
      <c r="H93" s="112"/>
      <c r="I93" s="112"/>
      <c r="J93" s="112"/>
      <c r="K93" s="112"/>
      <c r="L93" s="112"/>
      <c r="M93" s="112"/>
      <c r="N93" s="112"/>
      <c r="O93" s="112"/>
      <c r="P93" s="112"/>
      <c r="Q93" s="112"/>
      <c r="R93" s="112"/>
      <c r="S93" s="112"/>
      <c r="T93" s="112"/>
      <c r="U93" s="112"/>
      <c r="V93" s="112"/>
      <c r="W93" s="112"/>
      <c r="X93" s="112"/>
    </row>
    <row r="94" spans="1:24" ht="15" customHeight="1" thickBot="1" x14ac:dyDescent="0.3">
      <c r="B94" s="113"/>
      <c r="C94" s="113"/>
      <c r="D94" s="113"/>
      <c r="E94" s="113"/>
      <c r="F94" s="113"/>
      <c r="G94" s="113"/>
      <c r="H94" s="113"/>
      <c r="I94" s="113"/>
      <c r="J94" s="113"/>
      <c r="K94" s="113"/>
      <c r="L94" s="113"/>
      <c r="M94" s="113"/>
      <c r="N94" s="113"/>
      <c r="O94" s="113"/>
      <c r="P94" s="113"/>
      <c r="Q94" s="113"/>
      <c r="R94" s="113"/>
      <c r="S94" s="113"/>
      <c r="T94" s="113"/>
      <c r="U94" s="113"/>
      <c r="V94" s="113"/>
      <c r="W94" s="113"/>
      <c r="X94" s="113"/>
    </row>
    <row r="95" spans="1:24" ht="30.75" customHeight="1" thickTop="1" thickBot="1" x14ac:dyDescent="0.35">
      <c r="A95" s="96" t="s">
        <v>58</v>
      </c>
      <c r="B95" s="62"/>
      <c r="C95" s="63"/>
    </row>
    <row r="96" spans="1:24" ht="31.2" customHeight="1" thickTop="1" x14ac:dyDescent="0.25">
      <c r="A96" s="114" t="s">
        <v>55</v>
      </c>
      <c r="B96" s="115" t="s">
        <v>59</v>
      </c>
      <c r="C96" s="116" t="s">
        <v>60</v>
      </c>
    </row>
    <row r="97" spans="1:3" ht="15" customHeight="1" x14ac:dyDescent="0.25">
      <c r="A97" s="92">
        <f>IF('Cash Flow Analysis'!C65="","",'Cash Flow Analysis'!C65)</f>
        <v>-1</v>
      </c>
      <c r="B97" s="107">
        <f>C49</f>
        <v>0</v>
      </c>
      <c r="C97" s="117">
        <f t="shared" ref="C97:C140" si="47">IF(A97="",B97,0)</f>
        <v>0</v>
      </c>
    </row>
    <row r="98" spans="1:3" ht="15" customHeight="1" x14ac:dyDescent="0.25">
      <c r="A98" s="92">
        <f>IF('Cash Flow Analysis'!C66="","",'Cash Flow Analysis'!C66)</f>
        <v>1</v>
      </c>
      <c r="B98" s="107">
        <f ca="1">SUM(D49,C50)</f>
        <v>297123.50734592695</v>
      </c>
      <c r="C98" s="117">
        <f t="shared" si="47"/>
        <v>0</v>
      </c>
    </row>
    <row r="99" spans="1:3" ht="15" customHeight="1" x14ac:dyDescent="0.25">
      <c r="A99" s="92">
        <f>IF('Cash Flow Analysis'!C67="","",'Cash Flow Analysis'!C67)</f>
        <v>2</v>
      </c>
      <c r="B99" s="107">
        <f ca="1">SUM(E49,D50,C51)</f>
        <v>509206.0668230757</v>
      </c>
      <c r="C99" s="117">
        <f t="shared" si="47"/>
        <v>0</v>
      </c>
    </row>
    <row r="100" spans="1:3" ht="15" customHeight="1" x14ac:dyDescent="0.25">
      <c r="A100" s="92">
        <f>IF('Cash Flow Analysis'!C68="","",'Cash Flow Analysis'!C68)</f>
        <v>3</v>
      </c>
      <c r="B100" s="107">
        <f ca="1">SUM(F49,E50,D51,C52)</f>
        <v>363659.21227993438</v>
      </c>
      <c r="C100" s="117">
        <f t="shared" si="47"/>
        <v>0</v>
      </c>
    </row>
    <row r="101" spans="1:3" ht="15" customHeight="1" x14ac:dyDescent="0.25">
      <c r="A101" s="92">
        <f>IF('Cash Flow Analysis'!C69="","",'Cash Flow Analysis'!C69)</f>
        <v>4</v>
      </c>
      <c r="B101" s="107">
        <f ca="1">SUM(G49,F50,E51,D52,C53)</f>
        <v>259697.17332054776</v>
      </c>
      <c r="C101" s="117">
        <f t="shared" si="47"/>
        <v>0</v>
      </c>
    </row>
    <row r="102" spans="1:3" ht="15" customHeight="1" x14ac:dyDescent="0.25">
      <c r="A102" s="92">
        <f>IF('Cash Flow Analysis'!C70="","",'Cash Flow Analysis'!C70)</f>
        <v>5</v>
      </c>
      <c r="B102" s="107">
        <f ca="1">SUM(H49,G50,F51,E52,D53,C54)</f>
        <v>185676.2015814645</v>
      </c>
      <c r="C102" s="117">
        <f t="shared" si="47"/>
        <v>0</v>
      </c>
    </row>
    <row r="103" spans="1:3" ht="15" customHeight="1" x14ac:dyDescent="0.25">
      <c r="A103" s="92">
        <f>IF('Cash Flow Analysis'!C71="","",'Cash Flow Analysis'!C71)</f>
        <v>6</v>
      </c>
      <c r="B103" s="107">
        <f ca="1">SUM(I49,H50,G51,F52,E53,D54,C55)</f>
        <v>219886.08551760521</v>
      </c>
      <c r="C103" s="117">
        <f t="shared" si="47"/>
        <v>0</v>
      </c>
    </row>
    <row r="104" spans="1:3" ht="15" customHeight="1" x14ac:dyDescent="0.25">
      <c r="A104" s="92">
        <f>IF('Cash Flow Analysis'!C72="","",'Cash Flow Analysis'!C72)</f>
        <v>7</v>
      </c>
      <c r="B104" s="107">
        <f ca="1">SUM(J49,I50,H51,G52,F53,E54,D55,C56)</f>
        <v>244660.95443411084</v>
      </c>
      <c r="C104" s="117">
        <f t="shared" si="47"/>
        <v>0</v>
      </c>
    </row>
    <row r="105" spans="1:3" ht="15" customHeight="1" x14ac:dyDescent="0.25">
      <c r="A105" s="92">
        <f>IF('Cash Flow Analysis'!C73="","",'Cash Flow Analysis'!C73)</f>
        <v>8</v>
      </c>
      <c r="B105" s="107">
        <f ca="1">SUM(K49,J50,I51,H52,G53,F54,E55,D56,C57)</f>
        <v>134859.22357793804</v>
      </c>
      <c r="C105" s="117">
        <f t="shared" si="47"/>
        <v>0</v>
      </c>
    </row>
    <row r="106" spans="1:3" ht="15" customHeight="1" x14ac:dyDescent="0.25">
      <c r="A106" s="92">
        <f>IF('Cash Flow Analysis'!C74="","",'Cash Flow Analysis'!C74)</f>
        <v>9</v>
      </c>
      <c r="B106" s="107">
        <f ca="1">SUM(L49,K50,J51,I52,H53,G54,F55,E56,D57,C58)</f>
        <v>30082.464807250013</v>
      </c>
      <c r="C106" s="117">
        <f t="shared" si="47"/>
        <v>0</v>
      </c>
    </row>
    <row r="107" spans="1:3" ht="15" customHeight="1" x14ac:dyDescent="0.25">
      <c r="A107" s="92">
        <f>IF('Cash Flow Analysis'!C75="","",'Cash Flow Analysis'!C75)</f>
        <v>10</v>
      </c>
      <c r="B107" s="107">
        <f ca="1">SUM(M49,L50,K51,J52,I53,H54,G55,F56,E57,D58,C59)</f>
        <v>21508.119353782437</v>
      </c>
      <c r="C107" s="117">
        <f t="shared" si="47"/>
        <v>0</v>
      </c>
    </row>
    <row r="108" spans="1:3" ht="15" customHeight="1" x14ac:dyDescent="0.25">
      <c r="A108" s="92">
        <f>IF('Cash Flow Analysis'!C76="","",'Cash Flow Analysis'!C76)</f>
        <v>11</v>
      </c>
      <c r="B108" s="107">
        <f ca="1">SUM(N49,M50,L51,K52,J53,I54,H55,G56,F57,E58,D59,C60)</f>
        <v>21484.034113744605</v>
      </c>
      <c r="C108" s="117">
        <f t="shared" si="47"/>
        <v>0</v>
      </c>
    </row>
    <row r="109" spans="1:3" ht="15" customHeight="1" x14ac:dyDescent="0.25">
      <c r="A109" s="92">
        <f>IF('Cash Flow Analysis'!C77="","",'Cash Flow Analysis'!C77)</f>
        <v>12</v>
      </c>
      <c r="B109" s="107">
        <f ca="1">SUM(O49,N50,M51,L52,K53,J54,I55,H56,G57,F58,E59,D60,C61)</f>
        <v>21508.119353782437</v>
      </c>
      <c r="C109" s="117">
        <f t="shared" si="47"/>
        <v>0</v>
      </c>
    </row>
    <row r="110" spans="1:3" ht="15" customHeight="1" x14ac:dyDescent="0.25">
      <c r="A110" s="92">
        <f>IF('Cash Flow Analysis'!C78="","",'Cash Flow Analysis'!C78)</f>
        <v>13</v>
      </c>
      <c r="B110" s="107">
        <f ca="1">SUM(P49,O50,N51,M52,L53,K54,J55,I56,H57,G58,F59,E60,D61,C62)</f>
        <v>50006.73623917286</v>
      </c>
      <c r="C110" s="117">
        <f t="shared" si="47"/>
        <v>0</v>
      </c>
    </row>
    <row r="111" spans="1:3" ht="15" customHeight="1" x14ac:dyDescent="0.25">
      <c r="A111" s="92">
        <f>IF('Cash Flow Analysis'!C79="","",'Cash Flow Analysis'!C79)</f>
        <v>14</v>
      </c>
      <c r="B111" s="107">
        <f ca="1">SUM(Q49,P50,O51,N52,M53,L54,K55,J56,I57,H58,G59,F60,E61,D62,C63)</f>
        <v>67291.320698008451</v>
      </c>
      <c r="C111" s="117">
        <f t="shared" si="47"/>
        <v>0</v>
      </c>
    </row>
    <row r="112" spans="1:3" ht="15" customHeight="1" x14ac:dyDescent="0.25">
      <c r="A112" s="92">
        <f>IF('Cash Flow Analysis'!C80="","",'Cash Flow Analysis'!C80)</f>
        <v>15</v>
      </c>
      <c r="B112" s="107">
        <f ca="1">SUM(R49,Q50,P51,O52,N53,M54,L55,K56,J57,I58,H59,G60,F61,E62,D63,C64)</f>
        <v>48057.378481346168</v>
      </c>
      <c r="C112" s="117">
        <f t="shared" si="47"/>
        <v>0</v>
      </c>
    </row>
    <row r="113" spans="1:3" ht="15" customHeight="1" x14ac:dyDescent="0.25">
      <c r="A113" s="92">
        <f>IF('Cash Flow Analysis'!C81="","",'Cash Flow Analysis'!C81)</f>
        <v>16</v>
      </c>
      <c r="B113" s="107">
        <f ca="1">SUM(S49,R50,Q51,P52,O53,N54,M55,L56,K57,J58,I59,H60,G61,F62,E63,D64,C65)</f>
        <v>34318.848326587402</v>
      </c>
      <c r="C113" s="117">
        <f t="shared" si="47"/>
        <v>0</v>
      </c>
    </row>
    <row r="114" spans="1:3" ht="15" customHeight="1" x14ac:dyDescent="0.25">
      <c r="A114" s="92">
        <f>IF('Cash Flow Analysis'!C82="","",'Cash Flow Analysis'!C82)</f>
        <v>17</v>
      </c>
      <c r="B114" s="107">
        <f ca="1">SUM(T49,S50,R51,Q52,P53,O54,N55,M56,L57,K58,J59,I60,H61,G62,F63,E64,D65,C66)</f>
        <v>24537.014856399161</v>
      </c>
      <c r="C114" s="117">
        <f t="shared" si="47"/>
        <v>0</v>
      </c>
    </row>
    <row r="115" spans="1:3" ht="15" customHeight="1" x14ac:dyDescent="0.25">
      <c r="A115" s="92">
        <f>IF('Cash Flow Analysis'!C83="","",'Cash Flow Analysis'!C83)</f>
        <v>18</v>
      </c>
      <c r="B115" s="107">
        <f ca="1">SUM(U49,T50,S51,R52,Q53,P54,O55,N56,M57,L58,K59,J60,I61,H62,G63,F64,E65,D66,C67)</f>
        <v>24509.53779608964</v>
      </c>
      <c r="C115" s="117">
        <f t="shared" si="47"/>
        <v>0</v>
      </c>
    </row>
    <row r="116" spans="1:3" ht="15" customHeight="1" x14ac:dyDescent="0.25">
      <c r="A116" s="92">
        <f>IF('Cash Flow Analysis'!C84="","",'Cash Flow Analysis'!C84)</f>
        <v>19</v>
      </c>
      <c r="B116" s="107">
        <f ca="1">SUM(V49,U50,T51,S52,R53,Q54,P55,O56,N57,M58,L59,K60,J61,I62,H63,G64,F65,E66,D67,C68)</f>
        <v>24537.014856399161</v>
      </c>
      <c r="C116" s="117">
        <f t="shared" si="47"/>
        <v>0</v>
      </c>
    </row>
    <row r="117" spans="1:3" ht="15" customHeight="1" x14ac:dyDescent="0.25">
      <c r="A117" s="92">
        <f>IF('Cash Flow Analysis'!C85="","",'Cash Flow Analysis'!C85)</f>
        <v>20</v>
      </c>
      <c r="B117" s="107">
        <f t="shared" ref="B117:B140" ca="1" si="48">SUM(W49,V50,U51,T52,S53,R54,Q55,P56,O57,N58,M59,L60,K61,J62,I63,H64,G65,F66,E67,D68,C69)</f>
        <v>12254.76889804482</v>
      </c>
      <c r="C117" s="117">
        <f t="shared" si="47"/>
        <v>0</v>
      </c>
    </row>
    <row r="118" spans="1:3" ht="15" customHeight="1" x14ac:dyDescent="0.25">
      <c r="A118" s="92" t="str">
        <f>IF('Cash Flow Analysis'!C86="","",'Cash Flow Analysis'!C86)</f>
        <v/>
      </c>
      <c r="B118" s="107">
        <f t="shared" ca="1" si="48"/>
        <v>0</v>
      </c>
      <c r="C118" s="117">
        <f t="shared" ca="1" si="47"/>
        <v>0</v>
      </c>
    </row>
    <row r="119" spans="1:3" ht="15" customHeight="1" x14ac:dyDescent="0.25">
      <c r="A119" s="92" t="str">
        <f>IF('Cash Flow Analysis'!C87="","",'Cash Flow Analysis'!C87)</f>
        <v/>
      </c>
      <c r="B119" s="107">
        <f t="shared" ca="1" si="48"/>
        <v>0</v>
      </c>
      <c r="C119" s="117">
        <f t="shared" ca="1" si="47"/>
        <v>0</v>
      </c>
    </row>
    <row r="120" spans="1:3" ht="15" customHeight="1" x14ac:dyDescent="0.25">
      <c r="A120" s="92" t="str">
        <f>IF('Cash Flow Analysis'!C88="","",'Cash Flow Analysis'!C88)</f>
        <v/>
      </c>
      <c r="B120" s="107">
        <f t="shared" ca="1" si="48"/>
        <v>0</v>
      </c>
      <c r="C120" s="117">
        <f t="shared" ca="1" si="47"/>
        <v>0</v>
      </c>
    </row>
    <row r="121" spans="1:3" ht="15" customHeight="1" x14ac:dyDescent="0.25">
      <c r="A121" s="92" t="str">
        <f>IF('Cash Flow Analysis'!C89="","",'Cash Flow Analysis'!C89)</f>
        <v/>
      </c>
      <c r="B121" s="107">
        <f t="shared" ca="1" si="48"/>
        <v>0</v>
      </c>
      <c r="C121" s="117">
        <f t="shared" ca="1" si="47"/>
        <v>0</v>
      </c>
    </row>
    <row r="122" spans="1:3" ht="15" customHeight="1" x14ac:dyDescent="0.25">
      <c r="A122" s="92" t="str">
        <f>IF('Cash Flow Analysis'!C90="","",'Cash Flow Analysis'!C90)</f>
        <v/>
      </c>
      <c r="B122" s="107">
        <f t="shared" ca="1" si="48"/>
        <v>0</v>
      </c>
      <c r="C122" s="117">
        <f t="shared" ca="1" si="47"/>
        <v>0</v>
      </c>
    </row>
    <row r="123" spans="1:3" ht="15" customHeight="1" x14ac:dyDescent="0.25">
      <c r="A123" s="92" t="str">
        <f>IF('Cash Flow Analysis'!C91="","",'Cash Flow Analysis'!C91)</f>
        <v/>
      </c>
      <c r="B123" s="107">
        <f t="shared" ca="1" si="48"/>
        <v>0</v>
      </c>
      <c r="C123" s="117">
        <f t="shared" ca="1" si="47"/>
        <v>0</v>
      </c>
    </row>
    <row r="124" spans="1:3" ht="15" customHeight="1" x14ac:dyDescent="0.25">
      <c r="A124" s="92" t="str">
        <f>IF('Cash Flow Analysis'!C92="","",'Cash Flow Analysis'!C92)</f>
        <v/>
      </c>
      <c r="B124" s="107">
        <f t="shared" ca="1" si="48"/>
        <v>0</v>
      </c>
      <c r="C124" s="117">
        <f t="shared" ca="1" si="47"/>
        <v>0</v>
      </c>
    </row>
    <row r="125" spans="1:3" ht="15" customHeight="1" x14ac:dyDescent="0.25">
      <c r="A125" s="92" t="str">
        <f>IF('Cash Flow Analysis'!C93="","",'Cash Flow Analysis'!C93)</f>
        <v/>
      </c>
      <c r="B125" s="107">
        <f t="shared" ca="1" si="48"/>
        <v>0</v>
      </c>
      <c r="C125" s="117">
        <f t="shared" ca="1" si="47"/>
        <v>0</v>
      </c>
    </row>
    <row r="126" spans="1:3" ht="15" customHeight="1" x14ac:dyDescent="0.25">
      <c r="A126" s="92" t="str">
        <f>IF('Cash Flow Analysis'!C94="","",'Cash Flow Analysis'!C94)</f>
        <v/>
      </c>
      <c r="B126" s="107">
        <f t="shared" ca="1" si="48"/>
        <v>0</v>
      </c>
      <c r="C126" s="117">
        <f t="shared" ca="1" si="47"/>
        <v>0</v>
      </c>
    </row>
    <row r="127" spans="1:3" ht="15" customHeight="1" x14ac:dyDescent="0.25">
      <c r="A127" s="92" t="str">
        <f>IF('Cash Flow Analysis'!C95="","",'Cash Flow Analysis'!C95)</f>
        <v/>
      </c>
      <c r="B127" s="107">
        <f t="shared" ca="1" si="48"/>
        <v>0</v>
      </c>
      <c r="C127" s="117">
        <f t="shared" ca="1" si="47"/>
        <v>0</v>
      </c>
    </row>
    <row r="128" spans="1:3" ht="15" customHeight="1" x14ac:dyDescent="0.25">
      <c r="A128" s="92" t="str">
        <f>IF('Cash Flow Analysis'!C96="","",'Cash Flow Analysis'!C96)</f>
        <v/>
      </c>
      <c r="B128" s="107">
        <f t="shared" ca="1" si="48"/>
        <v>0</v>
      </c>
      <c r="C128" s="117">
        <f t="shared" ca="1" si="47"/>
        <v>0</v>
      </c>
    </row>
    <row r="129" spans="1:3" ht="15" customHeight="1" x14ac:dyDescent="0.25">
      <c r="A129" s="92" t="str">
        <f>IF('Cash Flow Analysis'!C97="","",'Cash Flow Analysis'!C97)</f>
        <v/>
      </c>
      <c r="B129" s="107">
        <f t="shared" ca="1" si="48"/>
        <v>0</v>
      </c>
      <c r="C129" s="117">
        <f t="shared" ca="1" si="47"/>
        <v>0</v>
      </c>
    </row>
    <row r="130" spans="1:3" ht="15" customHeight="1" x14ac:dyDescent="0.25">
      <c r="A130" s="92" t="str">
        <f>IF('Cash Flow Analysis'!C98="","",'Cash Flow Analysis'!C98)</f>
        <v/>
      </c>
      <c r="B130" s="107">
        <f t="shared" ca="1" si="48"/>
        <v>0</v>
      </c>
      <c r="C130" s="117">
        <f t="shared" ca="1" si="47"/>
        <v>0</v>
      </c>
    </row>
    <row r="131" spans="1:3" ht="15" customHeight="1" x14ac:dyDescent="0.25">
      <c r="A131" s="92" t="str">
        <f>IF('Cash Flow Analysis'!C99="","",'Cash Flow Analysis'!C99)</f>
        <v/>
      </c>
      <c r="B131" s="107">
        <f t="shared" ca="1" si="48"/>
        <v>0</v>
      </c>
      <c r="C131" s="117">
        <f t="shared" ca="1" si="47"/>
        <v>0</v>
      </c>
    </row>
    <row r="132" spans="1:3" ht="15" customHeight="1" x14ac:dyDescent="0.25">
      <c r="A132" s="92" t="str">
        <f>IF('Cash Flow Analysis'!C100="","",'Cash Flow Analysis'!C100)</f>
        <v/>
      </c>
      <c r="B132" s="107">
        <f t="shared" ca="1" si="48"/>
        <v>0</v>
      </c>
      <c r="C132" s="117">
        <f t="shared" ca="1" si="47"/>
        <v>0</v>
      </c>
    </row>
    <row r="133" spans="1:3" ht="15" customHeight="1" x14ac:dyDescent="0.25">
      <c r="A133" s="92" t="str">
        <f>IF('Cash Flow Analysis'!C101="","",'Cash Flow Analysis'!C101)</f>
        <v/>
      </c>
      <c r="B133" s="107">
        <f t="shared" ca="1" si="48"/>
        <v>0</v>
      </c>
      <c r="C133" s="117">
        <f t="shared" ca="1" si="47"/>
        <v>0</v>
      </c>
    </row>
    <row r="134" spans="1:3" ht="15" customHeight="1" x14ac:dyDescent="0.25">
      <c r="A134" s="92" t="str">
        <f>IF('Cash Flow Analysis'!C102="","",'Cash Flow Analysis'!C102)</f>
        <v/>
      </c>
      <c r="B134" s="107">
        <f t="shared" ca="1" si="48"/>
        <v>0</v>
      </c>
      <c r="C134" s="117">
        <f t="shared" ca="1" si="47"/>
        <v>0</v>
      </c>
    </row>
    <row r="135" spans="1:3" ht="15" customHeight="1" x14ac:dyDescent="0.25">
      <c r="A135" s="92" t="str">
        <f>IF('Cash Flow Analysis'!C103="","",'Cash Flow Analysis'!C103)</f>
        <v/>
      </c>
      <c r="B135" s="107">
        <f t="shared" ca="1" si="48"/>
        <v>0</v>
      </c>
      <c r="C135" s="117">
        <f t="shared" ca="1" si="47"/>
        <v>0</v>
      </c>
    </row>
    <row r="136" spans="1:3" ht="15" customHeight="1" x14ac:dyDescent="0.25">
      <c r="A136" s="92" t="str">
        <f>IF('Cash Flow Analysis'!C104="","",'Cash Flow Analysis'!C104)</f>
        <v/>
      </c>
      <c r="B136" s="107">
        <f t="shared" ca="1" si="48"/>
        <v>0</v>
      </c>
      <c r="C136" s="117">
        <f t="shared" ca="1" si="47"/>
        <v>0</v>
      </c>
    </row>
    <row r="137" spans="1:3" ht="15" customHeight="1" x14ac:dyDescent="0.25">
      <c r="A137" s="92" t="str">
        <f>IF('Cash Flow Analysis'!C105="","",'Cash Flow Analysis'!C105)</f>
        <v/>
      </c>
      <c r="B137" s="107">
        <f t="shared" ca="1" si="48"/>
        <v>0</v>
      </c>
      <c r="C137" s="117">
        <f t="shared" ca="1" si="47"/>
        <v>0</v>
      </c>
    </row>
    <row r="138" spans="1:3" ht="15" customHeight="1" x14ac:dyDescent="0.25">
      <c r="A138" s="92" t="str">
        <f>IF('Cash Flow Analysis'!C106="","",'Cash Flow Analysis'!C106)</f>
        <v/>
      </c>
      <c r="B138" s="107">
        <f t="shared" si="48"/>
        <v>0</v>
      </c>
      <c r="C138" s="117">
        <f t="shared" si="47"/>
        <v>0</v>
      </c>
    </row>
    <row r="139" spans="1:3" ht="15" customHeight="1" x14ac:dyDescent="0.25">
      <c r="A139" s="92" t="str">
        <f>IF('Cash Flow Analysis'!C107="","",'Cash Flow Analysis'!C107)</f>
        <v/>
      </c>
      <c r="B139" s="107">
        <f t="shared" si="48"/>
        <v>0</v>
      </c>
      <c r="C139" s="117">
        <f t="shared" si="47"/>
        <v>0</v>
      </c>
    </row>
    <row r="140" spans="1:3" ht="15" customHeight="1" thickBot="1" x14ac:dyDescent="0.3">
      <c r="A140" s="118" t="str">
        <f>IF('Cash Flow Analysis'!C108="","",'Cash Flow Analysis'!C108)</f>
        <v/>
      </c>
      <c r="B140" s="119">
        <f t="shared" si="48"/>
        <v>0</v>
      </c>
      <c r="C140" s="120">
        <f t="shared" si="47"/>
        <v>0</v>
      </c>
    </row>
    <row r="141" spans="1:3" ht="15" customHeight="1" thickTop="1" thickBot="1" x14ac:dyDescent="0.3">
      <c r="A141" s="121" t="s">
        <v>61</v>
      </c>
      <c r="B141" s="122">
        <f ca="1">SUM(B97:B140)</f>
        <v>2594863.7826612103</v>
      </c>
      <c r="C141" s="123">
        <f ca="1">SUM(C97:C140)</f>
        <v>0</v>
      </c>
    </row>
    <row r="142" spans="1:3" ht="15" customHeight="1" thickTop="1" x14ac:dyDescent="0.25">
      <c r="A142" s="124"/>
      <c r="B142" s="125"/>
      <c r="C142" s="126"/>
    </row>
    <row r="143" spans="1:3" ht="15" customHeight="1" thickBot="1" x14ac:dyDescent="0.3">
      <c r="A143" s="36" t="str">
        <f>IF('Cash Flow Analysis'!C109="","",'Cash Flow Analysis'!C109)</f>
        <v/>
      </c>
      <c r="B143" s="113"/>
    </row>
    <row r="144" spans="1:3" ht="31.5" customHeight="1" thickTop="1" x14ac:dyDescent="0.3">
      <c r="A144" s="1715" t="s">
        <v>62</v>
      </c>
      <c r="B144" s="1716"/>
    </row>
    <row r="145" spans="1:2" ht="16.5" customHeight="1" thickBot="1" x14ac:dyDescent="0.3">
      <c r="A145" s="127" t="s">
        <v>63</v>
      </c>
      <c r="B145" s="128" t="s">
        <v>59</v>
      </c>
    </row>
    <row r="146" spans="1:2" ht="15" customHeight="1" thickTop="1" x14ac:dyDescent="0.25">
      <c r="A146" s="129">
        <v>1</v>
      </c>
      <c r="B146" s="103">
        <f>SUM(D92,E91,F90,G89,H88,I87,J86,K85,L84,M83,N82,O81,P80,Q79,R78,S77,T76,U75,V74,W73)</f>
        <v>0</v>
      </c>
    </row>
    <row r="147" spans="1:2" ht="15" customHeight="1" x14ac:dyDescent="0.25">
      <c r="A147" s="92">
        <v>2</v>
      </c>
      <c r="B147" s="108">
        <f>SUM(E92,F91,G90,H89,I88,J87,K86,L85,M84,N83,O82,P81,Q80,R79,S78,T77,U76,V75,W74)</f>
        <v>0</v>
      </c>
    </row>
    <row r="148" spans="1:2" ht="15" customHeight="1" x14ac:dyDescent="0.25">
      <c r="A148" s="92">
        <v>3</v>
      </c>
      <c r="B148" s="108">
        <f>SUM(F92,G91,H90,I89,J88,K87,L86,M85,N84,O83,P82,Q81,R80,S79,T78,U77,V76,W75)</f>
        <v>0</v>
      </c>
    </row>
    <row r="149" spans="1:2" ht="15" customHeight="1" x14ac:dyDescent="0.25">
      <c r="A149" s="92">
        <v>4</v>
      </c>
      <c r="B149" s="108">
        <f>SUM(G92,H91,I90,J89,K88,L87,M86,N85,O84,P83,Q82,R81,S80,T79,U78,V77,W76)</f>
        <v>0</v>
      </c>
    </row>
    <row r="150" spans="1:2" ht="15" customHeight="1" x14ac:dyDescent="0.25">
      <c r="A150" s="92">
        <v>5</v>
      </c>
      <c r="B150" s="108">
        <f>SUM(H92,I91,J90,K89,L88,M87,N86,O85,P84,Q83,R82,S81,T80,U79,V78,W77)</f>
        <v>0</v>
      </c>
    </row>
    <row r="151" spans="1:2" ht="15" customHeight="1" x14ac:dyDescent="0.25">
      <c r="A151" s="92">
        <v>6</v>
      </c>
      <c r="B151" s="108">
        <f>SUM(I92,J91,K90,L89,M88,N87,O86,P85,Q84,R83,S82,T81,U80,V79,W78)</f>
        <v>0</v>
      </c>
    </row>
    <row r="152" spans="1:2" ht="15" customHeight="1" x14ac:dyDescent="0.25">
      <c r="A152" s="92">
        <v>7</v>
      </c>
      <c r="B152" s="108">
        <f>SUM(J92,K91,L90,M89,N88,O87,P86,Q85,R84,S83,T82,U81,V80,W79)</f>
        <v>0</v>
      </c>
    </row>
    <row r="153" spans="1:2" ht="15" customHeight="1" x14ac:dyDescent="0.25">
      <c r="A153" s="92">
        <v>8</v>
      </c>
      <c r="B153" s="108">
        <f>SUM(K92,L91,M90,N89,O88,P87,Q86,R85,S84,T83,U82,V81,W80)</f>
        <v>0</v>
      </c>
    </row>
    <row r="154" spans="1:2" ht="15" customHeight="1" x14ac:dyDescent="0.25">
      <c r="A154" s="92">
        <v>9</v>
      </c>
      <c r="B154" s="108">
        <f>SUM(L92,M91,N90,O89,P88,Q87,R86,S85,T84,U83,V82,W81)</f>
        <v>0</v>
      </c>
    </row>
    <row r="155" spans="1:2" ht="15" customHeight="1" x14ac:dyDescent="0.25">
      <c r="A155" s="92">
        <v>10</v>
      </c>
      <c r="B155" s="108">
        <f>SUM(M92,N91,O90,P89,Q88,R87,S86,T85,U84,V83,W82)</f>
        <v>0</v>
      </c>
    </row>
    <row r="156" spans="1:2" ht="15" customHeight="1" x14ac:dyDescent="0.25">
      <c r="A156" s="92">
        <v>11</v>
      </c>
      <c r="B156" s="108">
        <f>SUM(N92,O91,P90,Q89,R88,S87,T86,U85,V84,W83)</f>
        <v>0</v>
      </c>
    </row>
    <row r="157" spans="1:2" ht="15" customHeight="1" x14ac:dyDescent="0.25">
      <c r="A157" s="92">
        <v>12</v>
      </c>
      <c r="B157" s="108">
        <f>SUM(O92,P91,Q90,R89,S88,T87,U86,V85,W84)</f>
        <v>0</v>
      </c>
    </row>
    <row r="158" spans="1:2" ht="15" customHeight="1" x14ac:dyDescent="0.25">
      <c r="A158" s="92">
        <v>13</v>
      </c>
      <c r="B158" s="108">
        <f>SUM(P92,Q91,R90,S89,T88,U87,V86,W85)</f>
        <v>0</v>
      </c>
    </row>
    <row r="159" spans="1:2" ht="15" customHeight="1" x14ac:dyDescent="0.25">
      <c r="A159" s="92">
        <v>14</v>
      </c>
      <c r="B159" s="108">
        <f>SUM(Q92,R91,S90,T89,U88,V87,W86)</f>
        <v>0</v>
      </c>
    </row>
    <row r="160" spans="1:2" ht="15" customHeight="1" x14ac:dyDescent="0.25">
      <c r="A160" s="92">
        <v>15</v>
      </c>
      <c r="B160" s="108">
        <f>SUM(R92,S91,T90,U89,V88,W87)</f>
        <v>0</v>
      </c>
    </row>
    <row r="161" spans="1:2" ht="15" customHeight="1" x14ac:dyDescent="0.25">
      <c r="A161" s="92">
        <v>16</v>
      </c>
      <c r="B161" s="108">
        <f>SUM(S92,T91,U90,V89,W88)</f>
        <v>0</v>
      </c>
    </row>
    <row r="162" spans="1:2" ht="15" customHeight="1" x14ac:dyDescent="0.25">
      <c r="A162" s="92">
        <v>17</v>
      </c>
      <c r="B162" s="108">
        <f>SUM(T92,U91,V90,W89)</f>
        <v>0</v>
      </c>
    </row>
    <row r="163" spans="1:2" ht="15" customHeight="1" x14ac:dyDescent="0.25">
      <c r="A163" s="92">
        <v>18</v>
      </c>
      <c r="B163" s="108">
        <f>SUM(U92,V91,W90)</f>
        <v>0</v>
      </c>
    </row>
    <row r="164" spans="1:2" ht="15" customHeight="1" x14ac:dyDescent="0.25">
      <c r="A164" s="92">
        <v>19</v>
      </c>
      <c r="B164" s="108">
        <f>SUM(V92,W91)</f>
        <v>0</v>
      </c>
    </row>
    <row r="165" spans="1:2" ht="15" customHeight="1" thickBot="1" x14ac:dyDescent="0.3">
      <c r="A165" s="94">
        <v>20</v>
      </c>
      <c r="B165" s="95">
        <f>SUM(W92)</f>
        <v>0</v>
      </c>
    </row>
    <row r="166" spans="1:2" ht="14.4" thickTop="1" thickBot="1" x14ac:dyDescent="0.3">
      <c r="A166" s="121" t="s">
        <v>61</v>
      </c>
      <c r="B166" s="130">
        <f>SUM(B146:B165)</f>
        <v>0</v>
      </c>
    </row>
    <row r="167" spans="1:2" ht="13.8"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3.2" x14ac:dyDescent="0.25"/>
  <cols>
    <col min="1" max="1" width="33" customWidth="1"/>
    <col min="2" max="2" width="10" customWidth="1"/>
    <col min="3" max="3" width="14" customWidth="1"/>
    <col min="4" max="4" width="11.33203125" customWidth="1"/>
    <col min="5" max="5" width="60.6640625" customWidth="1"/>
    <col min="7" max="8" width="14" customWidth="1"/>
    <col min="11" max="11" width="14.33203125" customWidth="1"/>
    <col min="12" max="12" width="18.33203125" customWidth="1"/>
    <col min="15" max="15" width="12.44140625" bestFit="1" customWidth="1"/>
    <col min="16" max="16" width="14.33203125" customWidth="1"/>
  </cols>
  <sheetData>
    <row r="1" spans="1:5" s="2" customFormat="1" ht="13.8" x14ac:dyDescent="0.25">
      <c r="A1" s="2" t="s">
        <v>283</v>
      </c>
      <c r="B1" s="2" t="s">
        <v>284</v>
      </c>
      <c r="C1" s="2" t="s">
        <v>285</v>
      </c>
    </row>
    <row r="2" spans="1:5" ht="13.8" x14ac:dyDescent="0.25">
      <c r="A2" s="2" t="s">
        <v>286</v>
      </c>
    </row>
    <row r="3" spans="1:5" x14ac:dyDescent="0.25">
      <c r="A3" t="s">
        <v>287</v>
      </c>
      <c r="B3" t="s">
        <v>288</v>
      </c>
      <c r="C3">
        <v>1.6093</v>
      </c>
      <c r="D3" t="s">
        <v>631</v>
      </c>
    </row>
    <row r="4" spans="1:5" x14ac:dyDescent="0.25">
      <c r="A4" t="s">
        <v>289</v>
      </c>
      <c r="B4" t="s">
        <v>290</v>
      </c>
      <c r="C4">
        <v>3.7850000000000001</v>
      </c>
      <c r="D4" t="s">
        <v>632</v>
      </c>
    </row>
    <row r="5" spans="1:5" x14ac:dyDescent="0.25">
      <c r="A5" t="s">
        <v>291</v>
      </c>
      <c r="B5" t="s">
        <v>292</v>
      </c>
      <c r="C5">
        <v>1.8263969224024776E-2</v>
      </c>
      <c r="D5" t="s">
        <v>633</v>
      </c>
    </row>
    <row r="6" spans="1:5" x14ac:dyDescent="0.25">
      <c r="A6" t="s">
        <v>837</v>
      </c>
      <c r="B6" t="s">
        <v>990</v>
      </c>
      <c r="C6">
        <v>2.6852999999999998E-2</v>
      </c>
      <c r="D6" t="s">
        <v>634</v>
      </c>
      <c r="E6" t="s">
        <v>698</v>
      </c>
    </row>
    <row r="7" spans="1:5" x14ac:dyDescent="0.25">
      <c r="A7" t="s">
        <v>845</v>
      </c>
      <c r="B7" t="s">
        <v>267</v>
      </c>
      <c r="C7">
        <f>1/2.205</f>
        <v>0.45351473922902491</v>
      </c>
      <c r="D7" t="s">
        <v>635</v>
      </c>
    </row>
    <row r="8" spans="1:5" x14ac:dyDescent="0.25">
      <c r="A8" t="s">
        <v>902</v>
      </c>
      <c r="B8" t="s">
        <v>990</v>
      </c>
      <c r="C8">
        <v>2.8316999999999998E-2</v>
      </c>
      <c r="D8" t="s">
        <v>636</v>
      </c>
      <c r="E8" t="s">
        <v>699</v>
      </c>
    </row>
    <row r="9" spans="1:5" x14ac:dyDescent="0.25">
      <c r="A9" t="s">
        <v>374</v>
      </c>
      <c r="B9" t="s">
        <v>410</v>
      </c>
      <c r="C9">
        <v>145.03800000000001</v>
      </c>
      <c r="D9" t="s">
        <v>540</v>
      </c>
    </row>
    <row r="11" spans="1:5" ht="13.8" x14ac:dyDescent="0.25">
      <c r="A11" s="2" t="s">
        <v>293</v>
      </c>
    </row>
    <row r="12" spans="1:5" x14ac:dyDescent="0.25">
      <c r="A12" t="s">
        <v>294</v>
      </c>
      <c r="B12" t="s">
        <v>295</v>
      </c>
      <c r="C12">
        <v>0.27777777777777779</v>
      </c>
    </row>
    <row r="13" spans="1:5" x14ac:dyDescent="0.25">
      <c r="A13" t="s">
        <v>296</v>
      </c>
      <c r="B13" t="s">
        <v>295</v>
      </c>
      <c r="C13">
        <v>34.022625288888882</v>
      </c>
    </row>
    <row r="14" spans="1:5" x14ac:dyDescent="0.25">
      <c r="A14" t="s">
        <v>297</v>
      </c>
      <c r="B14" t="s">
        <v>298</v>
      </c>
      <c r="C14">
        <v>0.97933196399532141</v>
      </c>
    </row>
    <row r="15" spans="1:5" x14ac:dyDescent="0.25">
      <c r="A15" t="s">
        <v>297</v>
      </c>
      <c r="B15" t="s">
        <v>295</v>
      </c>
      <c r="C15">
        <f>kgH2_to_GJ*MJ_to_kWh*1000</f>
        <v>33.392121748655818</v>
      </c>
    </row>
    <row r="16" spans="1:5" x14ac:dyDescent="0.25">
      <c r="A16" t="s">
        <v>297</v>
      </c>
      <c r="B16" t="s">
        <v>1056</v>
      </c>
      <c r="C16">
        <f>H2_LHV_MJ_p_kg/1000</f>
        <v>0.12021163829516093</v>
      </c>
    </row>
    <row r="17" spans="1:3" x14ac:dyDescent="0.25">
      <c r="A17" t="s">
        <v>299</v>
      </c>
      <c r="B17" t="s">
        <v>295</v>
      </c>
      <c r="C17">
        <v>2.9308323563892143E-4</v>
      </c>
    </row>
    <row r="18" spans="1:3" x14ac:dyDescent="0.25">
      <c r="A18" t="s">
        <v>1055</v>
      </c>
      <c r="B18" t="s">
        <v>1056</v>
      </c>
      <c r="C18">
        <v>1.0549999999999999</v>
      </c>
    </row>
    <row r="21" spans="1:3" ht="13.8" x14ac:dyDescent="0.25">
      <c r="A21" s="2" t="s">
        <v>527</v>
      </c>
      <c r="C21" s="434" t="s">
        <v>827</v>
      </c>
    </row>
    <row r="22" spans="1:3" x14ac:dyDescent="0.25">
      <c r="A22" t="s">
        <v>400</v>
      </c>
      <c r="B22">
        <v>1</v>
      </c>
    </row>
    <row r="23" spans="1:3" x14ac:dyDescent="0.25">
      <c r="A23" t="s">
        <v>401</v>
      </c>
      <c r="B23">
        <v>25</v>
      </c>
    </row>
    <row r="24" spans="1:3" x14ac:dyDescent="0.25">
      <c r="A24" t="s">
        <v>402</v>
      </c>
      <c r="B24">
        <v>298</v>
      </c>
    </row>
    <row r="27" spans="1:3" ht="13.8" x14ac:dyDescent="0.25">
      <c r="A27" s="2" t="s">
        <v>693</v>
      </c>
    </row>
    <row r="28" spans="1:3" x14ac:dyDescent="0.25">
      <c r="A28" t="s">
        <v>694</v>
      </c>
      <c r="B28" t="s">
        <v>695</v>
      </c>
    </row>
    <row r="29" spans="1:3" x14ac:dyDescent="0.25">
      <c r="A29" t="s">
        <v>851</v>
      </c>
      <c r="B29">
        <f>mmBTU_to_GJ</f>
        <v>1.0549999999999999</v>
      </c>
    </row>
    <row r="30" spans="1:3" x14ac:dyDescent="0.25">
      <c r="A30" t="s">
        <v>295</v>
      </c>
      <c r="B30">
        <f>1/MJ_to_kWh/1000</f>
        <v>3.5999999999999995E-3</v>
      </c>
    </row>
    <row r="31" spans="1:3" x14ac:dyDescent="0.25">
      <c r="A31" t="s">
        <v>1056</v>
      </c>
      <c r="B31">
        <v>1</v>
      </c>
    </row>
  </sheetData>
  <phoneticPr fontId="3"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2" sqref="G32:H32"/>
    </sheetView>
  </sheetViews>
  <sheetFormatPr defaultRowHeight="13.2" x14ac:dyDescent="0.25"/>
  <cols>
    <col min="1" max="1" width="17" customWidth="1"/>
    <col min="3" max="3" width="13.6640625" customWidth="1"/>
    <col min="5" max="5" width="16" customWidth="1"/>
    <col min="7" max="7" width="56.44140625" customWidth="1"/>
    <col min="8" max="8" width="18.6640625" customWidth="1"/>
    <col min="10" max="10" width="22.33203125" customWidth="1"/>
    <col min="11" max="11" width="33.6640625" customWidth="1"/>
    <col min="13" max="13" width="21" customWidth="1"/>
    <col min="15" max="15" width="20.6640625" customWidth="1"/>
    <col min="16" max="16" width="17.33203125" customWidth="1"/>
    <col min="17" max="17" width="16.33203125" customWidth="1"/>
    <col min="18" max="18" width="21" customWidth="1"/>
    <col min="20" max="20" width="14.5546875" customWidth="1"/>
    <col min="22" max="22" width="18.5546875" customWidth="1"/>
    <col min="25" max="25" width="22.5546875" customWidth="1"/>
    <col min="26" max="26" width="15.33203125" customWidth="1"/>
    <col min="27" max="27" width="12.5546875" bestFit="1" customWidth="1"/>
    <col min="28" max="28" width="18.6640625" customWidth="1"/>
    <col min="29" max="29" width="18.5546875" customWidth="1"/>
  </cols>
  <sheetData>
    <row r="1" spans="1:29" x14ac:dyDescent="0.25">
      <c r="A1" s="1" t="s">
        <v>1073</v>
      </c>
    </row>
    <row r="2" spans="1:29" x14ac:dyDescent="0.25">
      <c r="J2" s="1" t="s">
        <v>803</v>
      </c>
    </row>
    <row r="3" spans="1:29" x14ac:dyDescent="0.25">
      <c r="A3" s="1" t="s">
        <v>987</v>
      </c>
      <c r="C3" s="1" t="s">
        <v>21</v>
      </c>
      <c r="E3" s="1" t="s">
        <v>165</v>
      </c>
      <c r="G3" s="1" t="s">
        <v>10</v>
      </c>
      <c r="J3" s="816" t="s">
        <v>1097</v>
      </c>
      <c r="M3" s="1" t="s">
        <v>74</v>
      </c>
      <c r="O3" s="1" t="s">
        <v>429</v>
      </c>
      <c r="Q3" s="299" t="s">
        <v>1257</v>
      </c>
      <c r="R3" s="1" t="s">
        <v>655</v>
      </c>
      <c r="T3" s="1" t="s">
        <v>424</v>
      </c>
      <c r="V3" s="1" t="s">
        <v>426</v>
      </c>
      <c r="Y3" s="1" t="s">
        <v>345</v>
      </c>
      <c r="AA3" s="299" t="s">
        <v>1257</v>
      </c>
      <c r="AB3" s="1" t="s">
        <v>1048</v>
      </c>
    </row>
    <row r="4" spans="1:29" x14ac:dyDescent="0.25">
      <c r="A4" t="s">
        <v>988</v>
      </c>
      <c r="C4" t="s">
        <v>22</v>
      </c>
      <c r="E4" s="1">
        <v>100000</v>
      </c>
      <c r="G4" t="s">
        <v>323</v>
      </c>
      <c r="H4" t="s">
        <v>7</v>
      </c>
      <c r="J4" s="816" t="s">
        <v>1085</v>
      </c>
      <c r="M4" t="s">
        <v>1024</v>
      </c>
      <c r="O4" t="str">
        <f>M7</f>
        <v>ref_year</v>
      </c>
      <c r="P4">
        <v>2016</v>
      </c>
      <c r="Q4" t="b">
        <v>1</v>
      </c>
      <c r="R4" s="434" t="s">
        <v>1024</v>
      </c>
      <c r="T4">
        <v>1</v>
      </c>
      <c r="U4" t="s">
        <v>425</v>
      </c>
      <c r="V4" t="s">
        <v>411</v>
      </c>
      <c r="W4">
        <v>1.1000000000000001</v>
      </c>
      <c r="Y4" t="s">
        <v>338</v>
      </c>
      <c r="Z4">
        <v>0.9</v>
      </c>
      <c r="AA4" t="b">
        <v>0</v>
      </c>
      <c r="AB4" t="s">
        <v>26</v>
      </c>
      <c r="AC4" s="434" t="s">
        <v>813</v>
      </c>
    </row>
    <row r="5" spans="1:29" x14ac:dyDescent="0.25">
      <c r="A5" t="s">
        <v>989</v>
      </c>
      <c r="C5" t="s">
        <v>281</v>
      </c>
      <c r="G5" t="s">
        <v>334</v>
      </c>
      <c r="H5" t="s">
        <v>25</v>
      </c>
      <c r="J5" s="816" t="s">
        <v>1086</v>
      </c>
      <c r="M5" t="s">
        <v>7</v>
      </c>
      <c r="O5" t="str">
        <f>M18</f>
        <v>depr_type</v>
      </c>
      <c r="P5" t="s">
        <v>428</v>
      </c>
      <c r="Q5" t="b">
        <v>1</v>
      </c>
      <c r="R5" s="434" t="s">
        <v>923</v>
      </c>
      <c r="T5">
        <v>1.2</v>
      </c>
      <c r="U5" t="s">
        <v>418</v>
      </c>
      <c r="V5" t="s">
        <v>412</v>
      </c>
      <c r="W5">
        <v>1</v>
      </c>
      <c r="Y5" t="s">
        <v>339</v>
      </c>
      <c r="Z5">
        <v>0.04</v>
      </c>
      <c r="AA5" t="b">
        <v>0</v>
      </c>
      <c r="AB5" t="s">
        <v>178</v>
      </c>
      <c r="AC5" s="434" t="s">
        <v>813</v>
      </c>
    </row>
    <row r="6" spans="1:29" x14ac:dyDescent="0.25">
      <c r="G6" t="s">
        <v>370</v>
      </c>
      <c r="H6" t="s">
        <v>181</v>
      </c>
      <c r="J6" s="816" t="s">
        <v>1087</v>
      </c>
      <c r="M6" t="s">
        <v>25</v>
      </c>
      <c r="O6" t="str">
        <f>M19</f>
        <v>equity</v>
      </c>
      <c r="P6" s="1148">
        <v>0.4</v>
      </c>
      <c r="Q6" t="b">
        <v>1</v>
      </c>
      <c r="R6" s="434" t="s">
        <v>924</v>
      </c>
      <c r="V6" t="s">
        <v>413</v>
      </c>
      <c r="W6">
        <v>1.05</v>
      </c>
      <c r="Y6" t="s">
        <v>539</v>
      </c>
      <c r="Z6">
        <v>14.7</v>
      </c>
      <c r="AA6" t="b">
        <v>0</v>
      </c>
      <c r="AB6" t="s">
        <v>170</v>
      </c>
      <c r="AC6" s="434" t="s">
        <v>813</v>
      </c>
    </row>
    <row r="7" spans="1:29" x14ac:dyDescent="0.25">
      <c r="A7" s="1" t="s">
        <v>269</v>
      </c>
      <c r="C7" s="1" t="s">
        <v>1039</v>
      </c>
      <c r="G7" t="s">
        <v>371</v>
      </c>
      <c r="H7" t="s">
        <v>9</v>
      </c>
      <c r="J7" s="1076" t="s">
        <v>1196</v>
      </c>
      <c r="M7" t="s">
        <v>1007</v>
      </c>
      <c r="O7" t="str">
        <f t="shared" ref="O7:O13" si="0">M25</f>
        <v>decom_percent</v>
      </c>
      <c r="P7">
        <v>0.1</v>
      </c>
      <c r="Q7" t="b">
        <v>1</v>
      </c>
      <c r="R7" s="434" t="s">
        <v>925</v>
      </c>
      <c r="V7" t="s">
        <v>414</v>
      </c>
      <c r="W7">
        <v>1.1000000000000001</v>
      </c>
      <c r="Y7" t="s">
        <v>946</v>
      </c>
      <c r="Z7">
        <v>0</v>
      </c>
      <c r="AA7" t="b">
        <v>1</v>
      </c>
      <c r="AB7" t="s">
        <v>172</v>
      </c>
      <c r="AC7" s="434" t="s">
        <v>813</v>
      </c>
    </row>
    <row r="8" spans="1:29" x14ac:dyDescent="0.25">
      <c r="A8" t="s">
        <v>247</v>
      </c>
      <c r="C8" t="s">
        <v>1034</v>
      </c>
      <c r="G8" t="s">
        <v>375</v>
      </c>
      <c r="H8" t="s">
        <v>180</v>
      </c>
      <c r="M8" t="s">
        <v>181</v>
      </c>
      <c r="O8" t="str">
        <f t="shared" si="0"/>
        <v>salvage_perct</v>
      </c>
      <c r="P8">
        <v>0.1</v>
      </c>
      <c r="Q8" t="b">
        <v>1</v>
      </c>
      <c r="R8" s="434" t="s">
        <v>926</v>
      </c>
      <c r="V8" t="s">
        <v>416</v>
      </c>
      <c r="W8">
        <v>1.1000000000000001</v>
      </c>
      <c r="Y8" s="299" t="s">
        <v>1192</v>
      </c>
      <c r="Z8" s="299">
        <v>1</v>
      </c>
      <c r="AA8" t="b">
        <v>0</v>
      </c>
      <c r="AB8" t="s">
        <v>28</v>
      </c>
      <c r="AC8" s="434" t="s">
        <v>813</v>
      </c>
    </row>
    <row r="9" spans="1:29" x14ac:dyDescent="0.25">
      <c r="A9" t="s">
        <v>270</v>
      </c>
      <c r="C9" t="s">
        <v>270</v>
      </c>
      <c r="G9" t="s">
        <v>376</v>
      </c>
      <c r="H9" t="s">
        <v>169</v>
      </c>
      <c r="M9" t="s">
        <v>9</v>
      </c>
      <c r="O9" t="str">
        <f t="shared" si="0"/>
        <v>inflation_rate</v>
      </c>
      <c r="P9">
        <v>1.9E-2</v>
      </c>
      <c r="Q9" t="b">
        <v>1</v>
      </c>
      <c r="R9" s="434" t="s">
        <v>927</v>
      </c>
      <c r="V9" t="s">
        <v>415</v>
      </c>
      <c r="W9">
        <v>1.3</v>
      </c>
      <c r="Y9" s="299" t="s">
        <v>344</v>
      </c>
      <c r="Z9" s="299">
        <v>100</v>
      </c>
      <c r="AA9" t="b">
        <v>1</v>
      </c>
      <c r="AB9" t="s">
        <v>158</v>
      </c>
      <c r="AC9" s="434" t="s">
        <v>813</v>
      </c>
    </row>
    <row r="10" spans="1:29" x14ac:dyDescent="0.25">
      <c r="A10" t="s">
        <v>271</v>
      </c>
      <c r="C10" t="s">
        <v>1040</v>
      </c>
      <c r="G10" t="s">
        <v>324</v>
      </c>
      <c r="H10" t="s">
        <v>17</v>
      </c>
      <c r="M10" t="s">
        <v>160</v>
      </c>
      <c r="O10" t="str">
        <f t="shared" si="0"/>
        <v>real_irr</v>
      </c>
      <c r="P10" s="1148">
        <v>0.08</v>
      </c>
      <c r="Q10" t="b">
        <v>1</v>
      </c>
      <c r="R10" s="434" t="s">
        <v>928</v>
      </c>
      <c r="V10" t="s">
        <v>417</v>
      </c>
      <c r="W10">
        <v>1.5</v>
      </c>
      <c r="Y10" s="299" t="s">
        <v>1187</v>
      </c>
      <c r="Z10" s="299">
        <v>0.75</v>
      </c>
      <c r="AA10" t="b">
        <v>0</v>
      </c>
      <c r="AB10" t="s">
        <v>168</v>
      </c>
      <c r="AC10" s="434" t="s">
        <v>813</v>
      </c>
    </row>
    <row r="11" spans="1:29" x14ac:dyDescent="0.25">
      <c r="C11" t="s">
        <v>1053</v>
      </c>
      <c r="G11" t="s">
        <v>325</v>
      </c>
      <c r="H11" t="s">
        <v>177</v>
      </c>
      <c r="J11" s="1" t="s">
        <v>682</v>
      </c>
      <c r="K11" s="1" t="s">
        <v>683</v>
      </c>
      <c r="M11" t="s">
        <v>161</v>
      </c>
      <c r="O11" t="str">
        <f t="shared" si="0"/>
        <v>state_tax_rate</v>
      </c>
      <c r="P11">
        <v>0.06</v>
      </c>
      <c r="Q11" t="b">
        <v>1</v>
      </c>
      <c r="R11" s="434" t="s">
        <v>929</v>
      </c>
      <c r="Y11" s="299" t="s">
        <v>1188</v>
      </c>
      <c r="Z11" s="1047" t="s">
        <v>22</v>
      </c>
      <c r="AA11" t="b">
        <v>0</v>
      </c>
      <c r="AB11" t="s">
        <v>1075</v>
      </c>
      <c r="AC11" t="s">
        <v>826</v>
      </c>
    </row>
    <row r="12" spans="1:29" x14ac:dyDescent="0.25">
      <c r="C12" t="s">
        <v>271</v>
      </c>
      <c r="G12" t="s">
        <v>326</v>
      </c>
      <c r="H12" t="s">
        <v>29</v>
      </c>
      <c r="J12" s="743" t="str">
        <f>TMP_PriceTable</f>
        <v>AEO_2017_Reference_Case</v>
      </c>
      <c r="K12" t="str">
        <f>J12&amp;"_Feeds"</f>
        <v>AEO_2017_Reference_Case_Feeds</v>
      </c>
      <c r="M12" t="s">
        <v>162</v>
      </c>
      <c r="O12" t="str">
        <f t="shared" si="0"/>
        <v>fed_tax_rate</v>
      </c>
      <c r="P12" s="1148">
        <v>0.21</v>
      </c>
      <c r="Q12" t="b">
        <v>1</v>
      </c>
      <c r="R12" s="434" t="s">
        <v>930</v>
      </c>
      <c r="Y12" s="299" t="s">
        <v>1189</v>
      </c>
      <c r="Z12" s="1047" t="s">
        <v>22</v>
      </c>
      <c r="AA12" t="b">
        <v>0</v>
      </c>
      <c r="AB12" t="s">
        <v>1076</v>
      </c>
      <c r="AC12" t="s">
        <v>1044</v>
      </c>
    </row>
    <row r="13" spans="1:29" x14ac:dyDescent="0.25">
      <c r="G13" t="s">
        <v>327</v>
      </c>
      <c r="H13" t="s">
        <v>173</v>
      </c>
      <c r="K13" s="1" t="s">
        <v>684</v>
      </c>
      <c r="M13" t="s">
        <v>163</v>
      </c>
      <c r="O13" t="str">
        <f t="shared" si="0"/>
        <v>WorkingCap</v>
      </c>
      <c r="P13">
        <v>0.15</v>
      </c>
      <c r="Q13" t="b">
        <v>1</v>
      </c>
      <c r="R13" s="434" t="s">
        <v>931</v>
      </c>
      <c r="Y13" s="299" t="s">
        <v>1190</v>
      </c>
      <c r="Z13" s="299">
        <v>0</v>
      </c>
      <c r="AA13" t="b">
        <v>1</v>
      </c>
      <c r="AB13" t="s">
        <v>1004</v>
      </c>
      <c r="AC13">
        <v>0.25</v>
      </c>
    </row>
    <row r="14" spans="1:29" x14ac:dyDescent="0.25">
      <c r="A14" s="1" t="s">
        <v>15</v>
      </c>
      <c r="C14" s="1" t="s">
        <v>198</v>
      </c>
      <c r="G14" t="s">
        <v>328</v>
      </c>
      <c r="H14" t="s">
        <v>183</v>
      </c>
      <c r="K14" t="str">
        <f>J12&amp;"_Years"</f>
        <v>AEO_2017_Reference_Case_Years</v>
      </c>
      <c r="M14" t="s">
        <v>180</v>
      </c>
      <c r="O14" t="s">
        <v>159</v>
      </c>
      <c r="P14">
        <v>0.2</v>
      </c>
      <c r="Q14" t="b">
        <v>1</v>
      </c>
      <c r="R14" t="s">
        <v>7</v>
      </c>
      <c r="Y14" s="299" t="s">
        <v>1191</v>
      </c>
      <c r="Z14" s="299">
        <v>53</v>
      </c>
      <c r="AA14" t="b">
        <v>0</v>
      </c>
      <c r="AB14" t="s">
        <v>1005</v>
      </c>
      <c r="AC14" t="s">
        <v>826</v>
      </c>
    </row>
    <row r="15" spans="1:29" x14ac:dyDescent="0.25">
      <c r="A15" t="s">
        <v>190</v>
      </c>
      <c r="C15" s="678" t="s">
        <v>199</v>
      </c>
      <c r="G15" t="s">
        <v>329</v>
      </c>
      <c r="H15" t="s">
        <v>27</v>
      </c>
      <c r="M15" t="s">
        <v>169</v>
      </c>
      <c r="O15" t="s">
        <v>185</v>
      </c>
      <c r="P15">
        <v>0.02</v>
      </c>
      <c r="Q15" t="b">
        <v>1</v>
      </c>
      <c r="R15" t="s">
        <v>25</v>
      </c>
      <c r="Y15" s="1044"/>
      <c r="Z15" s="1044"/>
      <c r="AB15" t="s">
        <v>30</v>
      </c>
      <c r="AC15" t="s">
        <v>1044</v>
      </c>
    </row>
    <row r="16" spans="1:29" ht="13.8" x14ac:dyDescent="0.25">
      <c r="A16" t="s">
        <v>191</v>
      </c>
      <c r="C16" s="679" t="s">
        <v>200</v>
      </c>
      <c r="G16" t="s">
        <v>330</v>
      </c>
      <c r="H16" t="s">
        <v>188</v>
      </c>
      <c r="M16" t="s">
        <v>6</v>
      </c>
      <c r="O16" t="s">
        <v>176</v>
      </c>
      <c r="P16">
        <v>0</v>
      </c>
      <c r="R16" t="s">
        <v>1007</v>
      </c>
      <c r="Y16" s="1044"/>
      <c r="Z16" s="1045"/>
      <c r="AB16" t="s">
        <v>174</v>
      </c>
      <c r="AC16" t="s">
        <v>1044</v>
      </c>
    </row>
    <row r="17" spans="1:29" x14ac:dyDescent="0.25">
      <c r="A17" t="s">
        <v>242</v>
      </c>
      <c r="C17" s="698" t="s">
        <v>491</v>
      </c>
      <c r="G17" t="s">
        <v>11</v>
      </c>
      <c r="H17" t="s">
        <v>245</v>
      </c>
      <c r="M17" t="s">
        <v>23</v>
      </c>
      <c r="O17" t="s">
        <v>155</v>
      </c>
      <c r="P17">
        <v>0</v>
      </c>
      <c r="R17" t="s">
        <v>181</v>
      </c>
      <c r="AB17" t="s">
        <v>1006</v>
      </c>
      <c r="AC17" t="s">
        <v>1044</v>
      </c>
    </row>
    <row r="18" spans="1:29" x14ac:dyDescent="0.25">
      <c r="A18" t="s">
        <v>243</v>
      </c>
      <c r="C18" s="680" t="s">
        <v>1014</v>
      </c>
      <c r="G18" t="s">
        <v>116</v>
      </c>
      <c r="H18" t="s">
        <v>957</v>
      </c>
      <c r="M18" t="s">
        <v>24</v>
      </c>
      <c r="O18" t="s">
        <v>184</v>
      </c>
      <c r="P18">
        <v>0</v>
      </c>
      <c r="R18" t="s">
        <v>9</v>
      </c>
      <c r="Y18" s="1044"/>
      <c r="Z18" s="1044"/>
      <c r="AB18" t="s">
        <v>171</v>
      </c>
      <c r="AC18" t="s">
        <v>1044</v>
      </c>
    </row>
    <row r="19" spans="1:29" x14ac:dyDescent="0.25">
      <c r="A19" t="s">
        <v>244</v>
      </c>
      <c r="C19" s="436" t="s">
        <v>201</v>
      </c>
      <c r="G19" t="s">
        <v>623</v>
      </c>
      <c r="H19" t="s">
        <v>624</v>
      </c>
      <c r="M19" t="s">
        <v>246</v>
      </c>
      <c r="O19" t="s">
        <v>947</v>
      </c>
      <c r="P19">
        <v>0</v>
      </c>
      <c r="R19" t="s">
        <v>160</v>
      </c>
      <c r="Y19" s="1044"/>
      <c r="Z19" s="1044"/>
      <c r="AB19" t="s">
        <v>156</v>
      </c>
      <c r="AC19" t="s">
        <v>1043</v>
      </c>
    </row>
    <row r="20" spans="1:29" x14ac:dyDescent="0.25">
      <c r="A20" t="s">
        <v>16</v>
      </c>
      <c r="G20" t="s">
        <v>349</v>
      </c>
      <c r="H20" t="s">
        <v>1075</v>
      </c>
      <c r="M20" t="s">
        <v>12</v>
      </c>
      <c r="O20" t="s">
        <v>948</v>
      </c>
      <c r="P20">
        <v>0</v>
      </c>
      <c r="R20" t="s">
        <v>161</v>
      </c>
      <c r="Y20" s="1044"/>
      <c r="Z20" s="1044"/>
      <c r="AB20" t="s">
        <v>157</v>
      </c>
      <c r="AC20" t="s">
        <v>1044</v>
      </c>
    </row>
    <row r="21" spans="1:29" x14ac:dyDescent="0.25">
      <c r="G21" t="s">
        <v>651</v>
      </c>
      <c r="H21" t="s">
        <v>1004</v>
      </c>
      <c r="M21" t="s">
        <v>13</v>
      </c>
      <c r="R21" t="s">
        <v>162</v>
      </c>
      <c r="AB21" t="s">
        <v>186</v>
      </c>
      <c r="AC21" t="s">
        <v>1043</v>
      </c>
    </row>
    <row r="22" spans="1:29" x14ac:dyDescent="0.25">
      <c r="G22" t="s">
        <v>331</v>
      </c>
      <c r="H22" t="s">
        <v>159</v>
      </c>
      <c r="M22" t="s">
        <v>164</v>
      </c>
      <c r="R22" t="s">
        <v>163</v>
      </c>
      <c r="AB22" t="s">
        <v>279</v>
      </c>
      <c r="AC22" t="s">
        <v>1043</v>
      </c>
    </row>
    <row r="23" spans="1:29" x14ac:dyDescent="0.25">
      <c r="A23" s="1" t="s">
        <v>825</v>
      </c>
      <c r="G23" t="s">
        <v>332</v>
      </c>
      <c r="H23" t="s">
        <v>185</v>
      </c>
      <c r="M23" t="s">
        <v>166</v>
      </c>
      <c r="R23" t="s">
        <v>180</v>
      </c>
      <c r="AB23" t="s">
        <v>187</v>
      </c>
      <c r="AC23" t="s">
        <v>1043</v>
      </c>
    </row>
    <row r="24" spans="1:29" x14ac:dyDescent="0.25">
      <c r="A24" s="434" t="s">
        <v>1043</v>
      </c>
      <c r="G24" t="s">
        <v>356</v>
      </c>
      <c r="H24" t="s">
        <v>174</v>
      </c>
      <c r="M24" t="s">
        <v>167</v>
      </c>
      <c r="R24" t="s">
        <v>169</v>
      </c>
      <c r="AB24" t="s">
        <v>179</v>
      </c>
      <c r="AC24" t="s">
        <v>1043</v>
      </c>
    </row>
    <row r="25" spans="1:29" x14ac:dyDescent="0.25">
      <c r="A25" s="434" t="s">
        <v>1044</v>
      </c>
      <c r="G25" t="s">
        <v>357</v>
      </c>
      <c r="H25" t="s">
        <v>1006</v>
      </c>
      <c r="M25" t="s">
        <v>17</v>
      </c>
      <c r="R25" t="s">
        <v>6</v>
      </c>
      <c r="AB25" t="s">
        <v>176</v>
      </c>
      <c r="AC25" t="s">
        <v>1043</v>
      </c>
    </row>
    <row r="26" spans="1:29" x14ac:dyDescent="0.25">
      <c r="A26" s="434" t="s">
        <v>826</v>
      </c>
      <c r="G26" t="s">
        <v>358</v>
      </c>
      <c r="H26" t="s">
        <v>171</v>
      </c>
      <c r="M26" t="s">
        <v>177</v>
      </c>
      <c r="R26" t="s">
        <v>23</v>
      </c>
      <c r="AB26" t="s">
        <v>155</v>
      </c>
      <c r="AC26" t="s">
        <v>1043</v>
      </c>
    </row>
    <row r="27" spans="1:29" x14ac:dyDescent="0.25">
      <c r="A27" s="434" t="s">
        <v>813</v>
      </c>
      <c r="G27" t="s">
        <v>362</v>
      </c>
      <c r="H27" t="s">
        <v>187</v>
      </c>
      <c r="M27" t="s">
        <v>29</v>
      </c>
      <c r="R27" t="s">
        <v>24</v>
      </c>
      <c r="AB27" t="s">
        <v>184</v>
      </c>
      <c r="AC27" t="s">
        <v>1043</v>
      </c>
    </row>
    <row r="28" spans="1:29" x14ac:dyDescent="0.25">
      <c r="A28">
        <v>0.1</v>
      </c>
      <c r="G28" t="s">
        <v>363</v>
      </c>
      <c r="H28" t="s">
        <v>179</v>
      </c>
      <c r="M28" t="s">
        <v>173</v>
      </c>
      <c r="R28" t="s">
        <v>246</v>
      </c>
      <c r="AB28" t="s">
        <v>1047</v>
      </c>
      <c r="AC28" t="s">
        <v>813</v>
      </c>
    </row>
    <row r="29" spans="1:29" x14ac:dyDescent="0.25">
      <c r="A29">
        <v>0.2</v>
      </c>
      <c r="G29" t="s">
        <v>982</v>
      </c>
      <c r="H29" t="s">
        <v>8</v>
      </c>
      <c r="M29" t="s">
        <v>183</v>
      </c>
      <c r="R29" t="s">
        <v>12</v>
      </c>
    </row>
    <row r="30" spans="1:29" x14ac:dyDescent="0.25">
      <c r="A30">
        <v>0.25</v>
      </c>
      <c r="G30" t="s">
        <v>822</v>
      </c>
      <c r="H30" t="s">
        <v>823</v>
      </c>
      <c r="M30" t="s">
        <v>27</v>
      </c>
      <c r="R30" t="s">
        <v>13</v>
      </c>
    </row>
    <row r="31" spans="1:29" x14ac:dyDescent="0.25">
      <c r="A31">
        <v>0.3</v>
      </c>
      <c r="G31" t="s">
        <v>822</v>
      </c>
      <c r="H31" t="s">
        <v>823</v>
      </c>
      <c r="M31" t="s">
        <v>188</v>
      </c>
      <c r="R31" t="s">
        <v>164</v>
      </c>
    </row>
    <row r="32" spans="1:29" x14ac:dyDescent="0.25">
      <c r="A32">
        <v>0.4</v>
      </c>
      <c r="G32" t="s">
        <v>1616</v>
      </c>
      <c r="H32" t="s">
        <v>1617</v>
      </c>
      <c r="M32" t="s">
        <v>1075</v>
      </c>
      <c r="R32" t="s">
        <v>166</v>
      </c>
    </row>
    <row r="33" spans="1:18" x14ac:dyDescent="0.25">
      <c r="A33">
        <v>0.5</v>
      </c>
      <c r="M33" t="s">
        <v>1076</v>
      </c>
      <c r="R33" t="s">
        <v>167</v>
      </c>
    </row>
    <row r="34" spans="1:18" x14ac:dyDescent="0.25">
      <c r="A34">
        <v>0.6</v>
      </c>
      <c r="M34" t="s">
        <v>1004</v>
      </c>
      <c r="R34" t="s">
        <v>17</v>
      </c>
    </row>
    <row r="35" spans="1:18" x14ac:dyDescent="0.25">
      <c r="A35">
        <v>0.7</v>
      </c>
      <c r="M35" t="s">
        <v>1005</v>
      </c>
      <c r="R35" t="s">
        <v>177</v>
      </c>
    </row>
    <row r="36" spans="1:18" x14ac:dyDescent="0.25">
      <c r="A36">
        <v>0.8</v>
      </c>
      <c r="M36" t="s">
        <v>159</v>
      </c>
      <c r="R36" t="s">
        <v>29</v>
      </c>
    </row>
    <row r="37" spans="1:18" x14ac:dyDescent="0.25">
      <c r="A37">
        <v>0.9</v>
      </c>
      <c r="M37" t="s">
        <v>185</v>
      </c>
      <c r="R37" t="s">
        <v>173</v>
      </c>
    </row>
    <row r="38" spans="1:18" x14ac:dyDescent="0.25">
      <c r="M38" t="s">
        <v>174</v>
      </c>
      <c r="R38" t="s">
        <v>183</v>
      </c>
    </row>
    <row r="39" spans="1:18" x14ac:dyDescent="0.25">
      <c r="M39" t="s">
        <v>1006</v>
      </c>
      <c r="R39" t="s">
        <v>27</v>
      </c>
    </row>
    <row r="40" spans="1:18" x14ac:dyDescent="0.25">
      <c r="M40" t="s">
        <v>171</v>
      </c>
      <c r="R40" t="s">
        <v>188</v>
      </c>
    </row>
    <row r="41" spans="1:18" x14ac:dyDescent="0.25">
      <c r="M41" t="s">
        <v>156</v>
      </c>
      <c r="R41" t="s">
        <v>245</v>
      </c>
    </row>
    <row r="42" spans="1:18" x14ac:dyDescent="0.25">
      <c r="M42" t="s">
        <v>157</v>
      </c>
      <c r="R42" t="s">
        <v>26</v>
      </c>
    </row>
    <row r="43" spans="1:18" x14ac:dyDescent="0.25">
      <c r="M43" t="s">
        <v>279</v>
      </c>
      <c r="R43" t="s">
        <v>178</v>
      </c>
    </row>
    <row r="44" spans="1:18" x14ac:dyDescent="0.25">
      <c r="M44" t="s">
        <v>186</v>
      </c>
      <c r="R44" t="s">
        <v>170</v>
      </c>
    </row>
    <row r="45" spans="1:18" x14ac:dyDescent="0.25">
      <c r="M45" t="s">
        <v>187</v>
      </c>
      <c r="R45" t="s">
        <v>172</v>
      </c>
    </row>
    <row r="46" spans="1:18" x14ac:dyDescent="0.25">
      <c r="M46" t="s">
        <v>179</v>
      </c>
      <c r="R46" t="s">
        <v>28</v>
      </c>
    </row>
    <row r="47" spans="1:18" x14ac:dyDescent="0.25">
      <c r="M47" t="s">
        <v>175</v>
      </c>
      <c r="R47" t="s">
        <v>158</v>
      </c>
    </row>
    <row r="48" spans="1:18" x14ac:dyDescent="0.25">
      <c r="M48" t="s">
        <v>176</v>
      </c>
      <c r="R48" t="s">
        <v>168</v>
      </c>
    </row>
    <row r="49" spans="13:18" x14ac:dyDescent="0.25">
      <c r="M49" t="s">
        <v>155</v>
      </c>
      <c r="R49" t="s">
        <v>1075</v>
      </c>
    </row>
    <row r="50" spans="13:18" x14ac:dyDescent="0.25">
      <c r="M50" t="s">
        <v>184</v>
      </c>
      <c r="R50" t="s">
        <v>1076</v>
      </c>
    </row>
    <row r="51" spans="13:18" x14ac:dyDescent="0.25">
      <c r="M51" t="s">
        <v>8</v>
      </c>
      <c r="R51" t="s">
        <v>1004</v>
      </c>
    </row>
    <row r="52" spans="13:18" x14ac:dyDescent="0.25">
      <c r="M52" t="s">
        <v>1047</v>
      </c>
      <c r="R52" t="s">
        <v>1005</v>
      </c>
    </row>
    <row r="53" spans="13:18" x14ac:dyDescent="0.25">
      <c r="M53" t="s">
        <v>576</v>
      </c>
      <c r="R53" t="s">
        <v>159</v>
      </c>
    </row>
    <row r="54" spans="13:18" x14ac:dyDescent="0.25">
      <c r="M54" t="s">
        <v>339</v>
      </c>
      <c r="R54" t="s">
        <v>185</v>
      </c>
    </row>
    <row r="55" spans="13:18" x14ac:dyDescent="0.25">
      <c r="M55" t="s">
        <v>340</v>
      </c>
      <c r="R55" t="s">
        <v>174</v>
      </c>
    </row>
    <row r="56" spans="13:18" x14ac:dyDescent="0.25">
      <c r="M56" t="s">
        <v>341</v>
      </c>
      <c r="R56" t="s">
        <v>1006</v>
      </c>
    </row>
    <row r="57" spans="13:18" x14ac:dyDescent="0.25">
      <c r="M57" t="s">
        <v>577</v>
      </c>
      <c r="R57" t="s">
        <v>171</v>
      </c>
    </row>
    <row r="58" spans="13:18" x14ac:dyDescent="0.25">
      <c r="M58" t="s">
        <v>342</v>
      </c>
      <c r="R58" t="s">
        <v>156</v>
      </c>
    </row>
    <row r="59" spans="13:18" x14ac:dyDescent="0.25">
      <c r="M59" t="s">
        <v>578</v>
      </c>
      <c r="R59" t="s">
        <v>157</v>
      </c>
    </row>
    <row r="60" spans="13:18" x14ac:dyDescent="0.25">
      <c r="M60" t="s">
        <v>343</v>
      </c>
      <c r="R60" t="s">
        <v>279</v>
      </c>
    </row>
    <row r="61" spans="13:18" x14ac:dyDescent="0.25">
      <c r="M61" t="s">
        <v>344</v>
      </c>
      <c r="R61" t="s">
        <v>280</v>
      </c>
    </row>
    <row r="62" spans="13:18" x14ac:dyDescent="0.25">
      <c r="R62" t="s">
        <v>258</v>
      </c>
    </row>
    <row r="63" spans="13:18" x14ac:dyDescent="0.25">
      <c r="R63" t="s">
        <v>186</v>
      </c>
    </row>
    <row r="64" spans="13:18" x14ac:dyDescent="0.25">
      <c r="R64" t="s">
        <v>187</v>
      </c>
    </row>
    <row r="65" spans="18:18" x14ac:dyDescent="0.25">
      <c r="R65" t="s">
        <v>179</v>
      </c>
    </row>
    <row r="66" spans="18:18" x14ac:dyDescent="0.25">
      <c r="R66" t="s">
        <v>175</v>
      </c>
    </row>
    <row r="67" spans="18:18" x14ac:dyDescent="0.25">
      <c r="R67" t="s">
        <v>176</v>
      </c>
    </row>
    <row r="68" spans="18:18" x14ac:dyDescent="0.25">
      <c r="R68" t="s">
        <v>155</v>
      </c>
    </row>
    <row r="69" spans="18:18" x14ac:dyDescent="0.25">
      <c r="R69" t="s">
        <v>184</v>
      </c>
    </row>
    <row r="70" spans="18:18" x14ac:dyDescent="0.25">
      <c r="R70" t="s">
        <v>8</v>
      </c>
    </row>
    <row r="71" spans="18:18" x14ac:dyDescent="0.25">
      <c r="R71" t="s">
        <v>1047</v>
      </c>
    </row>
    <row r="72" spans="18:18" x14ac:dyDescent="0.25">
      <c r="R72" t="s">
        <v>576</v>
      </c>
    </row>
    <row r="73" spans="18:18" x14ac:dyDescent="0.25">
      <c r="R73" t="s">
        <v>339</v>
      </c>
    </row>
    <row r="74" spans="18:18" x14ac:dyDescent="0.25">
      <c r="R74" t="s">
        <v>340</v>
      </c>
    </row>
    <row r="75" spans="18:18" x14ac:dyDescent="0.25">
      <c r="R75" t="s">
        <v>341</v>
      </c>
    </row>
    <row r="76" spans="18:18" x14ac:dyDescent="0.25">
      <c r="R76" t="s">
        <v>577</v>
      </c>
    </row>
    <row r="77" spans="18:18" x14ac:dyDescent="0.25">
      <c r="R77" t="s">
        <v>342</v>
      </c>
    </row>
    <row r="78" spans="18:18" x14ac:dyDescent="0.25">
      <c r="R78" t="s">
        <v>578</v>
      </c>
    </row>
    <row r="79" spans="18:18" x14ac:dyDescent="0.25">
      <c r="R79" t="s">
        <v>343</v>
      </c>
    </row>
    <row r="80" spans="18:18" x14ac:dyDescent="0.25">
      <c r="R80" t="s">
        <v>344</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4.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310</vt:i4>
      </vt:variant>
    </vt:vector>
  </HeadingPairs>
  <TitlesOfParts>
    <vt:vector size="329"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CEPCIinflator</vt:lpstr>
      <vt:lpstr>Chemical_price_indexes</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feedstockCommercial_Electricity_Price</vt:lpstr>
      <vt:lpstr>feedstockCommercial_Electricity_Usage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Penev, Michael (Misho)</cp:lastModifiedBy>
  <cp:lastPrinted>2008-09-22T17:50:40Z</cp:lastPrinted>
  <dcterms:created xsi:type="dcterms:W3CDTF">2007-03-27T19:45:13Z</dcterms:created>
  <dcterms:modified xsi:type="dcterms:W3CDTF">2022-05-02T18:23:16Z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